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Examples\"/>
    </mc:Choice>
  </mc:AlternateContent>
  <xr:revisionPtr revIDLastSave="0" documentId="13_ncr:1_{7B0010A3-C0B0-48A6-835C-6F4DAD829E24}" xr6:coauthVersionLast="47" xr6:coauthVersionMax="47" xr10:uidLastSave="{00000000-0000-0000-0000-000000000000}"/>
  <bookViews>
    <workbookView xWindow="-120" yWindow="-120" windowWidth="29040" windowHeight="15840" tabRatio="900" xr2:uid="{00000000-000D-0000-FFFF-FFFF00000000}"/>
  </bookViews>
  <sheets>
    <sheet name="Utils" sheetId="3" r:id="rId1"/>
    <sheet name="SABR" sheetId="21" r:id="rId2"/>
    <sheet name="Black" sheetId="13" r:id="rId3"/>
    <sheet name="Bachelier" sheetId="15" r:id="rId4"/>
    <sheet name="BlackScholes" sheetId="14" r:id="rId5"/>
    <sheet name="BjerksundStensland2002" sheetId="16" r:id="rId6"/>
    <sheet name="BinomialAmerican" sheetId="18" r:id="rId7"/>
    <sheet name="TrinomialAmerican" sheetId="20" r:id="rId8"/>
    <sheet name="Comparison-American" sheetId="19" r:id="rId9"/>
    <sheet name="Description" sheetId="7" r:id="rId10"/>
    <sheet name="Special" sheetId="9" r:id="rId11"/>
  </sheets>
  <definedNames>
    <definedName name="solver_adj" localSheetId="1" hidden="1">SABR!$AB$7:$AB$9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SABR!$AB$7</definedName>
    <definedName name="solver_lhs2" localSheetId="1" hidden="1">SABR!$AB$9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SABR!$AB$11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hs1" localSheetId="1" hidden="1">0.0000001</definedName>
    <definedName name="solver_rhs2" localSheetId="1" hidden="1">0.0000001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" i="21" l="1"/>
  <c r="AK6" i="21"/>
  <c r="AK7" i="21"/>
  <c r="AK8" i="21"/>
  <c r="AK9" i="21"/>
  <c r="AK10" i="21"/>
  <c r="AK11" i="21"/>
  <c r="AK12" i="21"/>
  <c r="AK13" i="21"/>
  <c r="AK14" i="21"/>
  <c r="AK15" i="21"/>
  <c r="AK16" i="21"/>
  <c r="AK17" i="21"/>
  <c r="AK18" i="21"/>
  <c r="AK19" i="21"/>
  <c r="AK20" i="21"/>
  <c r="AK21" i="21"/>
  <c r="AK22" i="21"/>
  <c r="AK23" i="21"/>
  <c r="AK24" i="21"/>
  <c r="AK25" i="21"/>
  <c r="AK26" i="21"/>
  <c r="AK27" i="21"/>
  <c r="AK28" i="21"/>
  <c r="AK29" i="21"/>
  <c r="AK30" i="21"/>
  <c r="AK31" i="21"/>
  <c r="AK32" i="21"/>
  <c r="AK33" i="21"/>
  <c r="AK34" i="21"/>
  <c r="AK35" i="21"/>
  <c r="AK36" i="21"/>
  <c r="AK37" i="21"/>
  <c r="AK38" i="21"/>
  <c r="AK39" i="21"/>
  <c r="AK40" i="21"/>
  <c r="AK41" i="21"/>
  <c r="AK42" i="21"/>
  <c r="AK43" i="21"/>
  <c r="AK44" i="21"/>
  <c r="AK45" i="21"/>
  <c r="AK5" i="21"/>
  <c r="H1" i="21"/>
  <c r="O1" i="21"/>
  <c r="U14" i="21"/>
  <c r="W14" i="21" s="1"/>
  <c r="V14" i="21"/>
  <c r="X14" i="21" s="1"/>
  <c r="U15" i="21"/>
  <c r="W15" i="21" s="1"/>
  <c r="V15" i="21"/>
  <c r="X15" i="21" s="1"/>
  <c r="U16" i="21"/>
  <c r="W16" i="21" s="1"/>
  <c r="V16" i="21"/>
  <c r="X16" i="21" s="1"/>
  <c r="U17" i="21"/>
  <c r="W17" i="21" s="1"/>
  <c r="V17" i="21"/>
  <c r="X17" i="21" s="1"/>
  <c r="U18" i="21"/>
  <c r="W18" i="21" s="1"/>
  <c r="V18" i="21"/>
  <c r="X18" i="21" s="1"/>
  <c r="U19" i="21"/>
  <c r="W19" i="21" s="1"/>
  <c r="V19" i="21"/>
  <c r="X19" i="21" s="1"/>
  <c r="U20" i="21"/>
  <c r="W20" i="21" s="1"/>
  <c r="V20" i="21"/>
  <c r="X20" i="21" s="1"/>
  <c r="U21" i="21"/>
  <c r="W21" i="21" s="1"/>
  <c r="V21" i="21"/>
  <c r="X21" i="21" s="1"/>
  <c r="U22" i="21"/>
  <c r="W22" i="21" s="1"/>
  <c r="V22" i="21"/>
  <c r="X22" i="21" s="1"/>
  <c r="U23" i="21"/>
  <c r="W23" i="21" s="1"/>
  <c r="V23" i="21"/>
  <c r="X23" i="21" s="1"/>
  <c r="U24" i="21"/>
  <c r="W24" i="21" s="1"/>
  <c r="V24" i="21"/>
  <c r="X24" i="21" s="1"/>
  <c r="U25" i="21"/>
  <c r="W25" i="21" s="1"/>
  <c r="V25" i="21"/>
  <c r="X25" i="21" s="1"/>
  <c r="U26" i="21"/>
  <c r="W26" i="21" s="1"/>
  <c r="V26" i="21"/>
  <c r="X26" i="21" s="1"/>
  <c r="U27" i="21"/>
  <c r="W27" i="21" s="1"/>
  <c r="V27" i="21"/>
  <c r="X27" i="21" s="1"/>
  <c r="U28" i="21"/>
  <c r="W28" i="21" s="1"/>
  <c r="V28" i="21"/>
  <c r="X28" i="21" s="1"/>
  <c r="U29" i="21"/>
  <c r="W29" i="21" s="1"/>
  <c r="V29" i="21"/>
  <c r="X29" i="21" s="1"/>
  <c r="U30" i="21"/>
  <c r="W30" i="21" s="1"/>
  <c r="V30" i="21"/>
  <c r="X30" i="21" s="1"/>
  <c r="U31" i="21"/>
  <c r="W31" i="21" s="1"/>
  <c r="V31" i="21"/>
  <c r="X31" i="21" s="1"/>
  <c r="U32" i="21"/>
  <c r="W32" i="21" s="1"/>
  <c r="V32" i="21"/>
  <c r="X32" i="21" s="1"/>
  <c r="U33" i="21"/>
  <c r="W33" i="21" s="1"/>
  <c r="V33" i="21"/>
  <c r="X33" i="21" s="1"/>
  <c r="U34" i="21"/>
  <c r="W34" i="21" s="1"/>
  <c r="V34" i="21"/>
  <c r="X34" i="21" s="1"/>
  <c r="U35" i="21"/>
  <c r="W35" i="21" s="1"/>
  <c r="V35" i="21"/>
  <c r="X35" i="21" s="1"/>
  <c r="U36" i="21"/>
  <c r="W36" i="21" s="1"/>
  <c r="V36" i="21"/>
  <c r="X36" i="21" s="1"/>
  <c r="U37" i="21"/>
  <c r="W37" i="21" s="1"/>
  <c r="V37" i="21"/>
  <c r="X37" i="21" s="1"/>
  <c r="U38" i="21"/>
  <c r="W38" i="21" s="1"/>
  <c r="V38" i="21"/>
  <c r="X38" i="21" s="1"/>
  <c r="U39" i="21"/>
  <c r="W39" i="21" s="1"/>
  <c r="V39" i="21"/>
  <c r="X39" i="21" s="1"/>
  <c r="U40" i="21"/>
  <c r="W40" i="21" s="1"/>
  <c r="V40" i="21"/>
  <c r="X40" i="21" s="1"/>
  <c r="U41" i="21"/>
  <c r="W41" i="21" s="1"/>
  <c r="V41" i="21"/>
  <c r="X41" i="21" s="1"/>
  <c r="U42" i="21"/>
  <c r="W42" i="21" s="1"/>
  <c r="V42" i="21"/>
  <c r="X42" i="21" s="1"/>
  <c r="U43" i="21"/>
  <c r="W43" i="21" s="1"/>
  <c r="V43" i="21"/>
  <c r="X43" i="21" s="1"/>
  <c r="U44" i="21"/>
  <c r="W44" i="21" s="1"/>
  <c r="V44" i="21"/>
  <c r="X44" i="21" s="1"/>
  <c r="N14" i="21"/>
  <c r="P14" i="21" s="1"/>
  <c r="O14" i="21"/>
  <c r="Q14" i="21" s="1"/>
  <c r="N15" i="21"/>
  <c r="P15" i="21" s="1"/>
  <c r="O15" i="21"/>
  <c r="Q15" i="21" s="1"/>
  <c r="N16" i="21"/>
  <c r="P16" i="21" s="1"/>
  <c r="O16" i="21"/>
  <c r="Q16" i="21" s="1"/>
  <c r="N17" i="21"/>
  <c r="P17" i="21" s="1"/>
  <c r="O17" i="21"/>
  <c r="Q17" i="21" s="1"/>
  <c r="N18" i="21"/>
  <c r="P18" i="21" s="1"/>
  <c r="O18" i="21"/>
  <c r="Q18" i="21" s="1"/>
  <c r="N19" i="21"/>
  <c r="P19" i="21" s="1"/>
  <c r="O19" i="21"/>
  <c r="Q19" i="21" s="1"/>
  <c r="N20" i="21"/>
  <c r="P20" i="21" s="1"/>
  <c r="O20" i="21"/>
  <c r="Q20" i="21" s="1"/>
  <c r="N21" i="21"/>
  <c r="P21" i="21" s="1"/>
  <c r="O21" i="21"/>
  <c r="Q21" i="21" s="1"/>
  <c r="N22" i="21"/>
  <c r="P22" i="21" s="1"/>
  <c r="O22" i="21"/>
  <c r="Q22" i="21" s="1"/>
  <c r="N23" i="21"/>
  <c r="P23" i="21" s="1"/>
  <c r="O23" i="21"/>
  <c r="Q23" i="21" s="1"/>
  <c r="N24" i="21"/>
  <c r="P24" i="21" s="1"/>
  <c r="O24" i="21"/>
  <c r="Q24" i="21" s="1"/>
  <c r="N25" i="21"/>
  <c r="P25" i="21" s="1"/>
  <c r="O25" i="21"/>
  <c r="Q25" i="21" s="1"/>
  <c r="N26" i="21"/>
  <c r="P26" i="21" s="1"/>
  <c r="O26" i="21"/>
  <c r="Q26" i="21" s="1"/>
  <c r="N27" i="21"/>
  <c r="P27" i="21" s="1"/>
  <c r="O27" i="21"/>
  <c r="Q27" i="21" s="1"/>
  <c r="N28" i="21"/>
  <c r="P28" i="21" s="1"/>
  <c r="O28" i="21"/>
  <c r="Q28" i="21" s="1"/>
  <c r="N29" i="21"/>
  <c r="P29" i="21" s="1"/>
  <c r="O29" i="21"/>
  <c r="Q29" i="21" s="1"/>
  <c r="N30" i="21"/>
  <c r="P30" i="21" s="1"/>
  <c r="O30" i="21"/>
  <c r="Q30" i="21" s="1"/>
  <c r="N31" i="21"/>
  <c r="P31" i="21" s="1"/>
  <c r="O31" i="21"/>
  <c r="Q31" i="21" s="1"/>
  <c r="N32" i="21"/>
  <c r="P32" i="21" s="1"/>
  <c r="O32" i="21"/>
  <c r="Q32" i="21" s="1"/>
  <c r="N33" i="21"/>
  <c r="P33" i="21" s="1"/>
  <c r="O33" i="21"/>
  <c r="Q33" i="21" s="1"/>
  <c r="N34" i="21"/>
  <c r="P34" i="21" s="1"/>
  <c r="O34" i="21"/>
  <c r="Q34" i="21" s="1"/>
  <c r="N35" i="21"/>
  <c r="P35" i="21" s="1"/>
  <c r="O35" i="21"/>
  <c r="Q35" i="21" s="1"/>
  <c r="N36" i="21"/>
  <c r="P36" i="21" s="1"/>
  <c r="O36" i="21"/>
  <c r="Q36" i="21" s="1"/>
  <c r="N37" i="21"/>
  <c r="P37" i="21" s="1"/>
  <c r="O37" i="21"/>
  <c r="Q37" i="21" s="1"/>
  <c r="N38" i="21"/>
  <c r="P38" i="21" s="1"/>
  <c r="O38" i="21"/>
  <c r="Q38" i="21" s="1"/>
  <c r="N39" i="21"/>
  <c r="P39" i="21" s="1"/>
  <c r="O39" i="21"/>
  <c r="Q39" i="21" s="1"/>
  <c r="N40" i="21"/>
  <c r="P40" i="21" s="1"/>
  <c r="O40" i="21"/>
  <c r="Q40" i="21" s="1"/>
  <c r="N41" i="21"/>
  <c r="P41" i="21" s="1"/>
  <c r="O41" i="21"/>
  <c r="Q41" i="21" s="1"/>
  <c r="N42" i="21"/>
  <c r="P42" i="21" s="1"/>
  <c r="O42" i="21"/>
  <c r="Q42" i="21" s="1"/>
  <c r="N43" i="21"/>
  <c r="P43" i="21" s="1"/>
  <c r="O43" i="21"/>
  <c r="Q43" i="21" s="1"/>
  <c r="N44" i="21"/>
  <c r="P44" i="21" s="1"/>
  <c r="O44" i="21"/>
  <c r="Q44" i="21" s="1"/>
  <c r="G14" i="21"/>
  <c r="I14" i="21" s="1"/>
  <c r="H14" i="21"/>
  <c r="J14" i="21" s="1"/>
  <c r="G15" i="21"/>
  <c r="I15" i="21" s="1"/>
  <c r="H15" i="21"/>
  <c r="J15" i="21" s="1"/>
  <c r="G16" i="21"/>
  <c r="I16" i="21" s="1"/>
  <c r="H16" i="21"/>
  <c r="J16" i="21" s="1"/>
  <c r="G17" i="21"/>
  <c r="I17" i="21" s="1"/>
  <c r="H17" i="21"/>
  <c r="J17" i="21" s="1"/>
  <c r="G18" i="21"/>
  <c r="I18" i="21" s="1"/>
  <c r="H18" i="21"/>
  <c r="J18" i="21" s="1"/>
  <c r="G19" i="21"/>
  <c r="I19" i="21" s="1"/>
  <c r="H19" i="21"/>
  <c r="J19" i="21" s="1"/>
  <c r="G20" i="21"/>
  <c r="I20" i="21" s="1"/>
  <c r="H20" i="21"/>
  <c r="J20" i="21" s="1"/>
  <c r="G21" i="21"/>
  <c r="I21" i="21" s="1"/>
  <c r="H21" i="21"/>
  <c r="J21" i="21" s="1"/>
  <c r="G22" i="21"/>
  <c r="I22" i="21" s="1"/>
  <c r="H22" i="21"/>
  <c r="J22" i="21" s="1"/>
  <c r="G23" i="21"/>
  <c r="I23" i="21" s="1"/>
  <c r="H23" i="21"/>
  <c r="J23" i="21" s="1"/>
  <c r="G24" i="21"/>
  <c r="I24" i="21" s="1"/>
  <c r="H24" i="21"/>
  <c r="J24" i="21" s="1"/>
  <c r="G25" i="21"/>
  <c r="I25" i="21" s="1"/>
  <c r="H25" i="21"/>
  <c r="J25" i="21" s="1"/>
  <c r="G26" i="21"/>
  <c r="I26" i="21" s="1"/>
  <c r="H26" i="21"/>
  <c r="J26" i="21" s="1"/>
  <c r="G27" i="21"/>
  <c r="I27" i="21" s="1"/>
  <c r="H27" i="21"/>
  <c r="J27" i="21" s="1"/>
  <c r="G28" i="21"/>
  <c r="I28" i="21" s="1"/>
  <c r="H28" i="21"/>
  <c r="J28" i="21" s="1"/>
  <c r="G29" i="21"/>
  <c r="I29" i="21" s="1"/>
  <c r="H29" i="21"/>
  <c r="J29" i="21" s="1"/>
  <c r="G30" i="21"/>
  <c r="I30" i="21" s="1"/>
  <c r="H30" i="21"/>
  <c r="J30" i="21" s="1"/>
  <c r="G31" i="21"/>
  <c r="I31" i="21" s="1"/>
  <c r="H31" i="21"/>
  <c r="J31" i="21" s="1"/>
  <c r="G32" i="21"/>
  <c r="I32" i="21" s="1"/>
  <c r="H32" i="21"/>
  <c r="J32" i="21" s="1"/>
  <c r="G33" i="21"/>
  <c r="I33" i="21" s="1"/>
  <c r="H33" i="21"/>
  <c r="J33" i="21" s="1"/>
  <c r="G34" i="21"/>
  <c r="I34" i="21" s="1"/>
  <c r="H34" i="21"/>
  <c r="J34" i="21" s="1"/>
  <c r="G35" i="21"/>
  <c r="I35" i="21" s="1"/>
  <c r="H35" i="21"/>
  <c r="J35" i="21" s="1"/>
  <c r="G36" i="21"/>
  <c r="I36" i="21" s="1"/>
  <c r="H36" i="21"/>
  <c r="J36" i="21" s="1"/>
  <c r="G37" i="21"/>
  <c r="I37" i="21" s="1"/>
  <c r="H37" i="21"/>
  <c r="J37" i="21" s="1"/>
  <c r="G38" i="21"/>
  <c r="I38" i="21" s="1"/>
  <c r="H38" i="21"/>
  <c r="J38" i="21" s="1"/>
  <c r="G39" i="21"/>
  <c r="I39" i="21" s="1"/>
  <c r="H39" i="21"/>
  <c r="J39" i="21" s="1"/>
  <c r="G40" i="21"/>
  <c r="I40" i="21" s="1"/>
  <c r="H40" i="21"/>
  <c r="J40" i="21" s="1"/>
  <c r="G41" i="21"/>
  <c r="I41" i="21" s="1"/>
  <c r="H41" i="21"/>
  <c r="J41" i="21" s="1"/>
  <c r="G42" i="21"/>
  <c r="I42" i="21" s="1"/>
  <c r="H42" i="21"/>
  <c r="J42" i="21" s="1"/>
  <c r="G43" i="21"/>
  <c r="I43" i="21" s="1"/>
  <c r="H43" i="21"/>
  <c r="J43" i="21" s="1"/>
  <c r="G44" i="21"/>
  <c r="I44" i="21" s="1"/>
  <c r="H44" i="21"/>
  <c r="J44" i="21" s="1"/>
  <c r="G5" i="21"/>
  <c r="I5" i="21" s="1"/>
  <c r="H5" i="21"/>
  <c r="J5" i="21" s="1"/>
  <c r="G6" i="21"/>
  <c r="I6" i="21" s="1"/>
  <c r="H6" i="21"/>
  <c r="J6" i="21" s="1"/>
  <c r="G7" i="21"/>
  <c r="I7" i="21" s="1"/>
  <c r="H7" i="21"/>
  <c r="J7" i="21" s="1"/>
  <c r="G8" i="21"/>
  <c r="I8" i="21" s="1"/>
  <c r="H8" i="21"/>
  <c r="J8" i="21" s="1"/>
  <c r="G9" i="21"/>
  <c r="I9" i="21" s="1"/>
  <c r="H9" i="21"/>
  <c r="J9" i="21" s="1"/>
  <c r="G10" i="21"/>
  <c r="I10" i="21" s="1"/>
  <c r="H10" i="21"/>
  <c r="J10" i="21" s="1"/>
  <c r="G11" i="21"/>
  <c r="I11" i="21" s="1"/>
  <c r="H11" i="21"/>
  <c r="J11" i="21" s="1"/>
  <c r="G12" i="21"/>
  <c r="I12" i="21" s="1"/>
  <c r="H12" i="21"/>
  <c r="J12" i="21" s="1"/>
  <c r="G13" i="21"/>
  <c r="I13" i="21" s="1"/>
  <c r="H13" i="21"/>
  <c r="J13" i="21" s="1"/>
  <c r="AF6" i="21"/>
  <c r="AG6" i="21" s="1"/>
  <c r="AF7" i="21"/>
  <c r="AG7" i="21" s="1"/>
  <c r="AF8" i="21"/>
  <c r="AG8" i="21" s="1"/>
  <c r="AF9" i="21"/>
  <c r="AG9" i="21" s="1"/>
  <c r="AF10" i="21"/>
  <c r="AG10" i="21" s="1"/>
  <c r="AF11" i="21"/>
  <c r="AG11" i="21" s="1"/>
  <c r="AF5" i="21"/>
  <c r="AG5" i="21" s="1"/>
  <c r="V5" i="21"/>
  <c r="X5" i="21" s="1"/>
  <c r="V6" i="21"/>
  <c r="X6" i="21" s="1"/>
  <c r="V7" i="21"/>
  <c r="X7" i="21" s="1"/>
  <c r="V8" i="21"/>
  <c r="X8" i="21" s="1"/>
  <c r="V9" i="21"/>
  <c r="X9" i="21" s="1"/>
  <c r="V10" i="21"/>
  <c r="X10" i="21" s="1"/>
  <c r="V11" i="21"/>
  <c r="X11" i="21" s="1"/>
  <c r="V12" i="21"/>
  <c r="X12" i="21" s="1"/>
  <c r="V13" i="21"/>
  <c r="X13" i="21" s="1"/>
  <c r="V4" i="21"/>
  <c r="X4" i="21" s="1"/>
  <c r="U5" i="21"/>
  <c r="W5" i="21" s="1"/>
  <c r="U6" i="21"/>
  <c r="W6" i="21" s="1"/>
  <c r="U7" i="21"/>
  <c r="W7" i="21" s="1"/>
  <c r="U8" i="21"/>
  <c r="W8" i="21" s="1"/>
  <c r="U9" i="21"/>
  <c r="W9" i="21" s="1"/>
  <c r="U10" i="21"/>
  <c r="W10" i="21" s="1"/>
  <c r="U11" i="21"/>
  <c r="W11" i="21" s="1"/>
  <c r="U12" i="21"/>
  <c r="W12" i="21" s="1"/>
  <c r="U13" i="21"/>
  <c r="W13" i="21" s="1"/>
  <c r="U4" i="21"/>
  <c r="W4" i="21" s="1"/>
  <c r="O5" i="21"/>
  <c r="Q5" i="21" s="1"/>
  <c r="O6" i="21"/>
  <c r="Q6" i="21" s="1"/>
  <c r="O7" i="21"/>
  <c r="Q7" i="21" s="1"/>
  <c r="O8" i="21"/>
  <c r="Q8" i="21" s="1"/>
  <c r="O9" i="21"/>
  <c r="Q9" i="21" s="1"/>
  <c r="O10" i="21"/>
  <c r="Q10" i="21" s="1"/>
  <c r="O11" i="21"/>
  <c r="Q11" i="21" s="1"/>
  <c r="O12" i="21"/>
  <c r="Q12" i="21" s="1"/>
  <c r="O13" i="21"/>
  <c r="Q13" i="21" s="1"/>
  <c r="O4" i="21"/>
  <c r="Q4" i="21" s="1"/>
  <c r="N5" i="21"/>
  <c r="P5" i="21" s="1"/>
  <c r="N6" i="21"/>
  <c r="P6" i="21" s="1"/>
  <c r="N7" i="21"/>
  <c r="P7" i="21" s="1"/>
  <c r="N8" i="21"/>
  <c r="P8" i="21" s="1"/>
  <c r="N9" i="21"/>
  <c r="P9" i="21" s="1"/>
  <c r="N10" i="21"/>
  <c r="P10" i="21" s="1"/>
  <c r="N11" i="21"/>
  <c r="P11" i="21" s="1"/>
  <c r="N12" i="21"/>
  <c r="P12" i="21" s="1"/>
  <c r="N13" i="21"/>
  <c r="P13" i="21" s="1"/>
  <c r="N4" i="21"/>
  <c r="P4" i="21" s="1"/>
  <c r="H4" i="21"/>
  <c r="J4" i="21" s="1"/>
  <c r="G4" i="21"/>
  <c r="I4" i="21" s="1"/>
  <c r="M3" i="9"/>
  <c r="N3" i="9" s="1"/>
  <c r="N33" i="9"/>
  <c r="O33" i="9"/>
  <c r="N34" i="9"/>
  <c r="P34" i="9" s="1"/>
  <c r="O34" i="9"/>
  <c r="N35" i="9"/>
  <c r="O35" i="9"/>
  <c r="N36" i="9"/>
  <c r="O36" i="9"/>
  <c r="N37" i="9"/>
  <c r="O37" i="9"/>
  <c r="N38" i="9"/>
  <c r="P38" i="9" s="1"/>
  <c r="O38" i="9"/>
  <c r="N39" i="9"/>
  <c r="O39" i="9"/>
  <c r="N40" i="9"/>
  <c r="P40" i="9" s="1"/>
  <c r="O40" i="9"/>
  <c r="N41" i="9"/>
  <c r="O41" i="9"/>
  <c r="N42" i="9"/>
  <c r="O42" i="9"/>
  <c r="N43" i="9"/>
  <c r="O43" i="9"/>
  <c r="N44" i="9"/>
  <c r="O44" i="9"/>
  <c r="N45" i="9"/>
  <c r="O45" i="9"/>
  <c r="N46" i="9"/>
  <c r="O46" i="9"/>
  <c r="N47" i="9"/>
  <c r="O47" i="9"/>
  <c r="N48" i="9"/>
  <c r="P48" i="9" s="1"/>
  <c r="O48" i="9"/>
  <c r="N49" i="9"/>
  <c r="O49" i="9"/>
  <c r="N50" i="9"/>
  <c r="P50" i="9" s="1"/>
  <c r="O50" i="9"/>
  <c r="N51" i="9"/>
  <c r="O51" i="9"/>
  <c r="N52" i="9"/>
  <c r="O52" i="9"/>
  <c r="N53" i="9"/>
  <c r="O53" i="9"/>
  <c r="N54" i="9"/>
  <c r="P54" i="9" s="1"/>
  <c r="O54" i="9"/>
  <c r="N55" i="9"/>
  <c r="O55" i="9"/>
  <c r="N56" i="9"/>
  <c r="P56" i="9" s="1"/>
  <c r="O56" i="9"/>
  <c r="N57" i="9"/>
  <c r="O57" i="9"/>
  <c r="N58" i="9"/>
  <c r="O58" i="9"/>
  <c r="N59" i="9"/>
  <c r="O59" i="9"/>
  <c r="N60" i="9"/>
  <c r="O60" i="9"/>
  <c r="N61" i="9"/>
  <c r="O61" i="9"/>
  <c r="N62" i="9"/>
  <c r="O62" i="9"/>
  <c r="N63" i="9"/>
  <c r="O63" i="9"/>
  <c r="N64" i="9"/>
  <c r="P64" i="9" s="1"/>
  <c r="O64" i="9"/>
  <c r="N65" i="9"/>
  <c r="O65" i="9"/>
  <c r="N66" i="9"/>
  <c r="P66" i="9" s="1"/>
  <c r="O66" i="9"/>
  <c r="N67" i="9"/>
  <c r="O67" i="9"/>
  <c r="N68" i="9"/>
  <c r="O68" i="9"/>
  <c r="N69" i="9"/>
  <c r="O69" i="9"/>
  <c r="N70" i="9"/>
  <c r="P70" i="9" s="1"/>
  <c r="O70" i="9"/>
  <c r="N71" i="9"/>
  <c r="O71" i="9"/>
  <c r="N72" i="9"/>
  <c r="O72" i="9"/>
  <c r="N73" i="9"/>
  <c r="O73" i="9"/>
  <c r="N74" i="9"/>
  <c r="O74" i="9"/>
  <c r="N75" i="9"/>
  <c r="O75" i="9"/>
  <c r="N76" i="9"/>
  <c r="O76" i="9"/>
  <c r="N77" i="9"/>
  <c r="O77" i="9"/>
  <c r="N78" i="9"/>
  <c r="O78" i="9"/>
  <c r="N79" i="9"/>
  <c r="O79" i="9"/>
  <c r="N80" i="9"/>
  <c r="O80" i="9"/>
  <c r="N81" i="9"/>
  <c r="O81" i="9"/>
  <c r="N82" i="9"/>
  <c r="O82" i="9"/>
  <c r="N83" i="9"/>
  <c r="O83" i="9"/>
  <c r="N84" i="9"/>
  <c r="O84" i="9"/>
  <c r="N85" i="9"/>
  <c r="O85" i="9"/>
  <c r="N86" i="9"/>
  <c r="O86" i="9"/>
  <c r="N87" i="9"/>
  <c r="O87" i="9"/>
  <c r="N88" i="9"/>
  <c r="O88" i="9"/>
  <c r="N89" i="9"/>
  <c r="O89" i="9"/>
  <c r="N90" i="9"/>
  <c r="O90" i="9"/>
  <c r="N91" i="9"/>
  <c r="O91" i="9"/>
  <c r="N92" i="9"/>
  <c r="O92" i="9"/>
  <c r="N93" i="9"/>
  <c r="O93" i="9"/>
  <c r="N94" i="9"/>
  <c r="O94" i="9"/>
  <c r="N95" i="9"/>
  <c r="O95" i="9"/>
  <c r="N96" i="9"/>
  <c r="O96" i="9"/>
  <c r="N97" i="9"/>
  <c r="O97" i="9"/>
  <c r="N98" i="9"/>
  <c r="O98" i="9"/>
  <c r="N99" i="9"/>
  <c r="O99" i="9"/>
  <c r="N100" i="9"/>
  <c r="O100" i="9"/>
  <c r="N101" i="9"/>
  <c r="O101" i="9"/>
  <c r="N102" i="9"/>
  <c r="O10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2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P22" i="9" s="1"/>
  <c r="N23" i="9"/>
  <c r="N24" i="9"/>
  <c r="N25" i="9"/>
  <c r="N26" i="9"/>
  <c r="N27" i="9"/>
  <c r="N28" i="9"/>
  <c r="P28" i="9" s="1"/>
  <c r="N29" i="9"/>
  <c r="N30" i="9"/>
  <c r="N31" i="9"/>
  <c r="N32" i="9"/>
  <c r="P32" i="9" s="1"/>
  <c r="N2" i="9"/>
  <c r="I3" i="9"/>
  <c r="I2" i="9"/>
  <c r="N56" i="3"/>
  <c r="N49" i="3"/>
  <c r="N50" i="3"/>
  <c r="N51" i="3"/>
  <c r="N52" i="3"/>
  <c r="N53" i="3"/>
  <c r="N54" i="3"/>
  <c r="N5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35" i="3"/>
  <c r="N34" i="3"/>
  <c r="N31" i="3"/>
  <c r="N32" i="3"/>
  <c r="N33" i="3"/>
  <c r="N23" i="3"/>
  <c r="N24" i="3"/>
  <c r="N25" i="3"/>
  <c r="N26" i="3"/>
  <c r="N27" i="3"/>
  <c r="N28" i="3"/>
  <c r="N29" i="3"/>
  <c r="N30" i="3"/>
  <c r="N21" i="3"/>
  <c r="N22" i="3"/>
  <c r="N20" i="3"/>
  <c r="J21" i="18"/>
  <c r="M8" i="18"/>
  <c r="AE29" i="18" s="1"/>
  <c r="M6" i="18"/>
  <c r="AE27" i="18" s="1"/>
  <c r="H28" i="3"/>
  <c r="J25" i="3"/>
  <c r="K25" i="3" s="1"/>
  <c r="J24" i="3"/>
  <c r="K24" i="3" s="1"/>
  <c r="J23" i="3"/>
  <c r="K23" i="3" s="1"/>
  <c r="J22" i="3"/>
  <c r="K22" i="3" s="1"/>
  <c r="J21" i="3"/>
  <c r="K21" i="3" s="1"/>
  <c r="K26" i="3"/>
  <c r="K27" i="3"/>
  <c r="K20" i="3"/>
  <c r="H27" i="3"/>
  <c r="H21" i="3"/>
  <c r="H22" i="3"/>
  <c r="H23" i="3"/>
  <c r="H24" i="3"/>
  <c r="H25" i="3"/>
  <c r="H26" i="3"/>
  <c r="H20" i="3"/>
  <c r="H9" i="3"/>
  <c r="H8" i="3"/>
  <c r="H6" i="3"/>
  <c r="H4" i="3"/>
  <c r="H3" i="3"/>
  <c r="I1" i="19"/>
  <c r="J14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6" i="19"/>
  <c r="X5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6" i="19"/>
  <c r="W5" i="19"/>
  <c r="G48" i="20"/>
  <c r="H48" i="20"/>
  <c r="I48" i="20"/>
  <c r="J48" i="20"/>
  <c r="K48" i="20"/>
  <c r="L48" i="20"/>
  <c r="M48" i="20"/>
  <c r="N48" i="20"/>
  <c r="G49" i="20"/>
  <c r="H49" i="20"/>
  <c r="I49" i="20"/>
  <c r="J49" i="20"/>
  <c r="K49" i="20"/>
  <c r="L49" i="20"/>
  <c r="M49" i="20"/>
  <c r="N49" i="20"/>
  <c r="G50" i="20"/>
  <c r="H50" i="20"/>
  <c r="I50" i="20"/>
  <c r="J50" i="20"/>
  <c r="K50" i="20"/>
  <c r="L50" i="20"/>
  <c r="M50" i="20"/>
  <c r="N50" i="20"/>
  <c r="G51" i="20"/>
  <c r="H51" i="20"/>
  <c r="I51" i="20"/>
  <c r="J51" i="20"/>
  <c r="K51" i="20"/>
  <c r="L51" i="20"/>
  <c r="M51" i="20"/>
  <c r="N51" i="20"/>
  <c r="G52" i="20"/>
  <c r="H52" i="20"/>
  <c r="I52" i="20"/>
  <c r="J52" i="20"/>
  <c r="K52" i="20"/>
  <c r="L52" i="20"/>
  <c r="M52" i="20"/>
  <c r="N52" i="20"/>
  <c r="G53" i="20"/>
  <c r="H53" i="20"/>
  <c r="I53" i="20"/>
  <c r="J53" i="20"/>
  <c r="K53" i="20"/>
  <c r="L53" i="20"/>
  <c r="M53" i="20"/>
  <c r="N53" i="20"/>
  <c r="G54" i="20"/>
  <c r="H54" i="20"/>
  <c r="I54" i="20"/>
  <c r="J54" i="20"/>
  <c r="K54" i="20"/>
  <c r="L54" i="20"/>
  <c r="M54" i="20"/>
  <c r="N54" i="20"/>
  <c r="G55" i="20"/>
  <c r="H55" i="20"/>
  <c r="I55" i="20"/>
  <c r="J55" i="20"/>
  <c r="K55" i="20"/>
  <c r="L55" i="20"/>
  <c r="M55" i="20"/>
  <c r="N55" i="20"/>
  <c r="G56" i="20"/>
  <c r="H56" i="20"/>
  <c r="I56" i="20"/>
  <c r="J56" i="20"/>
  <c r="K56" i="20"/>
  <c r="L56" i="20"/>
  <c r="M56" i="20"/>
  <c r="N56" i="20"/>
  <c r="G57" i="20"/>
  <c r="H57" i="20"/>
  <c r="I57" i="20"/>
  <c r="J57" i="20"/>
  <c r="K57" i="20"/>
  <c r="L57" i="20"/>
  <c r="M57" i="20"/>
  <c r="N57" i="20"/>
  <c r="H47" i="20"/>
  <c r="I47" i="20"/>
  <c r="J47" i="20"/>
  <c r="K47" i="20"/>
  <c r="L47" i="20"/>
  <c r="M47" i="20"/>
  <c r="N47" i="20"/>
  <c r="G47" i="20"/>
  <c r="G33" i="20"/>
  <c r="H33" i="20"/>
  <c r="I33" i="20"/>
  <c r="J33" i="20"/>
  <c r="K33" i="20"/>
  <c r="L33" i="20"/>
  <c r="M33" i="20"/>
  <c r="N33" i="20"/>
  <c r="G34" i="20"/>
  <c r="H34" i="20"/>
  <c r="I34" i="20"/>
  <c r="J34" i="20"/>
  <c r="K34" i="20"/>
  <c r="L34" i="20"/>
  <c r="M34" i="20"/>
  <c r="N34" i="20"/>
  <c r="G35" i="20"/>
  <c r="H35" i="20"/>
  <c r="I35" i="20"/>
  <c r="J35" i="20"/>
  <c r="K35" i="20"/>
  <c r="L35" i="20"/>
  <c r="M35" i="20"/>
  <c r="N35" i="20"/>
  <c r="G36" i="20"/>
  <c r="H36" i="20"/>
  <c r="I36" i="20"/>
  <c r="J36" i="20"/>
  <c r="K36" i="20"/>
  <c r="L36" i="20"/>
  <c r="M36" i="20"/>
  <c r="N36" i="20"/>
  <c r="G37" i="20"/>
  <c r="H37" i="20"/>
  <c r="I37" i="20"/>
  <c r="J37" i="20"/>
  <c r="K37" i="20"/>
  <c r="L37" i="20"/>
  <c r="M37" i="20"/>
  <c r="N37" i="20"/>
  <c r="G38" i="20"/>
  <c r="H38" i="20"/>
  <c r="I38" i="20"/>
  <c r="J38" i="20"/>
  <c r="K38" i="20"/>
  <c r="L38" i="20"/>
  <c r="M38" i="20"/>
  <c r="N38" i="20"/>
  <c r="G39" i="20"/>
  <c r="H39" i="20"/>
  <c r="I39" i="20"/>
  <c r="J39" i="20"/>
  <c r="K39" i="20"/>
  <c r="L39" i="20"/>
  <c r="M39" i="20"/>
  <c r="N39" i="20"/>
  <c r="G40" i="20"/>
  <c r="H40" i="20"/>
  <c r="I40" i="20"/>
  <c r="J40" i="20"/>
  <c r="K40" i="20"/>
  <c r="L40" i="20"/>
  <c r="M40" i="20"/>
  <c r="N40" i="20"/>
  <c r="G41" i="20"/>
  <c r="H41" i="20"/>
  <c r="I41" i="20"/>
  <c r="J41" i="20"/>
  <c r="K41" i="20"/>
  <c r="L41" i="20"/>
  <c r="M41" i="20"/>
  <c r="N41" i="20"/>
  <c r="G42" i="20"/>
  <c r="H42" i="20"/>
  <c r="I42" i="20"/>
  <c r="J42" i="20"/>
  <c r="K42" i="20"/>
  <c r="L42" i="20"/>
  <c r="M42" i="20"/>
  <c r="N42" i="20"/>
  <c r="H32" i="20"/>
  <c r="I32" i="20"/>
  <c r="J32" i="20"/>
  <c r="K32" i="20"/>
  <c r="L32" i="20"/>
  <c r="M32" i="20"/>
  <c r="N32" i="20"/>
  <c r="G32" i="20"/>
  <c r="V6" i="20"/>
  <c r="W6" i="20"/>
  <c r="X6" i="20"/>
  <c r="Y6" i="20"/>
  <c r="Z6" i="20"/>
  <c r="AA6" i="20"/>
  <c r="AB6" i="20"/>
  <c r="V7" i="20"/>
  <c r="W7" i="20"/>
  <c r="X7" i="20"/>
  <c r="Y7" i="20"/>
  <c r="Z7" i="20"/>
  <c r="AA7" i="20"/>
  <c r="AB7" i="20"/>
  <c r="V8" i="20"/>
  <c r="W8" i="20"/>
  <c r="X8" i="20"/>
  <c r="Y8" i="20"/>
  <c r="Z8" i="20"/>
  <c r="AA8" i="20"/>
  <c r="AB8" i="20"/>
  <c r="V9" i="20"/>
  <c r="W9" i="20"/>
  <c r="X9" i="20"/>
  <c r="Y9" i="20"/>
  <c r="Z9" i="20"/>
  <c r="AA9" i="20"/>
  <c r="AB9" i="20"/>
  <c r="V10" i="20"/>
  <c r="W10" i="20"/>
  <c r="X10" i="20"/>
  <c r="Y10" i="20"/>
  <c r="Z10" i="20"/>
  <c r="AA10" i="20"/>
  <c r="AB10" i="20"/>
  <c r="V11" i="20"/>
  <c r="W11" i="20"/>
  <c r="X11" i="20"/>
  <c r="Y11" i="20"/>
  <c r="Z11" i="20"/>
  <c r="AA11" i="20"/>
  <c r="AB11" i="20"/>
  <c r="V12" i="20"/>
  <c r="W12" i="20"/>
  <c r="X12" i="20"/>
  <c r="Y12" i="20"/>
  <c r="Z12" i="20"/>
  <c r="AA12" i="20"/>
  <c r="AB12" i="20"/>
  <c r="V13" i="20"/>
  <c r="W13" i="20"/>
  <c r="X13" i="20"/>
  <c r="Y13" i="20"/>
  <c r="Z13" i="20"/>
  <c r="AA13" i="20"/>
  <c r="AB13" i="20"/>
  <c r="V14" i="20"/>
  <c r="W14" i="20"/>
  <c r="X14" i="20"/>
  <c r="Y14" i="20"/>
  <c r="Z14" i="20"/>
  <c r="AA14" i="20"/>
  <c r="AB14" i="20"/>
  <c r="V15" i="20"/>
  <c r="W15" i="20"/>
  <c r="X15" i="20"/>
  <c r="Y15" i="20"/>
  <c r="Z15" i="20"/>
  <c r="AA15" i="20"/>
  <c r="AB15" i="20"/>
  <c r="V16" i="20"/>
  <c r="W16" i="20"/>
  <c r="X16" i="20"/>
  <c r="Y16" i="20"/>
  <c r="Z16" i="20"/>
  <c r="AA16" i="20"/>
  <c r="AB16" i="20"/>
  <c r="V17" i="20"/>
  <c r="W17" i="20"/>
  <c r="X17" i="20"/>
  <c r="Y17" i="20"/>
  <c r="Z17" i="20"/>
  <c r="AA17" i="20"/>
  <c r="AB17" i="20"/>
  <c r="V18" i="20"/>
  <c r="W18" i="20"/>
  <c r="X18" i="20"/>
  <c r="Y18" i="20"/>
  <c r="Z18" i="20"/>
  <c r="AA18" i="20"/>
  <c r="AB18" i="20"/>
  <c r="V19" i="20"/>
  <c r="W19" i="20"/>
  <c r="X19" i="20"/>
  <c r="Y19" i="20"/>
  <c r="Z19" i="20"/>
  <c r="AA19" i="20"/>
  <c r="AB19" i="20"/>
  <c r="V20" i="20"/>
  <c r="W20" i="20"/>
  <c r="X20" i="20"/>
  <c r="Y20" i="20"/>
  <c r="Z20" i="20"/>
  <c r="AA20" i="20"/>
  <c r="AB20" i="20"/>
  <c r="V21" i="20"/>
  <c r="W21" i="20"/>
  <c r="X21" i="20"/>
  <c r="Y21" i="20"/>
  <c r="Z21" i="20"/>
  <c r="AA21" i="20"/>
  <c r="AB21" i="20"/>
  <c r="V22" i="20"/>
  <c r="W22" i="20"/>
  <c r="X22" i="20"/>
  <c r="Y22" i="20"/>
  <c r="Z22" i="20"/>
  <c r="AA22" i="20"/>
  <c r="AB22" i="20"/>
  <c r="V23" i="20"/>
  <c r="W23" i="20"/>
  <c r="X23" i="20"/>
  <c r="Y23" i="20"/>
  <c r="Z23" i="20"/>
  <c r="AA23" i="20"/>
  <c r="AB23" i="20"/>
  <c r="V24" i="20"/>
  <c r="W24" i="20"/>
  <c r="X24" i="20"/>
  <c r="Y24" i="20"/>
  <c r="Z24" i="20"/>
  <c r="AA24" i="20"/>
  <c r="AB24" i="20"/>
  <c r="W5" i="20"/>
  <c r="X5" i="20"/>
  <c r="Y5" i="20"/>
  <c r="Z5" i="20"/>
  <c r="AA5" i="20"/>
  <c r="AB5" i="20"/>
  <c r="V5" i="20"/>
  <c r="B17" i="20"/>
  <c r="B16" i="20"/>
  <c r="B15" i="20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5" i="19"/>
  <c r="K6" i="19"/>
  <c r="K7" i="19"/>
  <c r="K8" i="19"/>
  <c r="Z8" i="19" s="1"/>
  <c r="K9" i="19"/>
  <c r="K10" i="19"/>
  <c r="K11" i="19"/>
  <c r="K12" i="19"/>
  <c r="K13" i="19"/>
  <c r="K14" i="19"/>
  <c r="K15" i="19"/>
  <c r="Z15" i="19" s="1"/>
  <c r="K16" i="19"/>
  <c r="Z16" i="19" s="1"/>
  <c r="K17" i="19"/>
  <c r="K18" i="19"/>
  <c r="K19" i="19"/>
  <c r="K20" i="19"/>
  <c r="K21" i="19"/>
  <c r="K5" i="19"/>
  <c r="J7" i="20"/>
  <c r="J6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5" i="20"/>
  <c r="G5" i="20"/>
  <c r="G9" i="20"/>
  <c r="G8" i="20"/>
  <c r="G11" i="20"/>
  <c r="H10" i="20"/>
  <c r="H16" i="20"/>
  <c r="H15" i="20"/>
  <c r="H6" i="20"/>
  <c r="H7" i="20"/>
  <c r="H8" i="20"/>
  <c r="H9" i="20"/>
  <c r="H11" i="20"/>
  <c r="H12" i="20"/>
  <c r="H13" i="20"/>
  <c r="H14" i="20"/>
  <c r="H17" i="20"/>
  <c r="H18" i="20"/>
  <c r="H19" i="20"/>
  <c r="H20" i="20"/>
  <c r="H21" i="20"/>
  <c r="H5" i="20"/>
  <c r="G6" i="20"/>
  <c r="G7" i="20"/>
  <c r="G10" i="20"/>
  <c r="G12" i="20"/>
  <c r="G13" i="20"/>
  <c r="G14" i="20"/>
  <c r="G15" i="20"/>
  <c r="G16" i="20"/>
  <c r="G17" i="20"/>
  <c r="G18" i="20"/>
  <c r="G19" i="20"/>
  <c r="G20" i="20"/>
  <c r="G21" i="20"/>
  <c r="M6" i="20"/>
  <c r="N6" i="20"/>
  <c r="O6" i="20"/>
  <c r="P6" i="20"/>
  <c r="Q6" i="20"/>
  <c r="R6" i="20"/>
  <c r="S6" i="20"/>
  <c r="M7" i="20"/>
  <c r="N7" i="20"/>
  <c r="O7" i="20"/>
  <c r="P7" i="20"/>
  <c r="Q7" i="20"/>
  <c r="R7" i="20"/>
  <c r="S7" i="20"/>
  <c r="M8" i="20"/>
  <c r="N8" i="20"/>
  <c r="O8" i="20"/>
  <c r="P8" i="20"/>
  <c r="Q8" i="20"/>
  <c r="R8" i="20"/>
  <c r="S8" i="20"/>
  <c r="M9" i="20"/>
  <c r="N9" i="20"/>
  <c r="O9" i="20"/>
  <c r="P9" i="20"/>
  <c r="Q9" i="20"/>
  <c r="R9" i="20"/>
  <c r="S9" i="20"/>
  <c r="M10" i="20"/>
  <c r="N10" i="20"/>
  <c r="O10" i="20"/>
  <c r="P10" i="20"/>
  <c r="Q10" i="20"/>
  <c r="R10" i="20"/>
  <c r="S10" i="20"/>
  <c r="M11" i="20"/>
  <c r="N11" i="20"/>
  <c r="O11" i="20"/>
  <c r="P11" i="20"/>
  <c r="Q11" i="20"/>
  <c r="R11" i="20"/>
  <c r="S11" i="20"/>
  <c r="M12" i="20"/>
  <c r="N12" i="20"/>
  <c r="O12" i="20"/>
  <c r="P12" i="20"/>
  <c r="Q12" i="20"/>
  <c r="R12" i="20"/>
  <c r="S12" i="20"/>
  <c r="M13" i="20"/>
  <c r="N13" i="20"/>
  <c r="O13" i="20"/>
  <c r="P13" i="20"/>
  <c r="Q13" i="20"/>
  <c r="R13" i="20"/>
  <c r="S13" i="20"/>
  <c r="M14" i="20"/>
  <c r="N14" i="20"/>
  <c r="O14" i="20"/>
  <c r="P14" i="20"/>
  <c r="Q14" i="20"/>
  <c r="R14" i="20"/>
  <c r="S14" i="20"/>
  <c r="M15" i="20"/>
  <c r="N15" i="20"/>
  <c r="O15" i="20"/>
  <c r="P15" i="20"/>
  <c r="Q15" i="20"/>
  <c r="R15" i="20"/>
  <c r="S15" i="20"/>
  <c r="M16" i="20"/>
  <c r="N16" i="20"/>
  <c r="O16" i="20"/>
  <c r="P16" i="20"/>
  <c r="Q16" i="20"/>
  <c r="R16" i="20"/>
  <c r="S16" i="20"/>
  <c r="M17" i="20"/>
  <c r="N17" i="20"/>
  <c r="O17" i="20"/>
  <c r="P17" i="20"/>
  <c r="Q17" i="20"/>
  <c r="R17" i="20"/>
  <c r="S17" i="20"/>
  <c r="M18" i="20"/>
  <c r="N18" i="20"/>
  <c r="O18" i="20"/>
  <c r="P18" i="20"/>
  <c r="Q18" i="20"/>
  <c r="R18" i="20"/>
  <c r="S18" i="20"/>
  <c r="M19" i="20"/>
  <c r="N19" i="20"/>
  <c r="O19" i="20"/>
  <c r="P19" i="20"/>
  <c r="Q19" i="20"/>
  <c r="R19" i="20"/>
  <c r="S19" i="20"/>
  <c r="M20" i="20"/>
  <c r="N20" i="20"/>
  <c r="O20" i="20"/>
  <c r="P20" i="20"/>
  <c r="Q20" i="20"/>
  <c r="R20" i="20"/>
  <c r="S20" i="20"/>
  <c r="M21" i="20"/>
  <c r="N21" i="20"/>
  <c r="O21" i="20"/>
  <c r="P21" i="20"/>
  <c r="Q21" i="20"/>
  <c r="R21" i="20"/>
  <c r="S21" i="20"/>
  <c r="M22" i="20"/>
  <c r="N22" i="20"/>
  <c r="O22" i="20"/>
  <c r="P22" i="20"/>
  <c r="Q22" i="20"/>
  <c r="R22" i="20"/>
  <c r="S22" i="20"/>
  <c r="M23" i="20"/>
  <c r="N23" i="20"/>
  <c r="O23" i="20"/>
  <c r="P23" i="20"/>
  <c r="Q23" i="20"/>
  <c r="R23" i="20"/>
  <c r="S23" i="20"/>
  <c r="M24" i="20"/>
  <c r="N24" i="20"/>
  <c r="O24" i="20"/>
  <c r="P24" i="20"/>
  <c r="Q24" i="20"/>
  <c r="R24" i="20"/>
  <c r="S24" i="20"/>
  <c r="N5" i="20"/>
  <c r="O5" i="20"/>
  <c r="P5" i="20"/>
  <c r="Q5" i="20"/>
  <c r="R5" i="20"/>
  <c r="S5" i="20"/>
  <c r="M5" i="20"/>
  <c r="Z57" i="20"/>
  <c r="Y57" i="20"/>
  <c r="X57" i="20"/>
  <c r="W57" i="20"/>
  <c r="V57" i="20"/>
  <c r="U57" i="20"/>
  <c r="T57" i="20"/>
  <c r="S57" i="20"/>
  <c r="Z56" i="20"/>
  <c r="Y56" i="20"/>
  <c r="X56" i="20"/>
  <c r="W56" i="20"/>
  <c r="V56" i="20"/>
  <c r="U56" i="20"/>
  <c r="T56" i="20"/>
  <c r="S56" i="20"/>
  <c r="Z55" i="20"/>
  <c r="Y55" i="20"/>
  <c r="X55" i="20"/>
  <c r="W55" i="20"/>
  <c r="V55" i="20"/>
  <c r="U55" i="20"/>
  <c r="T55" i="20"/>
  <c r="S55" i="20"/>
  <c r="Z54" i="20"/>
  <c r="Y54" i="20"/>
  <c r="X54" i="20"/>
  <c r="W54" i="20"/>
  <c r="V54" i="20"/>
  <c r="U54" i="20"/>
  <c r="T54" i="20"/>
  <c r="S54" i="20"/>
  <c r="Z53" i="20"/>
  <c r="Y53" i="20"/>
  <c r="X53" i="20"/>
  <c r="W53" i="20"/>
  <c r="V53" i="20"/>
  <c r="U53" i="20"/>
  <c r="T53" i="20"/>
  <c r="S53" i="20"/>
  <c r="Z52" i="20"/>
  <c r="Y52" i="20"/>
  <c r="X52" i="20"/>
  <c r="W52" i="20"/>
  <c r="V52" i="20"/>
  <c r="U52" i="20"/>
  <c r="T52" i="20"/>
  <c r="S52" i="20"/>
  <c r="Z51" i="20"/>
  <c r="Y51" i="20"/>
  <c r="X51" i="20"/>
  <c r="W51" i="20"/>
  <c r="V51" i="20"/>
  <c r="U51" i="20"/>
  <c r="T51" i="20"/>
  <c r="S51" i="20"/>
  <c r="Z50" i="20"/>
  <c r="Y50" i="20"/>
  <c r="X50" i="20"/>
  <c r="W50" i="20"/>
  <c r="V50" i="20"/>
  <c r="U50" i="20"/>
  <c r="T50" i="20"/>
  <c r="S50" i="20"/>
  <c r="Z49" i="20"/>
  <c r="Y49" i="20"/>
  <c r="X49" i="20"/>
  <c r="W49" i="20"/>
  <c r="V49" i="20"/>
  <c r="U49" i="20"/>
  <c r="T49" i="20"/>
  <c r="S49" i="20"/>
  <c r="Z48" i="20"/>
  <c r="Y48" i="20"/>
  <c r="X48" i="20"/>
  <c r="W48" i="20"/>
  <c r="V48" i="20"/>
  <c r="U48" i="20"/>
  <c r="T48" i="20"/>
  <c r="S48" i="20"/>
  <c r="Z47" i="20"/>
  <c r="Y47" i="20"/>
  <c r="X47" i="20"/>
  <c r="W47" i="20"/>
  <c r="V47" i="20"/>
  <c r="U47" i="20"/>
  <c r="T47" i="20"/>
  <c r="S47" i="20"/>
  <c r="Z42" i="20"/>
  <c r="Y42" i="20"/>
  <c r="X42" i="20"/>
  <c r="W42" i="20"/>
  <c r="V42" i="20"/>
  <c r="U42" i="20"/>
  <c r="T42" i="20"/>
  <c r="S42" i="20"/>
  <c r="Z41" i="20"/>
  <c r="Y41" i="20"/>
  <c r="X41" i="20"/>
  <c r="W41" i="20"/>
  <c r="V41" i="20"/>
  <c r="U41" i="20"/>
  <c r="T41" i="20"/>
  <c r="S41" i="20"/>
  <c r="Z40" i="20"/>
  <c r="Y40" i="20"/>
  <c r="X40" i="20"/>
  <c r="W40" i="20"/>
  <c r="V40" i="20"/>
  <c r="U40" i="20"/>
  <c r="T40" i="20"/>
  <c r="S40" i="20"/>
  <c r="Z39" i="20"/>
  <c r="Y39" i="20"/>
  <c r="X39" i="20"/>
  <c r="W39" i="20"/>
  <c r="V39" i="20"/>
  <c r="U39" i="20"/>
  <c r="T39" i="20"/>
  <c r="S39" i="20"/>
  <c r="Z38" i="20"/>
  <c r="Y38" i="20"/>
  <c r="X38" i="20"/>
  <c r="W38" i="20"/>
  <c r="V38" i="20"/>
  <c r="U38" i="20"/>
  <c r="T38" i="20"/>
  <c r="S38" i="20"/>
  <c r="Z37" i="20"/>
  <c r="Y37" i="20"/>
  <c r="X37" i="20"/>
  <c r="W37" i="20"/>
  <c r="V37" i="20"/>
  <c r="U37" i="20"/>
  <c r="T37" i="20"/>
  <c r="S37" i="20"/>
  <c r="Z36" i="20"/>
  <c r="Y36" i="20"/>
  <c r="X36" i="20"/>
  <c r="W36" i="20"/>
  <c r="V36" i="20"/>
  <c r="U36" i="20"/>
  <c r="T36" i="20"/>
  <c r="S36" i="20"/>
  <c r="Z35" i="20"/>
  <c r="Y35" i="20"/>
  <c r="X35" i="20"/>
  <c r="W35" i="20"/>
  <c r="V35" i="20"/>
  <c r="U35" i="20"/>
  <c r="T35" i="20"/>
  <c r="S35" i="20"/>
  <c r="Z34" i="20"/>
  <c r="Y34" i="20"/>
  <c r="X34" i="20"/>
  <c r="W34" i="20"/>
  <c r="V34" i="20"/>
  <c r="U34" i="20"/>
  <c r="T34" i="20"/>
  <c r="S34" i="20"/>
  <c r="Z33" i="20"/>
  <c r="Y33" i="20"/>
  <c r="X33" i="20"/>
  <c r="W33" i="20"/>
  <c r="V33" i="20"/>
  <c r="U33" i="20"/>
  <c r="T33" i="20"/>
  <c r="S33" i="20"/>
  <c r="Z32" i="20"/>
  <c r="Y32" i="20"/>
  <c r="X32" i="20"/>
  <c r="W32" i="20"/>
  <c r="V32" i="20"/>
  <c r="U32" i="20"/>
  <c r="T32" i="20"/>
  <c r="S32" i="20"/>
  <c r="S27" i="20"/>
  <c r="C11" i="20"/>
  <c r="J5" i="20"/>
  <c r="H13" i="19"/>
  <c r="G8" i="19"/>
  <c r="G7" i="19"/>
  <c r="G6" i="19"/>
  <c r="Q12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5" i="19"/>
  <c r="U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5" i="19"/>
  <c r="Q6" i="19"/>
  <c r="Q7" i="19"/>
  <c r="Q8" i="19"/>
  <c r="Q9" i="19"/>
  <c r="Q10" i="19"/>
  <c r="Q11" i="19"/>
  <c r="Q13" i="19"/>
  <c r="Q14" i="19"/>
  <c r="Q15" i="19"/>
  <c r="Q16" i="19"/>
  <c r="Q17" i="19"/>
  <c r="Q18" i="19"/>
  <c r="Q19" i="19"/>
  <c r="Q20" i="19"/>
  <c r="Q21" i="19"/>
  <c r="Q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5" i="19"/>
  <c r="J6" i="19"/>
  <c r="J7" i="19"/>
  <c r="J8" i="19"/>
  <c r="J9" i="19"/>
  <c r="J10" i="19"/>
  <c r="J11" i="19"/>
  <c r="J12" i="19"/>
  <c r="J13" i="19"/>
  <c r="J15" i="19"/>
  <c r="J16" i="19"/>
  <c r="J17" i="19"/>
  <c r="J18" i="19"/>
  <c r="J19" i="19"/>
  <c r="J20" i="19"/>
  <c r="J21" i="19"/>
  <c r="J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5" i="19"/>
  <c r="H6" i="19"/>
  <c r="H7" i="19"/>
  <c r="H8" i="19"/>
  <c r="H9" i="19"/>
  <c r="H10" i="19"/>
  <c r="H11" i="19"/>
  <c r="H12" i="19"/>
  <c r="H14" i="19"/>
  <c r="H15" i="19"/>
  <c r="H16" i="19"/>
  <c r="H17" i="19"/>
  <c r="H18" i="19"/>
  <c r="H19" i="19"/>
  <c r="H20" i="19"/>
  <c r="H21" i="19"/>
  <c r="H5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5" i="19"/>
  <c r="C12" i="19"/>
  <c r="S27" i="18"/>
  <c r="S32" i="18"/>
  <c r="G32" i="18"/>
  <c r="G5" i="18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V24" i="16"/>
  <c r="W24" i="16"/>
  <c r="X24" i="16"/>
  <c r="Y24" i="16"/>
  <c r="Z24" i="16"/>
  <c r="AA24" i="16"/>
  <c r="AB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T47" i="18"/>
  <c r="U47" i="18"/>
  <c r="V47" i="18"/>
  <c r="W47" i="18"/>
  <c r="X47" i="18"/>
  <c r="Y47" i="18"/>
  <c r="Z47" i="18"/>
  <c r="T48" i="18"/>
  <c r="U48" i="18"/>
  <c r="V48" i="18"/>
  <c r="W48" i="18"/>
  <c r="X48" i="18"/>
  <c r="Y48" i="18"/>
  <c r="Z48" i="18"/>
  <c r="T49" i="18"/>
  <c r="U49" i="18"/>
  <c r="V49" i="18"/>
  <c r="W49" i="18"/>
  <c r="X49" i="18"/>
  <c r="Y49" i="18"/>
  <c r="Z49" i="18"/>
  <c r="T50" i="18"/>
  <c r="U50" i="18"/>
  <c r="V50" i="18"/>
  <c r="W50" i="18"/>
  <c r="X50" i="18"/>
  <c r="Y50" i="18"/>
  <c r="Z50" i="18"/>
  <c r="T51" i="18"/>
  <c r="U51" i="18"/>
  <c r="V51" i="18"/>
  <c r="W51" i="18"/>
  <c r="X51" i="18"/>
  <c r="Y51" i="18"/>
  <c r="Z51" i="18"/>
  <c r="T52" i="18"/>
  <c r="U52" i="18"/>
  <c r="V52" i="18"/>
  <c r="W52" i="18"/>
  <c r="X52" i="18"/>
  <c r="Y52" i="18"/>
  <c r="Z52" i="18"/>
  <c r="T53" i="18"/>
  <c r="U53" i="18"/>
  <c r="V53" i="18"/>
  <c r="W53" i="18"/>
  <c r="X53" i="18"/>
  <c r="Y53" i="18"/>
  <c r="Z53" i="18"/>
  <c r="T54" i="18"/>
  <c r="U54" i="18"/>
  <c r="V54" i="18"/>
  <c r="W54" i="18"/>
  <c r="X54" i="18"/>
  <c r="Y54" i="18"/>
  <c r="Z54" i="18"/>
  <c r="T55" i="18"/>
  <c r="U55" i="18"/>
  <c r="V55" i="18"/>
  <c r="W55" i="18"/>
  <c r="X55" i="18"/>
  <c r="Y55" i="18"/>
  <c r="Z55" i="18"/>
  <c r="T56" i="18"/>
  <c r="U56" i="18"/>
  <c r="V56" i="18"/>
  <c r="W56" i="18"/>
  <c r="X56" i="18"/>
  <c r="Y56" i="18"/>
  <c r="Z56" i="18"/>
  <c r="T57" i="18"/>
  <c r="U57" i="18"/>
  <c r="V57" i="18"/>
  <c r="W57" i="18"/>
  <c r="X57" i="18"/>
  <c r="Y57" i="18"/>
  <c r="Z57" i="18"/>
  <c r="S48" i="18"/>
  <c r="S49" i="18"/>
  <c r="S50" i="18"/>
  <c r="S51" i="18"/>
  <c r="S52" i="18"/>
  <c r="S53" i="18"/>
  <c r="S54" i="18"/>
  <c r="S55" i="18"/>
  <c r="S56" i="18"/>
  <c r="S57" i="18"/>
  <c r="S47" i="18"/>
  <c r="H47" i="18"/>
  <c r="I47" i="18"/>
  <c r="J47" i="18"/>
  <c r="K47" i="18"/>
  <c r="L47" i="18"/>
  <c r="M47" i="18"/>
  <c r="N47" i="18"/>
  <c r="H48" i="18"/>
  <c r="I48" i="18"/>
  <c r="J48" i="18"/>
  <c r="K48" i="18"/>
  <c r="L48" i="18"/>
  <c r="M48" i="18"/>
  <c r="N48" i="18"/>
  <c r="H49" i="18"/>
  <c r="I49" i="18"/>
  <c r="J49" i="18"/>
  <c r="K49" i="18"/>
  <c r="L49" i="18"/>
  <c r="M49" i="18"/>
  <c r="N49" i="18"/>
  <c r="H50" i="18"/>
  <c r="I50" i="18"/>
  <c r="J50" i="18"/>
  <c r="K50" i="18"/>
  <c r="L50" i="18"/>
  <c r="M50" i="18"/>
  <c r="N50" i="18"/>
  <c r="H51" i="18"/>
  <c r="I51" i="18"/>
  <c r="J51" i="18"/>
  <c r="K51" i="18"/>
  <c r="L51" i="18"/>
  <c r="M51" i="18"/>
  <c r="N51" i="18"/>
  <c r="H52" i="18"/>
  <c r="I52" i="18"/>
  <c r="J52" i="18"/>
  <c r="K52" i="18"/>
  <c r="L52" i="18"/>
  <c r="M52" i="18"/>
  <c r="N52" i="18"/>
  <c r="H53" i="18"/>
  <c r="I53" i="18"/>
  <c r="J53" i="18"/>
  <c r="K53" i="18"/>
  <c r="L53" i="18"/>
  <c r="M53" i="18"/>
  <c r="N53" i="18"/>
  <c r="H54" i="18"/>
  <c r="I54" i="18"/>
  <c r="J54" i="18"/>
  <c r="K54" i="18"/>
  <c r="L54" i="18"/>
  <c r="M54" i="18"/>
  <c r="N54" i="18"/>
  <c r="H55" i="18"/>
  <c r="I55" i="18"/>
  <c r="J55" i="18"/>
  <c r="K55" i="18"/>
  <c r="L55" i="18"/>
  <c r="M55" i="18"/>
  <c r="N55" i="18"/>
  <c r="H56" i="18"/>
  <c r="I56" i="18"/>
  <c r="J56" i="18"/>
  <c r="K56" i="18"/>
  <c r="L56" i="18"/>
  <c r="M56" i="18"/>
  <c r="N56" i="18"/>
  <c r="H57" i="18"/>
  <c r="I57" i="18"/>
  <c r="J57" i="18"/>
  <c r="K57" i="18"/>
  <c r="L57" i="18"/>
  <c r="M57" i="18"/>
  <c r="N57" i="18"/>
  <c r="G48" i="18"/>
  <c r="G49" i="18"/>
  <c r="G50" i="18"/>
  <c r="G51" i="18"/>
  <c r="G52" i="18"/>
  <c r="G53" i="18"/>
  <c r="G54" i="18"/>
  <c r="G55" i="18"/>
  <c r="G56" i="18"/>
  <c r="G57" i="18"/>
  <c r="T32" i="18"/>
  <c r="U32" i="18"/>
  <c r="V32" i="18"/>
  <c r="W32" i="18"/>
  <c r="X32" i="18"/>
  <c r="Y32" i="18"/>
  <c r="Z32" i="18"/>
  <c r="T33" i="18"/>
  <c r="U33" i="18"/>
  <c r="V33" i="18"/>
  <c r="W33" i="18"/>
  <c r="X33" i="18"/>
  <c r="Y33" i="18"/>
  <c r="Z33" i="18"/>
  <c r="T34" i="18"/>
  <c r="U34" i="18"/>
  <c r="V34" i="18"/>
  <c r="W34" i="18"/>
  <c r="X34" i="18"/>
  <c r="Y34" i="18"/>
  <c r="Z34" i="18"/>
  <c r="T35" i="18"/>
  <c r="U35" i="18"/>
  <c r="V35" i="18"/>
  <c r="W35" i="18"/>
  <c r="X35" i="18"/>
  <c r="Y35" i="18"/>
  <c r="Z35" i="18"/>
  <c r="T36" i="18"/>
  <c r="U36" i="18"/>
  <c r="V36" i="18"/>
  <c r="W36" i="18"/>
  <c r="X36" i="18"/>
  <c r="Y36" i="18"/>
  <c r="Z36" i="18"/>
  <c r="T37" i="18"/>
  <c r="U37" i="18"/>
  <c r="V37" i="18"/>
  <c r="W37" i="18"/>
  <c r="X37" i="18"/>
  <c r="Y37" i="18"/>
  <c r="Z37" i="18"/>
  <c r="T38" i="18"/>
  <c r="U38" i="18"/>
  <c r="V38" i="18"/>
  <c r="W38" i="18"/>
  <c r="X38" i="18"/>
  <c r="Y38" i="18"/>
  <c r="Z38" i="18"/>
  <c r="T39" i="18"/>
  <c r="U39" i="18"/>
  <c r="V39" i="18"/>
  <c r="W39" i="18"/>
  <c r="X39" i="18"/>
  <c r="Y39" i="18"/>
  <c r="Z39" i="18"/>
  <c r="T40" i="18"/>
  <c r="U40" i="18"/>
  <c r="V40" i="18"/>
  <c r="W40" i="18"/>
  <c r="X40" i="18"/>
  <c r="Y40" i="18"/>
  <c r="Z40" i="18"/>
  <c r="T41" i="18"/>
  <c r="U41" i="18"/>
  <c r="V41" i="18"/>
  <c r="W41" i="18"/>
  <c r="X41" i="18"/>
  <c r="Y41" i="18"/>
  <c r="Z41" i="18"/>
  <c r="T42" i="18"/>
  <c r="U42" i="18"/>
  <c r="V42" i="18"/>
  <c r="W42" i="18"/>
  <c r="X42" i="18"/>
  <c r="Y42" i="18"/>
  <c r="Z42" i="18"/>
  <c r="S33" i="18"/>
  <c r="S34" i="18"/>
  <c r="S35" i="18"/>
  <c r="S36" i="18"/>
  <c r="S37" i="18"/>
  <c r="S38" i="18"/>
  <c r="S39" i="18"/>
  <c r="S40" i="18"/>
  <c r="S41" i="18"/>
  <c r="S42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5" i="16"/>
  <c r="G47" i="18"/>
  <c r="H32" i="18"/>
  <c r="I32" i="18"/>
  <c r="J32" i="18"/>
  <c r="K32" i="18"/>
  <c r="L32" i="18"/>
  <c r="M32" i="18"/>
  <c r="N32" i="18"/>
  <c r="H33" i="18"/>
  <c r="I33" i="18"/>
  <c r="J33" i="18"/>
  <c r="K33" i="18"/>
  <c r="L33" i="18"/>
  <c r="M33" i="18"/>
  <c r="N33" i="18"/>
  <c r="H34" i="18"/>
  <c r="I34" i="18"/>
  <c r="J34" i="18"/>
  <c r="K34" i="18"/>
  <c r="L34" i="18"/>
  <c r="M34" i="18"/>
  <c r="N34" i="18"/>
  <c r="H35" i="18"/>
  <c r="I35" i="18"/>
  <c r="J35" i="18"/>
  <c r="K35" i="18"/>
  <c r="L35" i="18"/>
  <c r="M35" i="18"/>
  <c r="N35" i="18"/>
  <c r="H36" i="18"/>
  <c r="I36" i="18"/>
  <c r="J36" i="18"/>
  <c r="K36" i="18"/>
  <c r="L36" i="18"/>
  <c r="M36" i="18"/>
  <c r="N36" i="18"/>
  <c r="H37" i="18"/>
  <c r="I37" i="18"/>
  <c r="J37" i="18"/>
  <c r="K37" i="18"/>
  <c r="L37" i="18"/>
  <c r="M37" i="18"/>
  <c r="N37" i="18"/>
  <c r="H38" i="18"/>
  <c r="I38" i="18"/>
  <c r="J38" i="18"/>
  <c r="K38" i="18"/>
  <c r="L38" i="18"/>
  <c r="M38" i="18"/>
  <c r="N38" i="18"/>
  <c r="H39" i="18"/>
  <c r="I39" i="18"/>
  <c r="J39" i="18"/>
  <c r="K39" i="18"/>
  <c r="L39" i="18"/>
  <c r="M39" i="18"/>
  <c r="N39" i="18"/>
  <c r="H40" i="18"/>
  <c r="I40" i="18"/>
  <c r="J40" i="18"/>
  <c r="K40" i="18"/>
  <c r="L40" i="18"/>
  <c r="M40" i="18"/>
  <c r="N40" i="18"/>
  <c r="H41" i="18"/>
  <c r="I41" i="18"/>
  <c r="J41" i="18"/>
  <c r="K41" i="18"/>
  <c r="L41" i="18"/>
  <c r="M41" i="18"/>
  <c r="N41" i="18"/>
  <c r="H42" i="18"/>
  <c r="I42" i="18"/>
  <c r="J42" i="18"/>
  <c r="K42" i="18"/>
  <c r="L42" i="18"/>
  <c r="M42" i="18"/>
  <c r="N42" i="18"/>
  <c r="G33" i="18"/>
  <c r="G34" i="18"/>
  <c r="G35" i="18"/>
  <c r="G36" i="18"/>
  <c r="G37" i="18"/>
  <c r="G38" i="18"/>
  <c r="G39" i="18"/>
  <c r="G40" i="18"/>
  <c r="G41" i="18"/>
  <c r="G42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5" i="18"/>
  <c r="V6" i="18"/>
  <c r="AN27" i="18" s="1"/>
  <c r="W6" i="18"/>
  <c r="AO27" i="18" s="1"/>
  <c r="X6" i="18"/>
  <c r="AP27" i="18" s="1"/>
  <c r="Y6" i="18"/>
  <c r="AQ27" i="18" s="1"/>
  <c r="Z6" i="18"/>
  <c r="AR27" i="18" s="1"/>
  <c r="AA6" i="18"/>
  <c r="AS27" i="18" s="1"/>
  <c r="AB6" i="18"/>
  <c r="AT27" i="18" s="1"/>
  <c r="V7" i="18"/>
  <c r="AN28" i="18" s="1"/>
  <c r="W7" i="18"/>
  <c r="AO28" i="18" s="1"/>
  <c r="X7" i="18"/>
  <c r="AP28" i="18" s="1"/>
  <c r="Y7" i="18"/>
  <c r="AQ28" i="18" s="1"/>
  <c r="Z7" i="18"/>
  <c r="AR28" i="18" s="1"/>
  <c r="AA7" i="18"/>
  <c r="AS28" i="18" s="1"/>
  <c r="AB7" i="18"/>
  <c r="AT28" i="18" s="1"/>
  <c r="V8" i="18"/>
  <c r="AN29" i="18" s="1"/>
  <c r="W8" i="18"/>
  <c r="AO29" i="18" s="1"/>
  <c r="X8" i="18"/>
  <c r="AP29" i="18" s="1"/>
  <c r="Y8" i="18"/>
  <c r="AQ29" i="18" s="1"/>
  <c r="Z8" i="18"/>
  <c r="AR29" i="18" s="1"/>
  <c r="AA8" i="18"/>
  <c r="AS29" i="18" s="1"/>
  <c r="AB8" i="18"/>
  <c r="AT29" i="18" s="1"/>
  <c r="V9" i="18"/>
  <c r="AN30" i="18" s="1"/>
  <c r="W9" i="18"/>
  <c r="AO30" i="18" s="1"/>
  <c r="X9" i="18"/>
  <c r="AP30" i="18" s="1"/>
  <c r="Y9" i="18"/>
  <c r="AQ30" i="18" s="1"/>
  <c r="Z9" i="18"/>
  <c r="AR30" i="18" s="1"/>
  <c r="AA9" i="18"/>
  <c r="AS30" i="18" s="1"/>
  <c r="AB9" i="18"/>
  <c r="AT30" i="18" s="1"/>
  <c r="V10" i="18"/>
  <c r="AN31" i="18" s="1"/>
  <c r="W10" i="18"/>
  <c r="AO31" i="18" s="1"/>
  <c r="X10" i="18"/>
  <c r="AP31" i="18" s="1"/>
  <c r="Y10" i="18"/>
  <c r="AQ31" i="18" s="1"/>
  <c r="Z10" i="18"/>
  <c r="AR31" i="18" s="1"/>
  <c r="AA10" i="18"/>
  <c r="AS31" i="18" s="1"/>
  <c r="AB10" i="18"/>
  <c r="AT31" i="18" s="1"/>
  <c r="V11" i="18"/>
  <c r="AN32" i="18" s="1"/>
  <c r="W11" i="18"/>
  <c r="AO32" i="18" s="1"/>
  <c r="X11" i="18"/>
  <c r="AP32" i="18" s="1"/>
  <c r="Y11" i="18"/>
  <c r="AQ32" i="18" s="1"/>
  <c r="Z11" i="18"/>
  <c r="AR32" i="18" s="1"/>
  <c r="AA11" i="18"/>
  <c r="AS32" i="18" s="1"/>
  <c r="AB11" i="18"/>
  <c r="AT32" i="18" s="1"/>
  <c r="V12" i="18"/>
  <c r="AN33" i="18" s="1"/>
  <c r="W12" i="18"/>
  <c r="AO33" i="18" s="1"/>
  <c r="X12" i="18"/>
  <c r="AP33" i="18" s="1"/>
  <c r="Y12" i="18"/>
  <c r="AQ33" i="18" s="1"/>
  <c r="Z12" i="18"/>
  <c r="AR33" i="18" s="1"/>
  <c r="AA12" i="18"/>
  <c r="AS33" i="18" s="1"/>
  <c r="AB12" i="18"/>
  <c r="AT33" i="18" s="1"/>
  <c r="V13" i="18"/>
  <c r="AN34" i="18" s="1"/>
  <c r="W13" i="18"/>
  <c r="AO34" i="18" s="1"/>
  <c r="X13" i="18"/>
  <c r="AP34" i="18" s="1"/>
  <c r="Y13" i="18"/>
  <c r="AQ34" i="18" s="1"/>
  <c r="Z13" i="18"/>
  <c r="AR34" i="18" s="1"/>
  <c r="AA13" i="18"/>
  <c r="AS34" i="18" s="1"/>
  <c r="AB13" i="18"/>
  <c r="AT34" i="18" s="1"/>
  <c r="V14" i="18"/>
  <c r="AN35" i="18" s="1"/>
  <c r="W14" i="18"/>
  <c r="AO35" i="18" s="1"/>
  <c r="X14" i="18"/>
  <c r="AP35" i="18" s="1"/>
  <c r="Y14" i="18"/>
  <c r="AQ35" i="18" s="1"/>
  <c r="Z14" i="18"/>
  <c r="AR35" i="18" s="1"/>
  <c r="AA14" i="18"/>
  <c r="AS35" i="18" s="1"/>
  <c r="AB14" i="18"/>
  <c r="AT35" i="18" s="1"/>
  <c r="V15" i="18"/>
  <c r="AN36" i="18" s="1"/>
  <c r="W15" i="18"/>
  <c r="AO36" i="18" s="1"/>
  <c r="X15" i="18"/>
  <c r="AP36" i="18" s="1"/>
  <c r="Y15" i="18"/>
  <c r="AQ36" i="18" s="1"/>
  <c r="Z15" i="18"/>
  <c r="AR36" i="18" s="1"/>
  <c r="AA15" i="18"/>
  <c r="AS36" i="18" s="1"/>
  <c r="AB15" i="18"/>
  <c r="AT36" i="18" s="1"/>
  <c r="V16" i="18"/>
  <c r="AN37" i="18" s="1"/>
  <c r="W16" i="18"/>
  <c r="AO37" i="18" s="1"/>
  <c r="X16" i="18"/>
  <c r="AP37" i="18" s="1"/>
  <c r="Y16" i="18"/>
  <c r="AQ37" i="18" s="1"/>
  <c r="Z16" i="18"/>
  <c r="AR37" i="18" s="1"/>
  <c r="AA16" i="18"/>
  <c r="AS37" i="18" s="1"/>
  <c r="AB16" i="18"/>
  <c r="AT37" i="18" s="1"/>
  <c r="V17" i="18"/>
  <c r="AN38" i="18" s="1"/>
  <c r="W17" i="18"/>
  <c r="AO38" i="18" s="1"/>
  <c r="X17" i="18"/>
  <c r="AP38" i="18" s="1"/>
  <c r="Y17" i="18"/>
  <c r="AQ38" i="18" s="1"/>
  <c r="Z17" i="18"/>
  <c r="AR38" i="18" s="1"/>
  <c r="AA17" i="18"/>
  <c r="AS38" i="18" s="1"/>
  <c r="AB17" i="18"/>
  <c r="AT38" i="18" s="1"/>
  <c r="V18" i="18"/>
  <c r="AN39" i="18" s="1"/>
  <c r="W18" i="18"/>
  <c r="AO39" i="18" s="1"/>
  <c r="X18" i="18"/>
  <c r="AP39" i="18" s="1"/>
  <c r="Y18" i="18"/>
  <c r="AQ39" i="18" s="1"/>
  <c r="Z18" i="18"/>
  <c r="AR39" i="18" s="1"/>
  <c r="AA18" i="18"/>
  <c r="AS39" i="18" s="1"/>
  <c r="AB18" i="18"/>
  <c r="AT39" i="18" s="1"/>
  <c r="V19" i="18"/>
  <c r="AN40" i="18" s="1"/>
  <c r="W19" i="18"/>
  <c r="AO40" i="18" s="1"/>
  <c r="X19" i="18"/>
  <c r="AP40" i="18" s="1"/>
  <c r="Y19" i="18"/>
  <c r="AQ40" i="18" s="1"/>
  <c r="Z19" i="18"/>
  <c r="AR40" i="18" s="1"/>
  <c r="AA19" i="18"/>
  <c r="AS40" i="18" s="1"/>
  <c r="AB19" i="18"/>
  <c r="AT40" i="18" s="1"/>
  <c r="V20" i="18"/>
  <c r="AN41" i="18" s="1"/>
  <c r="W20" i="18"/>
  <c r="AO41" i="18" s="1"/>
  <c r="X20" i="18"/>
  <c r="AP41" i="18" s="1"/>
  <c r="Y20" i="18"/>
  <c r="AQ41" i="18" s="1"/>
  <c r="Z20" i="18"/>
  <c r="AR41" i="18" s="1"/>
  <c r="AA20" i="18"/>
  <c r="AS41" i="18" s="1"/>
  <c r="AB20" i="18"/>
  <c r="AT41" i="18" s="1"/>
  <c r="V21" i="18"/>
  <c r="AN42" i="18" s="1"/>
  <c r="W21" i="18"/>
  <c r="AO42" i="18" s="1"/>
  <c r="X21" i="18"/>
  <c r="AP42" i="18" s="1"/>
  <c r="Y21" i="18"/>
  <c r="AQ42" i="18" s="1"/>
  <c r="Z21" i="18"/>
  <c r="AR42" i="18" s="1"/>
  <c r="AA21" i="18"/>
  <c r="AS42" i="18" s="1"/>
  <c r="AB21" i="18"/>
  <c r="AT42" i="18" s="1"/>
  <c r="V22" i="18"/>
  <c r="AN43" i="18" s="1"/>
  <c r="W22" i="18"/>
  <c r="AO43" i="18" s="1"/>
  <c r="X22" i="18"/>
  <c r="AP43" i="18" s="1"/>
  <c r="Y22" i="18"/>
  <c r="AQ43" i="18" s="1"/>
  <c r="Z22" i="18"/>
  <c r="AR43" i="18" s="1"/>
  <c r="AA22" i="18"/>
  <c r="AS43" i="18" s="1"/>
  <c r="AB22" i="18"/>
  <c r="AT43" i="18" s="1"/>
  <c r="V23" i="18"/>
  <c r="AN44" i="18" s="1"/>
  <c r="W23" i="18"/>
  <c r="AO44" i="18" s="1"/>
  <c r="X23" i="18"/>
  <c r="AP44" i="18" s="1"/>
  <c r="Y23" i="18"/>
  <c r="AQ44" i="18" s="1"/>
  <c r="Z23" i="18"/>
  <c r="AR44" i="18" s="1"/>
  <c r="AA23" i="18"/>
  <c r="AS44" i="18" s="1"/>
  <c r="AB23" i="18"/>
  <c r="AT44" i="18" s="1"/>
  <c r="V24" i="18"/>
  <c r="AN45" i="18" s="1"/>
  <c r="W24" i="18"/>
  <c r="AO45" i="18" s="1"/>
  <c r="X24" i="18"/>
  <c r="AP45" i="18" s="1"/>
  <c r="Y24" i="18"/>
  <c r="AQ45" i="18" s="1"/>
  <c r="Z24" i="18"/>
  <c r="AR45" i="18" s="1"/>
  <c r="AA24" i="18"/>
  <c r="AS45" i="18" s="1"/>
  <c r="AB24" i="18"/>
  <c r="AT45" i="18" s="1"/>
  <c r="W5" i="18"/>
  <c r="AO26" i="18" s="1"/>
  <c r="X5" i="18"/>
  <c r="AP26" i="18" s="1"/>
  <c r="Y5" i="18"/>
  <c r="AQ26" i="18" s="1"/>
  <c r="Z5" i="18"/>
  <c r="AR26" i="18" s="1"/>
  <c r="AA5" i="18"/>
  <c r="AS26" i="18" s="1"/>
  <c r="AB5" i="18"/>
  <c r="AT26" i="18" s="1"/>
  <c r="V5" i="18"/>
  <c r="AN26" i="18" s="1"/>
  <c r="N6" i="18"/>
  <c r="AF27" i="18" s="1"/>
  <c r="O6" i="18"/>
  <c r="AG27" i="18" s="1"/>
  <c r="P6" i="18"/>
  <c r="AH27" i="18" s="1"/>
  <c r="Q6" i="18"/>
  <c r="AI27" i="18" s="1"/>
  <c r="R6" i="18"/>
  <c r="AJ27" i="18" s="1"/>
  <c r="S6" i="18"/>
  <c r="AK27" i="18" s="1"/>
  <c r="M7" i="18"/>
  <c r="AE28" i="18" s="1"/>
  <c r="N7" i="18"/>
  <c r="AF28" i="18" s="1"/>
  <c r="O7" i="18"/>
  <c r="AG28" i="18" s="1"/>
  <c r="P7" i="18"/>
  <c r="AH28" i="18" s="1"/>
  <c r="Q7" i="18"/>
  <c r="AI28" i="18" s="1"/>
  <c r="R7" i="18"/>
  <c r="AJ28" i="18" s="1"/>
  <c r="S7" i="18"/>
  <c r="AK28" i="18" s="1"/>
  <c r="N8" i="18"/>
  <c r="AF29" i="18" s="1"/>
  <c r="O8" i="18"/>
  <c r="AG29" i="18" s="1"/>
  <c r="P8" i="18"/>
  <c r="AH29" i="18" s="1"/>
  <c r="Q8" i="18"/>
  <c r="AI29" i="18" s="1"/>
  <c r="R8" i="18"/>
  <c r="AJ29" i="18" s="1"/>
  <c r="S8" i="18"/>
  <c r="AK29" i="18" s="1"/>
  <c r="M9" i="18"/>
  <c r="AE30" i="18" s="1"/>
  <c r="N9" i="18"/>
  <c r="AF30" i="18" s="1"/>
  <c r="O9" i="18"/>
  <c r="AG30" i="18" s="1"/>
  <c r="P9" i="18"/>
  <c r="AH30" i="18" s="1"/>
  <c r="Q9" i="18"/>
  <c r="AI30" i="18" s="1"/>
  <c r="R9" i="18"/>
  <c r="AJ30" i="18" s="1"/>
  <c r="S9" i="18"/>
  <c r="AK30" i="18" s="1"/>
  <c r="M10" i="18"/>
  <c r="AE31" i="18" s="1"/>
  <c r="N10" i="18"/>
  <c r="AF31" i="18" s="1"/>
  <c r="O10" i="18"/>
  <c r="AG31" i="18" s="1"/>
  <c r="P10" i="18"/>
  <c r="AH31" i="18" s="1"/>
  <c r="Q10" i="18"/>
  <c r="AI31" i="18" s="1"/>
  <c r="R10" i="18"/>
  <c r="AJ31" i="18" s="1"/>
  <c r="S10" i="18"/>
  <c r="AK31" i="18" s="1"/>
  <c r="M11" i="18"/>
  <c r="AE32" i="18" s="1"/>
  <c r="N11" i="18"/>
  <c r="AF32" i="18" s="1"/>
  <c r="O11" i="18"/>
  <c r="AG32" i="18" s="1"/>
  <c r="P11" i="18"/>
  <c r="AH32" i="18" s="1"/>
  <c r="Q11" i="18"/>
  <c r="AI32" i="18" s="1"/>
  <c r="R11" i="18"/>
  <c r="AJ32" i="18" s="1"/>
  <c r="S11" i="18"/>
  <c r="AK32" i="18" s="1"/>
  <c r="M12" i="18"/>
  <c r="AE33" i="18" s="1"/>
  <c r="N12" i="18"/>
  <c r="AF33" i="18" s="1"/>
  <c r="O12" i="18"/>
  <c r="AG33" i="18" s="1"/>
  <c r="P12" i="18"/>
  <c r="AH33" i="18" s="1"/>
  <c r="Q12" i="18"/>
  <c r="AI33" i="18" s="1"/>
  <c r="R12" i="18"/>
  <c r="AJ33" i="18" s="1"/>
  <c r="S12" i="18"/>
  <c r="AK33" i="18" s="1"/>
  <c r="M13" i="18"/>
  <c r="AE34" i="18" s="1"/>
  <c r="N13" i="18"/>
  <c r="AF34" i="18" s="1"/>
  <c r="O13" i="18"/>
  <c r="AG34" i="18" s="1"/>
  <c r="P13" i="18"/>
  <c r="AH34" i="18" s="1"/>
  <c r="Q13" i="18"/>
  <c r="AI34" i="18" s="1"/>
  <c r="R13" i="18"/>
  <c r="AJ34" i="18" s="1"/>
  <c r="S13" i="18"/>
  <c r="AK34" i="18" s="1"/>
  <c r="M14" i="18"/>
  <c r="AE35" i="18" s="1"/>
  <c r="N14" i="18"/>
  <c r="AF35" i="18" s="1"/>
  <c r="O14" i="18"/>
  <c r="AG35" i="18" s="1"/>
  <c r="P14" i="18"/>
  <c r="AH35" i="18" s="1"/>
  <c r="Q14" i="18"/>
  <c r="AI35" i="18" s="1"/>
  <c r="R14" i="18"/>
  <c r="AJ35" i="18" s="1"/>
  <c r="S14" i="18"/>
  <c r="AK35" i="18" s="1"/>
  <c r="M15" i="18"/>
  <c r="AE36" i="18" s="1"/>
  <c r="N15" i="18"/>
  <c r="AF36" i="18" s="1"/>
  <c r="O15" i="18"/>
  <c r="AG36" i="18" s="1"/>
  <c r="P15" i="18"/>
  <c r="AH36" i="18" s="1"/>
  <c r="Q15" i="18"/>
  <c r="AI36" i="18" s="1"/>
  <c r="R15" i="18"/>
  <c r="AJ36" i="18" s="1"/>
  <c r="S15" i="18"/>
  <c r="AK36" i="18" s="1"/>
  <c r="M16" i="18"/>
  <c r="AE37" i="18" s="1"/>
  <c r="N16" i="18"/>
  <c r="AF37" i="18" s="1"/>
  <c r="O16" i="18"/>
  <c r="AG37" i="18" s="1"/>
  <c r="P16" i="18"/>
  <c r="AH37" i="18" s="1"/>
  <c r="Q16" i="18"/>
  <c r="AI37" i="18" s="1"/>
  <c r="R16" i="18"/>
  <c r="AJ37" i="18" s="1"/>
  <c r="S16" i="18"/>
  <c r="AK37" i="18" s="1"/>
  <c r="M17" i="18"/>
  <c r="AE38" i="18" s="1"/>
  <c r="N17" i="18"/>
  <c r="AF38" i="18" s="1"/>
  <c r="O17" i="18"/>
  <c r="AG38" i="18" s="1"/>
  <c r="P17" i="18"/>
  <c r="AH38" i="18" s="1"/>
  <c r="Q17" i="18"/>
  <c r="AI38" i="18" s="1"/>
  <c r="R17" i="18"/>
  <c r="AJ38" i="18" s="1"/>
  <c r="S17" i="18"/>
  <c r="AK38" i="18" s="1"/>
  <c r="M18" i="18"/>
  <c r="AE39" i="18" s="1"/>
  <c r="N18" i="18"/>
  <c r="AF39" i="18" s="1"/>
  <c r="O18" i="18"/>
  <c r="AG39" i="18" s="1"/>
  <c r="P18" i="18"/>
  <c r="AH39" i="18" s="1"/>
  <c r="Q18" i="18"/>
  <c r="AI39" i="18" s="1"/>
  <c r="R18" i="18"/>
  <c r="AJ39" i="18" s="1"/>
  <c r="S18" i="18"/>
  <c r="AK39" i="18" s="1"/>
  <c r="M19" i="18"/>
  <c r="AE40" i="18" s="1"/>
  <c r="N19" i="18"/>
  <c r="AF40" i="18" s="1"/>
  <c r="O19" i="18"/>
  <c r="AG40" i="18" s="1"/>
  <c r="P19" i="18"/>
  <c r="AH40" i="18" s="1"/>
  <c r="Q19" i="18"/>
  <c r="AI40" i="18" s="1"/>
  <c r="R19" i="18"/>
  <c r="AJ40" i="18" s="1"/>
  <c r="S19" i="18"/>
  <c r="AK40" i="18" s="1"/>
  <c r="M20" i="18"/>
  <c r="AE41" i="18" s="1"/>
  <c r="N20" i="18"/>
  <c r="AF41" i="18" s="1"/>
  <c r="O20" i="18"/>
  <c r="AG41" i="18" s="1"/>
  <c r="P20" i="18"/>
  <c r="AH41" i="18" s="1"/>
  <c r="Q20" i="18"/>
  <c r="AI41" i="18" s="1"/>
  <c r="R20" i="18"/>
  <c r="AJ41" i="18" s="1"/>
  <c r="S20" i="18"/>
  <c r="AK41" i="18" s="1"/>
  <c r="M21" i="18"/>
  <c r="AE42" i="18" s="1"/>
  <c r="N21" i="18"/>
  <c r="AF42" i="18" s="1"/>
  <c r="O21" i="18"/>
  <c r="AG42" i="18" s="1"/>
  <c r="P21" i="18"/>
  <c r="AH42" i="18" s="1"/>
  <c r="Q21" i="18"/>
  <c r="AI42" i="18" s="1"/>
  <c r="R21" i="18"/>
  <c r="AJ42" i="18" s="1"/>
  <c r="S21" i="18"/>
  <c r="AK42" i="18" s="1"/>
  <c r="M22" i="18"/>
  <c r="AE43" i="18" s="1"/>
  <c r="N22" i="18"/>
  <c r="AF43" i="18" s="1"/>
  <c r="O22" i="18"/>
  <c r="AG43" i="18" s="1"/>
  <c r="P22" i="18"/>
  <c r="AH43" i="18" s="1"/>
  <c r="Q22" i="18"/>
  <c r="AI43" i="18" s="1"/>
  <c r="R22" i="18"/>
  <c r="AJ43" i="18" s="1"/>
  <c r="S22" i="18"/>
  <c r="AK43" i="18" s="1"/>
  <c r="M23" i="18"/>
  <c r="AE44" i="18" s="1"/>
  <c r="N23" i="18"/>
  <c r="AF44" i="18" s="1"/>
  <c r="O23" i="18"/>
  <c r="AG44" i="18" s="1"/>
  <c r="P23" i="18"/>
  <c r="AH44" i="18" s="1"/>
  <c r="Q23" i="18"/>
  <c r="AI44" i="18" s="1"/>
  <c r="R23" i="18"/>
  <c r="AJ44" i="18" s="1"/>
  <c r="S23" i="18"/>
  <c r="AK44" i="18" s="1"/>
  <c r="M24" i="18"/>
  <c r="AE45" i="18" s="1"/>
  <c r="N24" i="18"/>
  <c r="AF45" i="18" s="1"/>
  <c r="O24" i="18"/>
  <c r="AG45" i="18" s="1"/>
  <c r="P24" i="18"/>
  <c r="AH45" i="18" s="1"/>
  <c r="Q24" i="18"/>
  <c r="AI45" i="18" s="1"/>
  <c r="R24" i="18"/>
  <c r="AJ45" i="18" s="1"/>
  <c r="S24" i="18"/>
  <c r="AK45" i="18" s="1"/>
  <c r="N5" i="18"/>
  <c r="AF26" i="18" s="1"/>
  <c r="O5" i="18"/>
  <c r="AG26" i="18" s="1"/>
  <c r="P5" i="18"/>
  <c r="AH26" i="18" s="1"/>
  <c r="Q5" i="18"/>
  <c r="AI26" i="18" s="1"/>
  <c r="R5" i="18"/>
  <c r="AJ26" i="18" s="1"/>
  <c r="S5" i="18"/>
  <c r="AK26" i="18" s="1"/>
  <c r="M5" i="18"/>
  <c r="AE26" i="18" s="1"/>
  <c r="J14" i="18"/>
  <c r="J9" i="18"/>
  <c r="J5" i="18"/>
  <c r="J6" i="18"/>
  <c r="J12" i="18"/>
  <c r="J11" i="18"/>
  <c r="J16" i="18"/>
  <c r="J15" i="18"/>
  <c r="J13" i="18"/>
  <c r="J7" i="18"/>
  <c r="J10" i="18"/>
  <c r="J8" i="18"/>
  <c r="J17" i="18"/>
  <c r="J18" i="18"/>
  <c r="J19" i="18"/>
  <c r="J20" i="18"/>
  <c r="C11" i="18"/>
  <c r="C11" i="16"/>
  <c r="J12" i="16"/>
  <c r="I9" i="16"/>
  <c r="J6" i="16"/>
  <c r="J7" i="16"/>
  <c r="J8" i="16"/>
  <c r="J9" i="16"/>
  <c r="J10" i="16"/>
  <c r="J11" i="16"/>
  <c r="J13" i="16"/>
  <c r="J14" i="16"/>
  <c r="J15" i="16"/>
  <c r="J16" i="16"/>
  <c r="J17" i="16"/>
  <c r="J18" i="16"/>
  <c r="J19" i="16"/>
  <c r="J20" i="16"/>
  <c r="J21" i="16"/>
  <c r="J5" i="16"/>
  <c r="S32" i="16"/>
  <c r="G47" i="16"/>
  <c r="S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G52" i="16"/>
  <c r="H52" i="16"/>
  <c r="I52" i="16"/>
  <c r="J52" i="16"/>
  <c r="K52" i="16"/>
  <c r="L52" i="16"/>
  <c r="M52" i="16"/>
  <c r="N52" i="16"/>
  <c r="G53" i="16"/>
  <c r="H53" i="16"/>
  <c r="I53" i="16"/>
  <c r="J53" i="16"/>
  <c r="K53" i="16"/>
  <c r="L53" i="16"/>
  <c r="M53" i="16"/>
  <c r="N53" i="16"/>
  <c r="G54" i="16"/>
  <c r="H54" i="16"/>
  <c r="I54" i="16"/>
  <c r="J54" i="16"/>
  <c r="K54" i="16"/>
  <c r="L54" i="16"/>
  <c r="M54" i="16"/>
  <c r="N54" i="16"/>
  <c r="G55" i="16"/>
  <c r="H55" i="16"/>
  <c r="I55" i="16"/>
  <c r="J55" i="16"/>
  <c r="K55" i="16"/>
  <c r="L55" i="16"/>
  <c r="M55" i="16"/>
  <c r="N55" i="16"/>
  <c r="G56" i="16"/>
  <c r="H56" i="16"/>
  <c r="I56" i="16"/>
  <c r="J56" i="16"/>
  <c r="K56" i="16"/>
  <c r="L56" i="16"/>
  <c r="M56" i="16"/>
  <c r="N56" i="16"/>
  <c r="G57" i="16"/>
  <c r="H57" i="16"/>
  <c r="I57" i="16"/>
  <c r="J57" i="16"/>
  <c r="K57" i="16"/>
  <c r="L57" i="16"/>
  <c r="M57" i="16"/>
  <c r="N57" i="16"/>
  <c r="H47" i="16"/>
  <c r="I47" i="16"/>
  <c r="J47" i="16"/>
  <c r="K47" i="16"/>
  <c r="L47" i="16"/>
  <c r="M47" i="16"/>
  <c r="N47" i="16"/>
  <c r="Z47" i="16"/>
  <c r="S48" i="16"/>
  <c r="T48" i="16"/>
  <c r="U48" i="16"/>
  <c r="V48" i="16"/>
  <c r="W48" i="16"/>
  <c r="X48" i="16"/>
  <c r="Y48" i="16"/>
  <c r="Z48" i="16"/>
  <c r="S49" i="16"/>
  <c r="T49" i="16"/>
  <c r="U49" i="16"/>
  <c r="V49" i="16"/>
  <c r="W49" i="16"/>
  <c r="X49" i="16"/>
  <c r="Y49" i="16"/>
  <c r="Z49" i="16"/>
  <c r="S50" i="16"/>
  <c r="T50" i="16"/>
  <c r="U50" i="16"/>
  <c r="V50" i="16"/>
  <c r="W50" i="16"/>
  <c r="X50" i="16"/>
  <c r="Y50" i="16"/>
  <c r="Z50" i="16"/>
  <c r="S51" i="16"/>
  <c r="T51" i="16"/>
  <c r="U51" i="16"/>
  <c r="V51" i="16"/>
  <c r="W51" i="16"/>
  <c r="X51" i="16"/>
  <c r="Y51" i="16"/>
  <c r="Z51" i="16"/>
  <c r="S52" i="16"/>
  <c r="T52" i="16"/>
  <c r="U52" i="16"/>
  <c r="V52" i="16"/>
  <c r="W52" i="16"/>
  <c r="X52" i="16"/>
  <c r="Y52" i="16"/>
  <c r="Z52" i="16"/>
  <c r="S53" i="16"/>
  <c r="T53" i="16"/>
  <c r="U53" i="16"/>
  <c r="V53" i="16"/>
  <c r="W53" i="16"/>
  <c r="X53" i="16"/>
  <c r="Y53" i="16"/>
  <c r="Z53" i="16"/>
  <c r="S54" i="16"/>
  <c r="T54" i="16"/>
  <c r="U54" i="16"/>
  <c r="V54" i="16"/>
  <c r="W54" i="16"/>
  <c r="X54" i="16"/>
  <c r="Y54" i="16"/>
  <c r="Z54" i="16"/>
  <c r="S55" i="16"/>
  <c r="T55" i="16"/>
  <c r="U55" i="16"/>
  <c r="V55" i="16"/>
  <c r="W55" i="16"/>
  <c r="X55" i="16"/>
  <c r="Y55" i="16"/>
  <c r="Z55" i="16"/>
  <c r="S56" i="16"/>
  <c r="T56" i="16"/>
  <c r="U56" i="16"/>
  <c r="V56" i="16"/>
  <c r="W56" i="16"/>
  <c r="X56" i="16"/>
  <c r="Y56" i="16"/>
  <c r="Z56" i="16"/>
  <c r="S57" i="16"/>
  <c r="T57" i="16"/>
  <c r="U57" i="16"/>
  <c r="V57" i="16"/>
  <c r="W57" i="16"/>
  <c r="X57" i="16"/>
  <c r="Y57" i="16"/>
  <c r="Z57" i="16"/>
  <c r="T47" i="16"/>
  <c r="U47" i="16"/>
  <c r="V47" i="16"/>
  <c r="W47" i="16"/>
  <c r="X47" i="16"/>
  <c r="Y47" i="16"/>
  <c r="J33" i="16"/>
  <c r="L32" i="16"/>
  <c r="M33" i="16"/>
  <c r="M34" i="16"/>
  <c r="M35" i="16"/>
  <c r="M36" i="16"/>
  <c r="M37" i="16"/>
  <c r="M38" i="16"/>
  <c r="M39" i="16"/>
  <c r="M40" i="16"/>
  <c r="M41" i="16"/>
  <c r="M42" i="16"/>
  <c r="M32" i="16"/>
  <c r="T32" i="16"/>
  <c r="U32" i="16"/>
  <c r="V32" i="16"/>
  <c r="W32" i="16"/>
  <c r="X32" i="16"/>
  <c r="Y32" i="16"/>
  <c r="Z32" i="16"/>
  <c r="T33" i="16"/>
  <c r="U33" i="16"/>
  <c r="V33" i="16"/>
  <c r="W33" i="16"/>
  <c r="X33" i="16"/>
  <c r="Y33" i="16"/>
  <c r="Z33" i="16"/>
  <c r="T34" i="16"/>
  <c r="U34" i="16"/>
  <c r="V34" i="16"/>
  <c r="W34" i="16"/>
  <c r="X34" i="16"/>
  <c r="Y34" i="16"/>
  <c r="Z34" i="16"/>
  <c r="T35" i="16"/>
  <c r="U35" i="16"/>
  <c r="V35" i="16"/>
  <c r="W35" i="16"/>
  <c r="X35" i="16"/>
  <c r="Y35" i="16"/>
  <c r="Z35" i="16"/>
  <c r="T36" i="16"/>
  <c r="U36" i="16"/>
  <c r="V36" i="16"/>
  <c r="W36" i="16"/>
  <c r="X36" i="16"/>
  <c r="Y36" i="16"/>
  <c r="Z36" i="16"/>
  <c r="T37" i="16"/>
  <c r="U37" i="16"/>
  <c r="V37" i="16"/>
  <c r="W37" i="16"/>
  <c r="X37" i="16"/>
  <c r="Y37" i="16"/>
  <c r="Z37" i="16"/>
  <c r="T38" i="16"/>
  <c r="U38" i="16"/>
  <c r="V38" i="16"/>
  <c r="W38" i="16"/>
  <c r="X38" i="16"/>
  <c r="Y38" i="16"/>
  <c r="Z38" i="16"/>
  <c r="T39" i="16"/>
  <c r="U39" i="16"/>
  <c r="V39" i="16"/>
  <c r="W39" i="16"/>
  <c r="X39" i="16"/>
  <c r="Y39" i="16"/>
  <c r="Z39" i="16"/>
  <c r="T40" i="16"/>
  <c r="U40" i="16"/>
  <c r="V40" i="16"/>
  <c r="W40" i="16"/>
  <c r="X40" i="16"/>
  <c r="Y40" i="16"/>
  <c r="Z40" i="16"/>
  <c r="T41" i="16"/>
  <c r="U41" i="16"/>
  <c r="V41" i="16"/>
  <c r="W41" i="16"/>
  <c r="X41" i="16"/>
  <c r="Y41" i="16"/>
  <c r="Z41" i="16"/>
  <c r="T42" i="16"/>
  <c r="U42" i="16"/>
  <c r="V42" i="16"/>
  <c r="W42" i="16"/>
  <c r="X42" i="16"/>
  <c r="Y42" i="16"/>
  <c r="Z42" i="16"/>
  <c r="S33" i="16"/>
  <c r="S34" i="16"/>
  <c r="S35" i="16"/>
  <c r="S36" i="16"/>
  <c r="S37" i="16"/>
  <c r="S38" i="16"/>
  <c r="S39" i="16"/>
  <c r="S40" i="16"/>
  <c r="S41" i="16"/>
  <c r="S42" i="16"/>
  <c r="H32" i="16"/>
  <c r="I32" i="16"/>
  <c r="J32" i="16"/>
  <c r="K32" i="16"/>
  <c r="N32" i="16"/>
  <c r="H33" i="16"/>
  <c r="I33" i="16"/>
  <c r="K33" i="16"/>
  <c r="L33" i="16"/>
  <c r="N33" i="16"/>
  <c r="H34" i="16"/>
  <c r="I34" i="16"/>
  <c r="J34" i="16"/>
  <c r="K34" i="16"/>
  <c r="L34" i="16"/>
  <c r="N34" i="16"/>
  <c r="H35" i="16"/>
  <c r="I35" i="16"/>
  <c r="J35" i="16"/>
  <c r="K35" i="16"/>
  <c r="L35" i="16"/>
  <c r="N35" i="16"/>
  <c r="H36" i="16"/>
  <c r="I36" i="16"/>
  <c r="J36" i="16"/>
  <c r="K36" i="16"/>
  <c r="L36" i="16"/>
  <c r="N36" i="16"/>
  <c r="H37" i="16"/>
  <c r="I37" i="16"/>
  <c r="J37" i="16"/>
  <c r="K37" i="16"/>
  <c r="L37" i="16"/>
  <c r="N37" i="16"/>
  <c r="H38" i="16"/>
  <c r="I38" i="16"/>
  <c r="J38" i="16"/>
  <c r="K38" i="16"/>
  <c r="L38" i="16"/>
  <c r="N38" i="16"/>
  <c r="H39" i="16"/>
  <c r="I39" i="16"/>
  <c r="J39" i="16"/>
  <c r="K39" i="16"/>
  <c r="L39" i="16"/>
  <c r="N39" i="16"/>
  <c r="H40" i="16"/>
  <c r="I40" i="16"/>
  <c r="J40" i="16"/>
  <c r="K40" i="16"/>
  <c r="L40" i="16"/>
  <c r="N40" i="16"/>
  <c r="H41" i="16"/>
  <c r="I41" i="16"/>
  <c r="J41" i="16"/>
  <c r="K41" i="16"/>
  <c r="L41" i="16"/>
  <c r="N41" i="16"/>
  <c r="H42" i="16"/>
  <c r="I42" i="16"/>
  <c r="J42" i="16"/>
  <c r="K42" i="16"/>
  <c r="L42" i="16"/>
  <c r="N42" i="16"/>
  <c r="G33" i="16"/>
  <c r="G34" i="16"/>
  <c r="G35" i="16"/>
  <c r="G36" i="16"/>
  <c r="G37" i="16"/>
  <c r="G38" i="16"/>
  <c r="G39" i="16"/>
  <c r="G40" i="16"/>
  <c r="G41" i="16"/>
  <c r="G42" i="16"/>
  <c r="G32" i="16"/>
  <c r="I6" i="16"/>
  <c r="I7" i="16"/>
  <c r="I8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F28" i="14" s="1"/>
  <c r="AD17" i="14"/>
  <c r="AD16" i="14" s="1"/>
  <c r="AF16" i="14" s="1"/>
  <c r="AD6" i="14"/>
  <c r="AD7" i="14" s="1"/>
  <c r="AE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G28" i="13" s="1"/>
  <c r="AB28" i="13"/>
  <c r="AD28" i="13" s="1"/>
  <c r="AB17" i="13"/>
  <c r="AC17" i="13" s="1"/>
  <c r="AB6" i="13"/>
  <c r="AC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C5" i="3"/>
  <c r="J9" i="3"/>
  <c r="J3" i="3"/>
  <c r="C6" i="3"/>
  <c r="C7" i="3"/>
  <c r="J6" i="3"/>
  <c r="C3" i="3"/>
  <c r="J7" i="3"/>
  <c r="C4" i="3"/>
  <c r="J5" i="3"/>
  <c r="J4" i="3"/>
  <c r="J8" i="3"/>
  <c r="P6" i="9" l="1"/>
  <c r="P71" i="9"/>
  <c r="P39" i="9"/>
  <c r="P4" i="9"/>
  <c r="P69" i="9"/>
  <c r="P53" i="9"/>
  <c r="P37" i="9"/>
  <c r="P100" i="9"/>
  <c r="P68" i="9"/>
  <c r="P52" i="9"/>
  <c r="P36" i="9"/>
  <c r="P30" i="9"/>
  <c r="P67" i="9"/>
  <c r="P51" i="9"/>
  <c r="P35" i="9"/>
  <c r="P26" i="9"/>
  <c r="P65" i="9"/>
  <c r="P49" i="9"/>
  <c r="P33" i="9"/>
  <c r="AB11" i="21"/>
  <c r="P31" i="9"/>
  <c r="P75" i="9"/>
  <c r="P59" i="9"/>
  <c r="P43" i="9"/>
  <c r="P18" i="9"/>
  <c r="P78" i="9"/>
  <c r="P16" i="9"/>
  <c r="P77" i="9"/>
  <c r="P45" i="9"/>
  <c r="P14" i="9"/>
  <c r="P76" i="9"/>
  <c r="P44" i="9"/>
  <c r="P42" i="9"/>
  <c r="P8" i="9"/>
  <c r="P73" i="9"/>
  <c r="P41" i="9"/>
  <c r="P27" i="9"/>
  <c r="Z10" i="19"/>
  <c r="Z7" i="19"/>
  <c r="P20" i="9"/>
  <c r="P95" i="9"/>
  <c r="P79" i="9"/>
  <c r="P21" i="9"/>
  <c r="P19" i="9"/>
  <c r="P62" i="9"/>
  <c r="P17" i="9"/>
  <c r="P15" i="9"/>
  <c r="P13" i="9"/>
  <c r="P11" i="9"/>
  <c r="P9" i="9"/>
  <c r="P7" i="9"/>
  <c r="P25" i="9"/>
  <c r="P23" i="9"/>
  <c r="P12" i="9"/>
  <c r="P47" i="9"/>
  <c r="P10" i="9"/>
  <c r="P46" i="9"/>
  <c r="P93" i="9"/>
  <c r="P61" i="9"/>
  <c r="P92" i="9"/>
  <c r="P5" i="9"/>
  <c r="P91" i="9"/>
  <c r="P90" i="9"/>
  <c r="P58" i="9"/>
  <c r="P2" i="9"/>
  <c r="P88" i="9"/>
  <c r="P29" i="9"/>
  <c r="P102" i="9"/>
  <c r="P24" i="9"/>
  <c r="P101" i="9"/>
  <c r="P85" i="9"/>
  <c r="P84" i="9"/>
  <c r="P83" i="9"/>
  <c r="P82" i="9"/>
  <c r="P81" i="9"/>
  <c r="P96" i="9"/>
  <c r="P3" i="9"/>
  <c r="P74" i="9"/>
  <c r="P86" i="9"/>
  <c r="P57" i="9"/>
  <c r="P99" i="9"/>
  <c r="P72" i="9"/>
  <c r="P98" i="9"/>
  <c r="P55" i="9"/>
  <c r="P97" i="9"/>
  <c r="P94" i="9"/>
  <c r="P80" i="9"/>
  <c r="P63" i="9"/>
  <c r="P89" i="9"/>
  <c r="P60" i="9"/>
  <c r="P87" i="9"/>
  <c r="Z18" i="19"/>
  <c r="Z19" i="19"/>
  <c r="Z21" i="19"/>
  <c r="Z5" i="19"/>
  <c r="Z20" i="19"/>
  <c r="Z17" i="19"/>
  <c r="Z14" i="19"/>
  <c r="Z13" i="19"/>
  <c r="Z12" i="19"/>
  <c r="Z11" i="19"/>
  <c r="Z9" i="19"/>
  <c r="Z6" i="19"/>
  <c r="H10" i="3"/>
  <c r="H16" i="3" s="1"/>
  <c r="C17" i="20"/>
  <c r="AQ40" i="14"/>
  <c r="AJ28" i="14"/>
  <c r="AG7" i="14"/>
  <c r="AJ40" i="14"/>
  <c r="AF7" i="14"/>
  <c r="AI40" i="14"/>
  <c r="AG6" i="14"/>
  <c r="AF6" i="14"/>
  <c r="AJ39" i="14"/>
  <c r="AI39" i="14"/>
  <c r="AE6" i="14"/>
  <c r="AE16" i="14"/>
  <c r="AG16" i="14"/>
  <c r="AN40" i="14"/>
  <c r="AM40" i="14"/>
  <c r="AN39" i="14"/>
  <c r="AG17" i="14"/>
  <c r="AM39" i="14"/>
  <c r="AF17" i="14"/>
  <c r="AE17" i="14"/>
  <c r="AE28" i="14"/>
  <c r="AR40" i="14"/>
  <c r="AR39" i="14"/>
  <c r="AQ39" i="14"/>
  <c r="AH28" i="13"/>
  <c r="AI40" i="13"/>
  <c r="AH40" i="13"/>
  <c r="AD6" i="13"/>
  <c r="AI39" i="13"/>
  <c r="AE6" i="13"/>
  <c r="AH39" i="13"/>
  <c r="AD17" i="13"/>
  <c r="AE17" i="13"/>
  <c r="AM40" i="13"/>
  <c r="AL40" i="13"/>
  <c r="AM39" i="13"/>
  <c r="AL39" i="13"/>
  <c r="AQ40" i="13"/>
  <c r="AC28" i="13"/>
  <c r="AP40" i="13"/>
  <c r="AQ39" i="13"/>
  <c r="AP39" i="13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B40" i="15"/>
  <c r="AH38" i="15"/>
  <c r="AE17" i="15"/>
  <c r="AD17" i="15"/>
  <c r="AE16" i="15"/>
  <c r="AM39" i="15"/>
  <c r="AG28" i="15"/>
  <c r="AL39" i="15"/>
  <c r="AQ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F40" i="14"/>
  <c r="AE40" i="14"/>
  <c r="AF39" i="14"/>
  <c r="AE39" i="14"/>
  <c r="AF27" i="13"/>
  <c r="I12" i="14"/>
  <c r="I10" i="14"/>
  <c r="I7" i="14"/>
  <c r="I14" i="14"/>
  <c r="AG37" i="14"/>
  <c r="AK40" i="14" s="1"/>
  <c r="AD38" i="14"/>
  <c r="I19" i="14"/>
  <c r="I6" i="14"/>
  <c r="I18" i="14"/>
  <c r="I9" i="14"/>
  <c r="I8" i="14"/>
  <c r="I4" i="14"/>
  <c r="AD29" i="14"/>
  <c r="I20" i="14"/>
  <c r="AD27" i="14"/>
  <c r="I17" i="14"/>
  <c r="I16" i="14"/>
  <c r="I15" i="14"/>
  <c r="I13" i="14"/>
  <c r="I11" i="14"/>
  <c r="I5" i="14"/>
  <c r="AH29" i="14"/>
  <c r="AH27" i="14"/>
  <c r="AD18" i="14"/>
  <c r="AD5" i="14"/>
  <c r="AB27" i="13"/>
  <c r="I14" i="13"/>
  <c r="AF29" i="13"/>
  <c r="AE39" i="13"/>
  <c r="I16" i="13"/>
  <c r="AC37" i="13"/>
  <c r="AO40" i="13" s="1"/>
  <c r="AE40" i="13"/>
  <c r="AD40" i="13"/>
  <c r="AD39" i="13"/>
  <c r="AB38" i="13"/>
  <c r="AB29" i="13"/>
  <c r="AB16" i="13"/>
  <c r="I10" i="13"/>
  <c r="AB18" i="13"/>
  <c r="AB5" i="13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K3" i="9" s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K2" i="9" s="1"/>
  <c r="I4" i="9"/>
  <c r="K4" i="9" s="1"/>
  <c r="I5" i="9"/>
  <c r="K5" i="9" s="1"/>
  <c r="I6" i="9"/>
  <c r="K6" i="9" s="1"/>
  <c r="I7" i="9"/>
  <c r="K7" i="9" s="1"/>
  <c r="I8" i="9"/>
  <c r="K8" i="9" s="1"/>
  <c r="I9" i="9"/>
  <c r="K9" i="9" s="1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K33" i="9" s="1"/>
  <c r="I34" i="9"/>
  <c r="K34" i="9" s="1"/>
  <c r="I35" i="9"/>
  <c r="K35" i="9" s="1"/>
  <c r="I36" i="9"/>
  <c r="K36" i="9" s="1"/>
  <c r="I37" i="9"/>
  <c r="K37" i="9" s="1"/>
  <c r="I38" i="9"/>
  <c r="K38" i="9" s="1"/>
  <c r="I39" i="9"/>
  <c r="K39" i="9" s="1"/>
  <c r="I40" i="9"/>
  <c r="K40" i="9" s="1"/>
  <c r="I41" i="9"/>
  <c r="K41" i="9" s="1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K65" i="9" s="1"/>
  <c r="I66" i="9"/>
  <c r="K66" i="9" s="1"/>
  <c r="I67" i="9"/>
  <c r="K67" i="9" s="1"/>
  <c r="I68" i="9"/>
  <c r="K68" i="9" s="1"/>
  <c r="I69" i="9"/>
  <c r="K69" i="9" s="1"/>
  <c r="I70" i="9"/>
  <c r="K70" i="9" s="1"/>
  <c r="I71" i="9"/>
  <c r="K71" i="9" s="1"/>
  <c r="I72" i="9"/>
  <c r="K72" i="9" s="1"/>
  <c r="I73" i="9"/>
  <c r="K73" i="9" s="1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K91" i="9" s="1"/>
  <c r="I92" i="9"/>
  <c r="I93" i="9"/>
  <c r="I94" i="9"/>
  <c r="I95" i="9"/>
  <c r="K95" i="9" s="1"/>
  <c r="I96" i="9"/>
  <c r="I97" i="9"/>
  <c r="K97" i="9" s="1"/>
  <c r="I98" i="9"/>
  <c r="K98" i="9" s="1"/>
  <c r="I99" i="9"/>
  <c r="K99" i="9" s="1"/>
  <c r="I100" i="9"/>
  <c r="K100" i="9" s="1"/>
  <c r="I101" i="9"/>
  <c r="K101" i="9" s="1"/>
  <c r="I102" i="9"/>
  <c r="K102" i="9" s="1"/>
  <c r="I103" i="9"/>
  <c r="K103" i="9" s="1"/>
  <c r="I104" i="9"/>
  <c r="K104" i="9" s="1"/>
  <c r="I105" i="9"/>
  <c r="K105" i="9" s="1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K123" i="9" s="1"/>
  <c r="I124" i="9"/>
  <c r="I125" i="9"/>
  <c r="I126" i="9"/>
  <c r="I127" i="9"/>
  <c r="K127" i="9" s="1"/>
  <c r="I128" i="9"/>
  <c r="I129" i="9"/>
  <c r="K129" i="9" s="1"/>
  <c r="I130" i="9"/>
  <c r="K130" i="9" s="1"/>
  <c r="I131" i="9"/>
  <c r="K131" i="9" s="1"/>
  <c r="I132" i="9"/>
  <c r="K132" i="9" s="1"/>
  <c r="I133" i="9"/>
  <c r="K133" i="9" s="1"/>
  <c r="I134" i="9"/>
  <c r="K134" i="9" s="1"/>
  <c r="I135" i="9"/>
  <c r="K135" i="9" s="1"/>
  <c r="I136" i="9"/>
  <c r="K136" i="9" s="1"/>
  <c r="I137" i="9"/>
  <c r="K137" i="9" s="1"/>
  <c r="I138" i="9"/>
  <c r="I139" i="9"/>
  <c r="I140" i="9"/>
  <c r="I141" i="9"/>
  <c r="I142" i="9"/>
  <c r="I143" i="9"/>
  <c r="I144" i="9"/>
  <c r="I145" i="9"/>
  <c r="I146" i="9"/>
  <c r="I147" i="9"/>
  <c r="I148" i="9"/>
  <c r="K148" i="9" s="1"/>
  <c r="I149" i="9"/>
  <c r="I150" i="9"/>
  <c r="I151" i="9"/>
  <c r="I152" i="9"/>
  <c r="I153" i="9"/>
  <c r="I154" i="9"/>
  <c r="I155" i="9"/>
  <c r="K155" i="9" s="1"/>
  <c r="I156" i="9"/>
  <c r="K156" i="9" s="1"/>
  <c r="I157" i="9"/>
  <c r="I158" i="9"/>
  <c r="K158" i="9" s="1"/>
  <c r="I159" i="9"/>
  <c r="K159" i="9" s="1"/>
  <c r="I160" i="9"/>
  <c r="I161" i="9"/>
  <c r="K161" i="9" s="1"/>
  <c r="I162" i="9"/>
  <c r="K162" i="9" s="1"/>
  <c r="I163" i="9"/>
  <c r="K163" i="9" s="1"/>
  <c r="I164" i="9"/>
  <c r="K164" i="9" s="1"/>
  <c r="I165" i="9"/>
  <c r="K165" i="9" s="1"/>
  <c r="I166" i="9"/>
  <c r="K166" i="9" s="1"/>
  <c r="I167" i="9"/>
  <c r="K167" i="9" s="1"/>
  <c r="I168" i="9"/>
  <c r="K168" i="9" s="1"/>
  <c r="I169" i="9"/>
  <c r="K169" i="9" s="1"/>
  <c r="I170" i="9"/>
  <c r="I171" i="9"/>
  <c r="I172" i="9"/>
  <c r="I173" i="9"/>
  <c r="I174" i="9"/>
  <c r="I175" i="9"/>
  <c r="I176" i="9"/>
  <c r="I177" i="9"/>
  <c r="I178" i="9"/>
  <c r="I179" i="9"/>
  <c r="K179" i="9" s="1"/>
  <c r="I180" i="9"/>
  <c r="K180" i="9" s="1"/>
  <c r="I181" i="9"/>
  <c r="I182" i="9"/>
  <c r="K182" i="9" s="1"/>
  <c r="I183" i="9"/>
  <c r="K183" i="9" s="1"/>
  <c r="I184" i="9"/>
  <c r="I185" i="9"/>
  <c r="I186" i="9"/>
  <c r="I187" i="9"/>
  <c r="K187" i="9" s="1"/>
  <c r="I188" i="9"/>
  <c r="K188" i="9" s="1"/>
  <c r="I189" i="9"/>
  <c r="I190" i="9"/>
  <c r="K190" i="9" s="1"/>
  <c r="I191" i="9"/>
  <c r="K191" i="9" s="1"/>
  <c r="I192" i="9"/>
  <c r="I193" i="9"/>
  <c r="K193" i="9" s="1"/>
  <c r="I194" i="9"/>
  <c r="K194" i="9" s="1"/>
  <c r="I195" i="9"/>
  <c r="K195" i="9" s="1"/>
  <c r="I196" i="9"/>
  <c r="K196" i="9" s="1"/>
  <c r="I197" i="9"/>
  <c r="K197" i="9" s="1"/>
  <c r="I198" i="9"/>
  <c r="K198" i="9" s="1"/>
  <c r="I199" i="9"/>
  <c r="K199" i="9" s="1"/>
  <c r="I200" i="9"/>
  <c r="K200" i="9" s="1"/>
  <c r="I201" i="9"/>
  <c r="K201" i="9" s="1"/>
  <c r="I202" i="9"/>
  <c r="K202" i="9" s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H17" i="9" s="1"/>
  <c r="F18" i="9"/>
  <c r="H18" i="9" s="1"/>
  <c r="F19" i="9"/>
  <c r="H19" i="9" s="1"/>
  <c r="F20" i="9"/>
  <c r="H20" i="9" s="1"/>
  <c r="F21" i="9"/>
  <c r="H21" i="9" s="1"/>
  <c r="F22" i="9"/>
  <c r="H22" i="9" s="1"/>
  <c r="F23" i="9"/>
  <c r="H23" i="9" s="1"/>
  <c r="F24" i="9"/>
  <c r="H24" i="9" s="1"/>
  <c r="F25" i="9"/>
  <c r="H25" i="9" s="1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H47" i="9" s="1"/>
  <c r="F48" i="9"/>
  <c r="F49" i="9"/>
  <c r="H49" i="9" s="1"/>
  <c r="F50" i="9"/>
  <c r="H50" i="9" s="1"/>
  <c r="F51" i="9"/>
  <c r="H51" i="9" s="1"/>
  <c r="F52" i="9"/>
  <c r="H52" i="9" s="1"/>
  <c r="F53" i="9"/>
  <c r="H53" i="9" s="1"/>
  <c r="F54" i="9"/>
  <c r="H54" i="9" s="1"/>
  <c r="F55" i="9"/>
  <c r="H55" i="9" s="1"/>
  <c r="F56" i="9"/>
  <c r="H56" i="9" s="1"/>
  <c r="F57" i="9"/>
  <c r="H57" i="9" s="1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H79" i="9" s="1"/>
  <c r="F80" i="9"/>
  <c r="F81" i="9"/>
  <c r="H81" i="9" s="1"/>
  <c r="F82" i="9"/>
  <c r="H82" i="9" s="1"/>
  <c r="F83" i="9"/>
  <c r="H83" i="9" s="1"/>
  <c r="F84" i="9"/>
  <c r="H84" i="9" s="1"/>
  <c r="F85" i="9"/>
  <c r="H85" i="9" s="1"/>
  <c r="F86" i="9"/>
  <c r="H86" i="9" s="1"/>
  <c r="F87" i="9"/>
  <c r="H87" i="9" s="1"/>
  <c r="F88" i="9"/>
  <c r="H88" i="9" s="1"/>
  <c r="F89" i="9"/>
  <c r="H89" i="9" s="1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H110" i="9" s="1"/>
  <c r="F111" i="9"/>
  <c r="H111" i="9" s="1"/>
  <c r="F112" i="9"/>
  <c r="F113" i="9"/>
  <c r="H113" i="9" s="1"/>
  <c r="F114" i="9"/>
  <c r="H114" i="9" s="1"/>
  <c r="F115" i="9"/>
  <c r="H115" i="9" s="1"/>
  <c r="F116" i="9"/>
  <c r="H116" i="9" s="1"/>
  <c r="F117" i="9"/>
  <c r="H117" i="9" s="1"/>
  <c r="F118" i="9"/>
  <c r="H118" i="9" s="1"/>
  <c r="F119" i="9"/>
  <c r="H119" i="9" s="1"/>
  <c r="F120" i="9"/>
  <c r="H120" i="9" s="1"/>
  <c r="F121" i="9"/>
  <c r="H121" i="9" s="1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H142" i="9" s="1"/>
  <c r="F143" i="9"/>
  <c r="H143" i="9" s="1"/>
  <c r="F144" i="9"/>
  <c r="F145" i="9"/>
  <c r="H145" i="9" s="1"/>
  <c r="F146" i="9"/>
  <c r="H146" i="9" s="1"/>
  <c r="F147" i="9"/>
  <c r="H147" i="9" s="1"/>
  <c r="F148" i="9"/>
  <c r="H148" i="9" s="1"/>
  <c r="F149" i="9"/>
  <c r="H149" i="9" s="1"/>
  <c r="F150" i="9"/>
  <c r="H150" i="9" s="1"/>
  <c r="F151" i="9"/>
  <c r="H151" i="9" s="1"/>
  <c r="F152" i="9"/>
  <c r="H152" i="9" s="1"/>
  <c r="F153" i="9"/>
  <c r="H153" i="9" s="1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H171" i="9" s="1"/>
  <c r="F172" i="9"/>
  <c r="F173" i="9"/>
  <c r="F174" i="9"/>
  <c r="H174" i="9" s="1"/>
  <c r="F175" i="9"/>
  <c r="H175" i="9" s="1"/>
  <c r="F176" i="9"/>
  <c r="F177" i="9"/>
  <c r="H177" i="9" s="1"/>
  <c r="F178" i="9"/>
  <c r="H178" i="9" s="1"/>
  <c r="F179" i="9"/>
  <c r="H179" i="9" s="1"/>
  <c r="F180" i="9"/>
  <c r="H180" i="9" s="1"/>
  <c r="F181" i="9"/>
  <c r="H181" i="9" s="1"/>
  <c r="F182" i="9"/>
  <c r="H182" i="9" s="1"/>
  <c r="F183" i="9"/>
  <c r="H183" i="9" s="1"/>
  <c r="F184" i="9"/>
  <c r="H184" i="9" s="1"/>
  <c r="F185" i="9"/>
  <c r="H185" i="9" s="1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H2" i="9" s="1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J10" i="3"/>
  <c r="H15" i="9" l="1"/>
  <c r="K63" i="9"/>
  <c r="K31" i="9"/>
  <c r="K147" i="9"/>
  <c r="K115" i="9"/>
  <c r="H198" i="9"/>
  <c r="K192" i="9"/>
  <c r="K160" i="9"/>
  <c r="K128" i="9"/>
  <c r="K96" i="9"/>
  <c r="K64" i="9"/>
  <c r="K32" i="9"/>
  <c r="H144" i="9"/>
  <c r="H80" i="9"/>
  <c r="K189" i="9"/>
  <c r="K157" i="9"/>
  <c r="H112" i="9"/>
  <c r="H48" i="9"/>
  <c r="H202" i="9"/>
  <c r="H170" i="9"/>
  <c r="H138" i="9"/>
  <c r="H106" i="9"/>
  <c r="H74" i="9"/>
  <c r="H176" i="9"/>
  <c r="K186" i="9"/>
  <c r="K154" i="9"/>
  <c r="K122" i="9"/>
  <c r="K90" i="9"/>
  <c r="H16" i="9"/>
  <c r="K185" i="9"/>
  <c r="H15" i="3"/>
  <c r="H13" i="3"/>
  <c r="P1" i="9"/>
  <c r="K150" i="9"/>
  <c r="K118" i="9"/>
  <c r="H195" i="9"/>
  <c r="H163" i="9"/>
  <c r="H131" i="9"/>
  <c r="K116" i="9"/>
  <c r="K84" i="9"/>
  <c r="K52" i="9"/>
  <c r="K20" i="9"/>
  <c r="K83" i="9"/>
  <c r="K51" i="9"/>
  <c r="K19" i="9"/>
  <c r="K170" i="9"/>
  <c r="K138" i="9"/>
  <c r="K106" i="9"/>
  <c r="K74" i="9"/>
  <c r="K42" i="9"/>
  <c r="K10" i="9"/>
  <c r="H188" i="9"/>
  <c r="H156" i="9"/>
  <c r="H92" i="9"/>
  <c r="H124" i="9"/>
  <c r="H201" i="9"/>
  <c r="H169" i="9"/>
  <c r="H60" i="9"/>
  <c r="H28" i="9"/>
  <c r="H139" i="9"/>
  <c r="H107" i="9"/>
  <c r="H42" i="9"/>
  <c r="H10" i="9"/>
  <c r="H137" i="9"/>
  <c r="H105" i="9"/>
  <c r="H200" i="9"/>
  <c r="K153" i="9"/>
  <c r="H166" i="9"/>
  <c r="K126" i="9"/>
  <c r="H73" i="9"/>
  <c r="K141" i="9"/>
  <c r="K173" i="9"/>
  <c r="H78" i="9"/>
  <c r="H46" i="9"/>
  <c r="H173" i="9"/>
  <c r="H141" i="9"/>
  <c r="H109" i="9"/>
  <c r="H77" i="9"/>
  <c r="H45" i="9"/>
  <c r="H13" i="9"/>
  <c r="K94" i="9"/>
  <c r="K62" i="9"/>
  <c r="H172" i="9"/>
  <c r="H140" i="9"/>
  <c r="H108" i="9"/>
  <c r="K125" i="9"/>
  <c r="K93" i="9"/>
  <c r="K61" i="9"/>
  <c r="H168" i="9"/>
  <c r="H199" i="9"/>
  <c r="H167" i="9"/>
  <c r="K77" i="9"/>
  <c r="K109" i="9"/>
  <c r="H14" i="9"/>
  <c r="K30" i="9"/>
  <c r="H76" i="9"/>
  <c r="H44" i="9"/>
  <c r="H12" i="9"/>
  <c r="K29" i="9"/>
  <c r="H75" i="9"/>
  <c r="H43" i="9"/>
  <c r="K124" i="9"/>
  <c r="K92" i="9"/>
  <c r="K60" i="9"/>
  <c r="K28" i="9"/>
  <c r="H41" i="9"/>
  <c r="H9" i="9"/>
  <c r="K58" i="9"/>
  <c r="K26" i="9"/>
  <c r="K121" i="9"/>
  <c r="K89" i="9"/>
  <c r="K57" i="9"/>
  <c r="H134" i="9"/>
  <c r="K151" i="9"/>
  <c r="H99" i="9"/>
  <c r="H67" i="9"/>
  <c r="H35" i="9"/>
  <c r="H3" i="9"/>
  <c r="H194" i="9"/>
  <c r="H162" i="9"/>
  <c r="H130" i="9"/>
  <c r="H98" i="9"/>
  <c r="H66" i="9"/>
  <c r="H34" i="9"/>
  <c r="H193" i="9"/>
  <c r="H161" i="9"/>
  <c r="H129" i="9"/>
  <c r="H97" i="9"/>
  <c r="H65" i="9"/>
  <c r="H33" i="9"/>
  <c r="K178" i="9"/>
  <c r="K146" i="9"/>
  <c r="K114" i="9"/>
  <c r="K82" i="9"/>
  <c r="K50" i="9"/>
  <c r="K18" i="9"/>
  <c r="H192" i="9"/>
  <c r="H160" i="9"/>
  <c r="H128" i="9"/>
  <c r="H96" i="9"/>
  <c r="H64" i="9"/>
  <c r="H32" i="9"/>
  <c r="K177" i="9"/>
  <c r="K145" i="9"/>
  <c r="K113" i="9"/>
  <c r="K81" i="9"/>
  <c r="K49" i="9"/>
  <c r="K17" i="9"/>
  <c r="H191" i="9"/>
  <c r="H159" i="9"/>
  <c r="H127" i="9"/>
  <c r="H95" i="9"/>
  <c r="H63" i="9"/>
  <c r="H31" i="9"/>
  <c r="K176" i="9"/>
  <c r="K144" i="9"/>
  <c r="K112" i="9"/>
  <c r="K80" i="9"/>
  <c r="K48" i="9"/>
  <c r="K16" i="9"/>
  <c r="H190" i="9"/>
  <c r="H158" i="9"/>
  <c r="H126" i="9"/>
  <c r="H94" i="9"/>
  <c r="H62" i="9"/>
  <c r="H30" i="9"/>
  <c r="K175" i="9"/>
  <c r="K143" i="9"/>
  <c r="K111" i="9"/>
  <c r="K79" i="9"/>
  <c r="K47" i="9"/>
  <c r="K15" i="9"/>
  <c r="H189" i="9"/>
  <c r="H157" i="9"/>
  <c r="H125" i="9"/>
  <c r="H93" i="9"/>
  <c r="H61" i="9"/>
  <c r="H29" i="9"/>
  <c r="K174" i="9"/>
  <c r="K142" i="9"/>
  <c r="K110" i="9"/>
  <c r="K78" i="9"/>
  <c r="K46" i="9"/>
  <c r="K14" i="9"/>
  <c r="K45" i="9"/>
  <c r="K13" i="9"/>
  <c r="H187" i="9"/>
  <c r="H155" i="9"/>
  <c r="H123" i="9"/>
  <c r="H91" i="9"/>
  <c r="H59" i="9"/>
  <c r="H27" i="9"/>
  <c r="K172" i="9"/>
  <c r="K140" i="9"/>
  <c r="K108" i="9"/>
  <c r="K76" i="9"/>
  <c r="K44" i="9"/>
  <c r="K12" i="9"/>
  <c r="H186" i="9"/>
  <c r="H154" i="9"/>
  <c r="H122" i="9"/>
  <c r="H90" i="9"/>
  <c r="H58" i="9"/>
  <c r="H26" i="9"/>
  <c r="K171" i="9"/>
  <c r="K139" i="9"/>
  <c r="K107" i="9"/>
  <c r="K75" i="9"/>
  <c r="K43" i="9"/>
  <c r="K11" i="9"/>
  <c r="H11" i="9"/>
  <c r="K59" i="9"/>
  <c r="K27" i="9"/>
  <c r="H136" i="9"/>
  <c r="H104" i="9"/>
  <c r="H72" i="9"/>
  <c r="H40" i="9"/>
  <c r="H8" i="9"/>
  <c r="K25" i="9"/>
  <c r="H135" i="9"/>
  <c r="H103" i="9"/>
  <c r="H71" i="9"/>
  <c r="H39" i="9"/>
  <c r="H7" i="9"/>
  <c r="K184" i="9"/>
  <c r="K152" i="9"/>
  <c r="K120" i="9"/>
  <c r="K88" i="9"/>
  <c r="K56" i="9"/>
  <c r="K24" i="9"/>
  <c r="H102" i="9"/>
  <c r="H70" i="9"/>
  <c r="H38" i="9"/>
  <c r="H6" i="9"/>
  <c r="K119" i="9"/>
  <c r="K87" i="9"/>
  <c r="K55" i="9"/>
  <c r="K23" i="9"/>
  <c r="H197" i="9"/>
  <c r="H165" i="9"/>
  <c r="H133" i="9"/>
  <c r="H101" i="9"/>
  <c r="H69" i="9"/>
  <c r="H37" i="9"/>
  <c r="H5" i="9"/>
  <c r="K86" i="9"/>
  <c r="K54" i="9"/>
  <c r="K22" i="9"/>
  <c r="H196" i="9"/>
  <c r="H164" i="9"/>
  <c r="H132" i="9"/>
  <c r="H100" i="9"/>
  <c r="H68" i="9"/>
  <c r="H36" i="9"/>
  <c r="H4" i="9"/>
  <c r="K181" i="9"/>
  <c r="K149" i="9"/>
  <c r="K117" i="9"/>
  <c r="K85" i="9"/>
  <c r="K53" i="9"/>
  <c r="K21" i="9"/>
  <c r="H14" i="3"/>
  <c r="AI38" i="15"/>
  <c r="AS39" i="14"/>
  <c r="AS40" i="14"/>
  <c r="AE5" i="14"/>
  <c r="AG9" i="14" s="1"/>
  <c r="AG10" i="14" s="1"/>
  <c r="AG5" i="14"/>
  <c r="AF5" i="14"/>
  <c r="AH9" i="14" s="1"/>
  <c r="AH10" i="14" s="1"/>
  <c r="AE18" i="14"/>
  <c r="AF20" i="14" s="1"/>
  <c r="AF21" i="14" s="1"/>
  <c r="AF18" i="14"/>
  <c r="AH20" i="14" s="1"/>
  <c r="AH21" i="14" s="1"/>
  <c r="AG18" i="14"/>
  <c r="AI27" i="14"/>
  <c r="AJ27" i="14"/>
  <c r="AI29" i="14"/>
  <c r="AJ29" i="14"/>
  <c r="AO39" i="14"/>
  <c r="AO40" i="14"/>
  <c r="AF27" i="14"/>
  <c r="AE27" i="14"/>
  <c r="AF29" i="14"/>
  <c r="AE29" i="14"/>
  <c r="AK39" i="14"/>
  <c r="AF42" i="14" s="1"/>
  <c r="AF43" i="14" s="1"/>
  <c r="AR38" i="14"/>
  <c r="AS38" i="14"/>
  <c r="AQ38" i="14"/>
  <c r="AN38" i="14"/>
  <c r="AG42" i="14" s="1"/>
  <c r="AG43" i="14" s="1"/>
  <c r="AO38" i="14"/>
  <c r="AM38" i="14"/>
  <c r="AJ38" i="14"/>
  <c r="AK38" i="14"/>
  <c r="AI38" i="14"/>
  <c r="AP38" i="13"/>
  <c r="AQ38" i="13"/>
  <c r="AO38" i="13"/>
  <c r="AL38" i="13"/>
  <c r="AE42" i="13" s="1"/>
  <c r="AE43" i="13" s="1"/>
  <c r="AM38" i="13"/>
  <c r="AK38" i="13"/>
  <c r="AH38" i="13"/>
  <c r="AI38" i="13"/>
  <c r="AG38" i="13"/>
  <c r="AC16" i="13"/>
  <c r="AE16" i="13" s="1"/>
  <c r="AD16" i="13"/>
  <c r="AH27" i="13"/>
  <c r="AG27" i="13"/>
  <c r="AC5" i="13"/>
  <c r="AE5" i="13"/>
  <c r="AD5" i="13"/>
  <c r="AG29" i="13"/>
  <c r="AH29" i="13"/>
  <c r="AO39" i="13"/>
  <c r="AD27" i="13"/>
  <c r="AC27" i="13"/>
  <c r="AK39" i="13"/>
  <c r="AK40" i="13"/>
  <c r="AG39" i="13"/>
  <c r="AD42" i="13" s="1"/>
  <c r="AD43" i="13" s="1"/>
  <c r="AG40" i="13"/>
  <c r="AC7" i="13"/>
  <c r="AE7" i="13"/>
  <c r="AD7" i="13"/>
  <c r="AC18" i="13"/>
  <c r="AD18" i="13"/>
  <c r="AE18" i="13"/>
  <c r="AD29" i="13"/>
  <c r="AC29" i="13"/>
  <c r="AP38" i="15"/>
  <c r="AC38" i="15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F38" i="14"/>
  <c r="AG38" i="14"/>
  <c r="AE38" i="14"/>
  <c r="AG39" i="14"/>
  <c r="AG40" i="14"/>
  <c r="AC40" i="13"/>
  <c r="E188" i="9"/>
  <c r="E199" i="9"/>
  <c r="AD38" i="13"/>
  <c r="AE38" i="13"/>
  <c r="AC38" i="13"/>
  <c r="E147" i="9"/>
  <c r="E115" i="9"/>
  <c r="E83" i="9"/>
  <c r="E179" i="9"/>
  <c r="AC39" i="13"/>
  <c r="E156" i="9"/>
  <c r="E146" i="9"/>
  <c r="E114" i="9"/>
  <c r="E182" i="9"/>
  <c r="E150" i="9"/>
  <c r="E118" i="9"/>
  <c r="E86" i="9"/>
  <c r="E54" i="9"/>
  <c r="E177" i="9"/>
  <c r="E101" i="9"/>
  <c r="E133" i="9"/>
  <c r="E197" i="9"/>
  <c r="E165" i="9"/>
  <c r="E181" i="9"/>
  <c r="E82" i="9"/>
  <c r="E50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E14" i="9"/>
  <c r="E10" i="9"/>
  <c r="E6" i="9"/>
  <c r="E16" i="9"/>
  <c r="E12" i="9"/>
  <c r="E8" i="9"/>
  <c r="E4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E11" i="9"/>
  <c r="E7" i="9"/>
  <c r="E3" i="9"/>
  <c r="E1" i="9" l="1"/>
  <c r="H1" i="9"/>
  <c r="K1" i="9"/>
  <c r="AF20" i="13"/>
  <c r="AF21" i="13" s="1"/>
  <c r="AD31" i="13"/>
  <c r="AD32" i="13" s="1"/>
  <c r="AE42" i="15"/>
  <c r="AE43" i="15" s="1"/>
  <c r="AH31" i="13"/>
  <c r="AH32" i="13" s="1"/>
  <c r="AD20" i="13"/>
  <c r="AD21" i="13" s="1"/>
  <c r="AD42" i="15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C19" i="3" l="1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<sst xmlns="http://schemas.openxmlformats.org/spreadsheetml/2006/main" count="674" uniqueCount="196">
  <si>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</si>
  <si>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</si>
  <si>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</si>
  <si>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</si>
  <si>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</si>
  <si>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</si>
  <si>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</si>
  <si>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</si>
  <si>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</si>
  <si>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</si>
  <si>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</si>
  <si>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</si>
  <si>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</si>
  <si>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</si>
  <si>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</si>
  <si>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</si>
  <si>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</si>
  <si>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</si>
  <si>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</si>
  <si>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</si>
  <si>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</si>
  <si>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</si>
  <si>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</si>
  <si>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</si>
  <si>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</si>
  <si>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</si>
  <si>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</si>
  <si>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</si>
  <si>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</si>
  <si>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</si>
  <si>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</si>
  <si>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</si>
  <si>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</si>
  <si>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</si>
  <si>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</si>
  <si>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</si>
  <si>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</si>
  <si>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</si>
  <si>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</si>
  <si>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</si>
  <si>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</si>
  <si>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</si>
  <si>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</si>
  <si>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</si>
  <si>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</si>
  <si>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</si>
  <si>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</si>
  <si>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</si>
  <si>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</si>
  <si>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</si>
  <si>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</si>
  <si>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</si>
  <si>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</si>
  <si>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</si>
  <si>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</si>
  <si>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</si>
  <si>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</si>
  <si>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</si>
  <si>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</si>
  <si>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</si>
  <si>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</si>
  <si>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</si>
  <si>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</si>
  <si>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</si>
  <si>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</si>
  <si>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</si>
  <si>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</si>
  <si>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</si>
  <si>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</si>
  <si>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</si>
  <si>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</si>
  <si>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</si>
  <si>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</si>
  <si>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</si>
  <si>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</si>
  <si>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</si>
  <si>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</si>
  <si>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</si>
  <si>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</si>
  <si>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</si>
  <si>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</si>
  <si>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</si>
  <si>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</si>
  <si>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</si>
  <si>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</si>
  <si>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</si>
  <si>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</si>
  <si>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</si>
  <si>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</si>
  <si>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</si>
  <si>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</si>
  <si>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</si>
  <si>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</si>
  <si>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</si>
  <si>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</si>
  <si>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</si>
  <si>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</si>
  <si>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</si>
  <si>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</si>
  <si>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</si>
  <si>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</si>
  <si>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</si>
  <si>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</si>
  <si>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</si>
  <si>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</si>
  <si>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</si>
  <si>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</si>
  <si>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</si>
  <si>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</si>
  <si>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</si>
  <si>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</si>
  <si>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</si>
  <si>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</si>
  <si>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</si>
  <si>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</si>
  <si>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</si>
  <si>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</si>
  <si>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</si>
  <si>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</si>
  <si>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</si>
  <si>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</si>
  <si>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</si>
  <si>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</si>
  <si>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</si>
  <si>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</si>
  <si>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</si>
  <si>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</si>
  <si>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</si>
  <si>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</si>
  <si>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</si>
  <si>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</si>
  <si>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</si>
  <si>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</si>
  <si>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</si>
  <si>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</si>
  <si>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</si>
  <si>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</si>
  <si>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</si>
  <si>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</si>
  <si>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</si>
  <si>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</si>
  <si>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</si>
  <si>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</si>
  <si>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</si>
  <si>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</si>
  <si>
    <t>Call Greeks: Bjerksund Stensland Numerical Greeks</t>
  </si>
  <si>
    <t>Call Greeks: Black-Scholes Analyical Greeks</t>
  </si>
  <si>
    <t>Put Greeks: Black-Scholes Analyical Greeks</t>
  </si>
  <si>
    <t>Put Greeks: Bjerksund Stensland Numerical Greeks</t>
  </si>
  <si>
    <t>Next Business Day</t>
  </si>
  <si>
    <t>Adjust to Business Day</t>
  </si>
  <si>
    <t>acq_join</t>
  </si>
  <si>
    <t>Concatenates the elements of a specified array using the specified separator (optional) between each element</t>
  </si>
  <si>
    <t>float</t>
  </si>
  <si>
    <t>bool</t>
  </si>
  <si>
    <t>Empty</t>
  </si>
  <si>
    <t>NA</t>
  </si>
  <si>
    <t>values</t>
  </si>
  <si>
    <t>acq_tostring</t>
  </si>
  <si>
    <t>Value</t>
  </si>
  <si>
    <t>acq_count_unique</t>
  </si>
  <si>
    <t>cost of carry</t>
  </si>
  <si>
    <t>Binomial American Option Greeks</t>
  </si>
  <si>
    <t>Binomial</t>
  </si>
  <si>
    <t>Call Greeks: Binomial Numerical Greeks</t>
  </si>
  <si>
    <t>Put Greeks: Binomial Numerical Greeks</t>
  </si>
  <si>
    <t>Put Greeks: Bjerksund Stensland (2002) Greeks</t>
  </si>
  <si>
    <t>Call Greeks: Bjerksund Stensland (2002) Greeks</t>
  </si>
  <si>
    <t>Greek</t>
  </si>
  <si>
    <t>All Greeks</t>
  </si>
  <si>
    <t>Pricing Params</t>
  </si>
  <si>
    <t>Trinomial</t>
  </si>
  <si>
    <t>Call Greeks: Trinomial Numerical Greeks</t>
  </si>
  <si>
    <t>Put Greeks: Trinomial Numerical Greeks</t>
  </si>
  <si>
    <t>acq_isprime</t>
  </si>
  <si>
    <t>acq_isinteger</t>
  </si>
  <si>
    <t>acq_isleap_year</t>
  </si>
  <si>
    <t>year</t>
  </si>
  <si>
    <t>NORM.S.INV</t>
  </si>
  <si>
    <t>acq_special_invnormalcdf</t>
  </si>
  <si>
    <t>Alpha</t>
  </si>
  <si>
    <t>Beta</t>
  </si>
  <si>
    <t>Nu</t>
  </si>
  <si>
    <t>Strike</t>
  </si>
  <si>
    <t>BlackVol</t>
  </si>
  <si>
    <t>NormVol</t>
  </si>
  <si>
    <t>Price (Black)</t>
  </si>
  <si>
    <t>Price (Normal)</t>
  </si>
  <si>
    <t>SABR Params 1</t>
  </si>
  <si>
    <t>SABR Params 2</t>
  </si>
  <si>
    <t>SABR Params 3</t>
  </si>
  <si>
    <t>SABR Calibration</t>
  </si>
  <si>
    <t>market_vol</t>
  </si>
  <si>
    <t>SABR_vol</t>
  </si>
  <si>
    <t>SABR Calib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</si>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</sst>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000000000000"/>
    <numFmt numFmtId="165" formatCode="0.000"/>
    <numFmt numFmtId="166" formatCode="0.00000"/>
    <numFmt numFmtId="167" formatCode="[$-F800]dddd\,\ mmmm\ dd\,\ yyyy"/>
    <numFmt numFmtId="168" formatCode="0.0%"/>
    <numFmt numFmtId="169" formatCode="0.0000000000000000000000000E+00"/>
    <numFmt numFmtId="170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11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10" fillId="0" borderId="0" xfId="9"/>
    <xf numFmtId="2" fontId="0" fillId="8" borderId="0" xfId="0" applyNumberFormat="1" applyFill="1"/>
    <xf numFmtId="3" fontId="0" fillId="0" borderId="0" xfId="0" applyNumberFormat="1"/>
    <xf numFmtId="0" fontId="0" fillId="9" borderId="0" xfId="0" applyFill="1"/>
    <xf numFmtId="14" fontId="3" fillId="3" borderId="2" xfId="2" applyNumberFormat="1"/>
    <xf numFmtId="167" fontId="5" fillId="4" borderId="2" xfId="4" applyNumberFormat="1"/>
    <xf numFmtId="168" fontId="0" fillId="0" borderId="0" xfId="10" applyNumberFormat="1" applyFont="1"/>
    <xf numFmtId="168" fontId="3" fillId="3" borderId="2" xfId="10" applyNumberFormat="1" applyFont="1" applyFill="1" applyBorder="1"/>
    <xf numFmtId="168" fontId="3" fillId="3" borderId="17" xfId="10" applyNumberFormat="1" applyFont="1" applyFill="1" applyBorder="1"/>
    <xf numFmtId="0" fontId="4" fillId="0" borderId="19" xfId="3" applyBorder="1"/>
    <xf numFmtId="0" fontId="3" fillId="3" borderId="20" xfId="2" applyBorder="1"/>
    <xf numFmtId="0" fontId="3" fillId="3" borderId="21" xfId="2" applyBorder="1"/>
    <xf numFmtId="169" fontId="0" fillId="0" borderId="0" xfId="0" applyNumberFormat="1"/>
    <xf numFmtId="0" fontId="11" fillId="3" borderId="2" xfId="2" applyFont="1"/>
    <xf numFmtId="170" fontId="3" fillId="3" borderId="2" xfId="2" applyNumberFormat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11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SABR Black Vol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7274066663874829E-2"/>
          <c:y val="9.9875583517223754E-2"/>
          <c:w val="0.79921123678622474"/>
          <c:h val="0.81764166373169933"/>
        </c:manualLayout>
      </c:layout>
      <c:scatterChart>
        <c:scatterStyle val="lineMarker"/>
        <c:varyColors val="0"/>
        <c:ser>
          <c:idx val="3"/>
          <c:order val="0"/>
          <c:tx>
            <c:strRef>
              <c:f>SABR!$H$1</c:f>
              <c:strCache>
                <c:ptCount val="1"/>
                <c:pt idx="0">
                  <c:v>Beta=0.5</c:v>
                </c:pt>
              </c:strCache>
            </c:strRef>
          </c:tx>
          <c:marker>
            <c:symbol val="none"/>
          </c:marker>
          <c:xVal>
            <c:numRef>
              <c:f>SABR!$F$4:$F$44</c:f>
              <c:numCache>
                <c:formatCode>General</c:formatCode>
                <c:ptCount val="41"/>
                <c:pt idx="0">
                  <c:v>0.02</c:v>
                </c:pt>
                <c:pt idx="1">
                  <c:v>2.1000000000000001E-2</c:v>
                </c:pt>
                <c:pt idx="2">
                  <c:v>2.1999999999999999E-2</c:v>
                </c:pt>
                <c:pt idx="3">
                  <c:v>2.3E-2</c:v>
                </c:pt>
                <c:pt idx="4">
                  <c:v>2.4E-2</c:v>
                </c:pt>
                <c:pt idx="5">
                  <c:v>2.5000000000000001E-2</c:v>
                </c:pt>
                <c:pt idx="6">
                  <c:v>2.5999999999999999E-2</c:v>
                </c:pt>
                <c:pt idx="7">
                  <c:v>2.7E-2</c:v>
                </c:pt>
                <c:pt idx="8">
                  <c:v>2.8000000000000001E-2</c:v>
                </c:pt>
                <c:pt idx="9">
                  <c:v>2.9000000000000001E-2</c:v>
                </c:pt>
                <c:pt idx="10">
                  <c:v>0.03</c:v>
                </c:pt>
                <c:pt idx="11">
                  <c:v>3.1E-2</c:v>
                </c:pt>
                <c:pt idx="12">
                  <c:v>3.2000000000000001E-2</c:v>
                </c:pt>
                <c:pt idx="13">
                  <c:v>3.3000000000000002E-2</c:v>
                </c:pt>
                <c:pt idx="14">
                  <c:v>3.4000000000000002E-2</c:v>
                </c:pt>
                <c:pt idx="15">
                  <c:v>3.5000000000000003E-2</c:v>
                </c:pt>
                <c:pt idx="16">
                  <c:v>3.5999999999999997E-2</c:v>
                </c:pt>
                <c:pt idx="17">
                  <c:v>3.6999999999999998E-2</c:v>
                </c:pt>
                <c:pt idx="18">
                  <c:v>3.7999999999999999E-2</c:v>
                </c:pt>
                <c:pt idx="19">
                  <c:v>3.9E-2</c:v>
                </c:pt>
                <c:pt idx="20">
                  <c:v>0.04</c:v>
                </c:pt>
                <c:pt idx="21">
                  <c:v>4.1000000000000002E-2</c:v>
                </c:pt>
                <c:pt idx="22">
                  <c:v>4.2000000000000003E-2</c:v>
                </c:pt>
                <c:pt idx="23">
                  <c:v>4.2999999999999997E-2</c:v>
                </c:pt>
                <c:pt idx="24">
                  <c:v>4.3999999999999997E-2</c:v>
                </c:pt>
                <c:pt idx="25">
                  <c:v>4.4999999999999998E-2</c:v>
                </c:pt>
                <c:pt idx="26">
                  <c:v>4.5999999999999999E-2</c:v>
                </c:pt>
                <c:pt idx="27">
                  <c:v>4.7E-2</c:v>
                </c:pt>
                <c:pt idx="28">
                  <c:v>4.8000000000000001E-2</c:v>
                </c:pt>
                <c:pt idx="29">
                  <c:v>4.9000000000000002E-2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5.1999999999999998E-2</c:v>
                </c:pt>
                <c:pt idx="33">
                  <c:v>5.2999999999999999E-2</c:v>
                </c:pt>
                <c:pt idx="34">
                  <c:v>5.3999999999999999E-2</c:v>
                </c:pt>
                <c:pt idx="35">
                  <c:v>5.5E-2</c:v>
                </c:pt>
                <c:pt idx="36">
                  <c:v>5.6000000000000001E-2</c:v>
                </c:pt>
                <c:pt idx="37">
                  <c:v>5.7000000000000002E-2</c:v>
                </c:pt>
                <c:pt idx="38">
                  <c:v>5.8000000000000003E-2</c:v>
                </c:pt>
                <c:pt idx="39">
                  <c:v>5.8999999999999997E-2</c:v>
                </c:pt>
                <c:pt idx="40">
                  <c:v>0.06</c:v>
                </c:pt>
              </c:numCache>
            </c:numRef>
          </c:xVal>
          <c:yVal>
            <c:numRef>
              <c:f>SABR!$G$4:$G$44</c:f>
              <c:numCache>
                <c:formatCode>General</c:formatCode>
                <c:ptCount val="41"/>
                <c:pt idx="0">
                  <c:v>0.45967986913917208</c:v>
                </c:pt>
                <c:pt idx="1">
                  <c:v>0.44746247058198485</c:v>
                </c:pt>
                <c:pt idx="2">
                  <c:v>0.43625509004127139</c:v>
                </c:pt>
                <c:pt idx="3">
                  <c:v>0.42602736197941954</c:v>
                </c:pt>
                <c:pt idx="4">
                  <c:v>0.41675638968838208</c:v>
                </c:pt>
                <c:pt idx="5">
                  <c:v>0.40842426220088374</c:v>
                </c:pt>
                <c:pt idx="6">
                  <c:v>0.40101554117170923</c:v>
                </c:pt>
                <c:pt idx="7">
                  <c:v>0.39451473958513045</c:v>
                </c:pt>
                <c:pt idx="8">
                  <c:v>0.38890389383216162</c:v>
                </c:pt>
                <c:pt idx="9">
                  <c:v>0.38416040100309645</c:v>
                </c:pt>
                <c:pt idx="10">
                  <c:v>0.38025533341924922</c:v>
                </c:pt>
                <c:pt idx="11">
                  <c:v>0.37715243219617883</c:v>
                </c:pt>
                <c:pt idx="12">
                  <c:v>0.37480791226920035</c:v>
                </c:pt>
                <c:pt idx="13">
                  <c:v>0.37317109454812186</c:v>
                </c:pt>
                <c:pt idx="14">
                  <c:v>0.372185748526838</c:v>
                </c:pt>
                <c:pt idx="15">
                  <c:v>0.37179192078688056</c:v>
                </c:pt>
                <c:pt idx="16">
                  <c:v>0.37192797209249739</c:v>
                </c:pt>
                <c:pt idx="17">
                  <c:v>0.37253255690560588</c:v>
                </c:pt>
                <c:pt idx="18">
                  <c:v>0.37354634033286815</c:v>
                </c:pt>
                <c:pt idx="19">
                  <c:v>0.37491333236606428</c:v>
                </c:pt>
                <c:pt idx="20">
                  <c:v>0.37658180175799555</c:v>
                </c:pt>
                <c:pt idx="21">
                  <c:v>0.37850479501185513</c:v>
                </c:pt>
                <c:pt idx="22">
                  <c:v>0.38064032386810925</c:v>
                </c:pt>
                <c:pt idx="23">
                  <c:v>0.38295129979801229</c:v>
                </c:pt>
                <c:pt idx="24">
                  <c:v>0.38540529283441649</c:v>
                </c:pt>
                <c:pt idx="25">
                  <c:v>0.38797418158373148</c:v>
                </c:pt>
                <c:pt idx="26">
                  <c:v>0.39063374706536957</c:v>
                </c:pt>
                <c:pt idx="27">
                  <c:v>0.39336324876305878</c:v>
                </c:pt>
                <c:pt idx="28">
                  <c:v>0.39614500886871779</c:v>
                </c:pt>
                <c:pt idx="29">
                  <c:v>0.39896402086209998</c:v>
                </c:pt>
                <c:pt idx="30">
                  <c:v>0.40180759128897908</c:v>
                </c:pt>
                <c:pt idx="31">
                  <c:v>0.40466501852321662</c:v>
                </c:pt>
                <c:pt idx="32">
                  <c:v>0.40752730895876177</c:v>
                </c:pt>
                <c:pt idx="33">
                  <c:v>0.41038692902660689</c:v>
                </c:pt>
                <c:pt idx="34">
                  <c:v>0.41323759028867757</c:v>
                </c:pt>
                <c:pt idx="35">
                  <c:v>0.41607406432909633</c:v>
                </c:pt>
                <c:pt idx="36">
                  <c:v>0.41889202402446946</c:v>
                </c:pt>
                <c:pt idx="37">
                  <c:v>0.4216879078743051</c:v>
                </c:pt>
                <c:pt idx="38">
                  <c:v>0.4244588043052489</c:v>
                </c:pt>
                <c:pt idx="39">
                  <c:v>0.42720235315943755</c:v>
                </c:pt>
                <c:pt idx="40">
                  <c:v>0.42991666189440186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759-4A87-BD00-DF51B664603B}"/>
            </c:ext>
          </c:extLst>
        </c:ser>
        <c:ser>
          <c:idx val="4"/>
          <c:order val="1"/>
          <c:tx>
            <c:strRef>
              <c:f>SABR!$O$1</c:f>
              <c:strCache>
                <c:ptCount val="1"/>
                <c:pt idx="0">
                  <c:v>Beta=0.6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SABR!$F$4:$F$44</c:f>
              <c:numCache>
                <c:formatCode>General</c:formatCode>
                <c:ptCount val="41"/>
                <c:pt idx="0">
                  <c:v>0.02</c:v>
                </c:pt>
                <c:pt idx="1">
                  <c:v>2.1000000000000001E-2</c:v>
                </c:pt>
                <c:pt idx="2">
                  <c:v>2.1999999999999999E-2</c:v>
                </c:pt>
                <c:pt idx="3">
                  <c:v>2.3E-2</c:v>
                </c:pt>
                <c:pt idx="4">
                  <c:v>2.4E-2</c:v>
                </c:pt>
                <c:pt idx="5">
                  <c:v>2.5000000000000001E-2</c:v>
                </c:pt>
                <c:pt idx="6">
                  <c:v>2.5999999999999999E-2</c:v>
                </c:pt>
                <c:pt idx="7">
                  <c:v>2.7E-2</c:v>
                </c:pt>
                <c:pt idx="8">
                  <c:v>2.8000000000000001E-2</c:v>
                </c:pt>
                <c:pt idx="9">
                  <c:v>2.9000000000000001E-2</c:v>
                </c:pt>
                <c:pt idx="10">
                  <c:v>0.03</c:v>
                </c:pt>
                <c:pt idx="11">
                  <c:v>3.1E-2</c:v>
                </c:pt>
                <c:pt idx="12">
                  <c:v>3.2000000000000001E-2</c:v>
                </c:pt>
                <c:pt idx="13">
                  <c:v>3.3000000000000002E-2</c:v>
                </c:pt>
                <c:pt idx="14">
                  <c:v>3.4000000000000002E-2</c:v>
                </c:pt>
                <c:pt idx="15">
                  <c:v>3.5000000000000003E-2</c:v>
                </c:pt>
                <c:pt idx="16">
                  <c:v>3.5999999999999997E-2</c:v>
                </c:pt>
                <c:pt idx="17">
                  <c:v>3.6999999999999998E-2</c:v>
                </c:pt>
                <c:pt idx="18">
                  <c:v>3.7999999999999999E-2</c:v>
                </c:pt>
                <c:pt idx="19">
                  <c:v>3.9E-2</c:v>
                </c:pt>
                <c:pt idx="20">
                  <c:v>0.04</c:v>
                </c:pt>
                <c:pt idx="21">
                  <c:v>4.1000000000000002E-2</c:v>
                </c:pt>
                <c:pt idx="22">
                  <c:v>4.2000000000000003E-2</c:v>
                </c:pt>
                <c:pt idx="23">
                  <c:v>4.2999999999999997E-2</c:v>
                </c:pt>
                <c:pt idx="24">
                  <c:v>4.3999999999999997E-2</c:v>
                </c:pt>
                <c:pt idx="25">
                  <c:v>4.4999999999999998E-2</c:v>
                </c:pt>
                <c:pt idx="26">
                  <c:v>4.5999999999999999E-2</c:v>
                </c:pt>
                <c:pt idx="27">
                  <c:v>4.7E-2</c:v>
                </c:pt>
                <c:pt idx="28">
                  <c:v>4.8000000000000001E-2</c:v>
                </c:pt>
                <c:pt idx="29">
                  <c:v>4.9000000000000002E-2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5.1999999999999998E-2</c:v>
                </c:pt>
                <c:pt idx="33">
                  <c:v>5.2999999999999999E-2</c:v>
                </c:pt>
                <c:pt idx="34">
                  <c:v>5.3999999999999999E-2</c:v>
                </c:pt>
                <c:pt idx="35">
                  <c:v>5.5E-2</c:v>
                </c:pt>
                <c:pt idx="36">
                  <c:v>5.6000000000000001E-2</c:v>
                </c:pt>
                <c:pt idx="37">
                  <c:v>5.7000000000000002E-2</c:v>
                </c:pt>
                <c:pt idx="38">
                  <c:v>5.8000000000000003E-2</c:v>
                </c:pt>
                <c:pt idx="39">
                  <c:v>5.8999999999999997E-2</c:v>
                </c:pt>
                <c:pt idx="40">
                  <c:v>0.06</c:v>
                </c:pt>
              </c:numCache>
            </c:numRef>
          </c:xVal>
          <c:yVal>
            <c:numRef>
              <c:f>SABR!$N$4:$N$44</c:f>
              <c:numCache>
                <c:formatCode>General</c:formatCode>
                <c:ptCount val="41"/>
                <c:pt idx="0">
                  <c:v>0.45939020608111775</c:v>
                </c:pt>
                <c:pt idx="1">
                  <c:v>0.44742833244772151</c:v>
                </c:pt>
                <c:pt idx="2">
                  <c:v>0.43642438815045137</c:v>
                </c:pt>
                <c:pt idx="3">
                  <c:v>0.4263507305778878</c:v>
                </c:pt>
                <c:pt idx="4">
                  <c:v>0.41718721995747754</c:v>
                </c:pt>
                <c:pt idx="5">
                  <c:v>0.40891896775338593</c:v>
                </c:pt>
                <c:pt idx="6">
                  <c:v>0.40153403947909938</c:v>
                </c:pt>
                <c:pt idx="7">
                  <c:v>0.39502110908565419</c:v>
                </c:pt>
                <c:pt idx="8">
                  <c:v>0.38936713445215837</c:v>
                </c:pt>
                <c:pt idx="9">
                  <c:v>0.38455519392785126</c:v>
                </c:pt>
                <c:pt idx="10">
                  <c:v>0.38056267521204312</c:v>
                </c:pt>
                <c:pt idx="11">
                  <c:v>0.37736002000798574</c:v>
                </c:pt>
                <c:pt idx="12">
                  <c:v>0.37491018692848255</c:v>
                </c:pt>
                <c:pt idx="13">
                  <c:v>0.37316890302377648</c:v>
                </c:pt>
                <c:pt idx="14">
                  <c:v>0.37208565279306655</c:v>
                </c:pt>
                <c:pt idx="15">
                  <c:v>0.37160523779555277</c:v>
                </c:pt>
                <c:pt idx="16">
                  <c:v>0.37166966395078838</c:v>
                </c:pt>
                <c:pt idx="17">
                  <c:v>0.37222009550038182</c:v>
                </c:pt>
                <c:pt idx="18">
                  <c:v>0.3731986509289581</c:v>
                </c:pt>
                <c:pt idx="19">
                  <c:v>0.37454988691758256</c:v>
                </c:pt>
                <c:pt idx="20">
                  <c:v>0.37622189640066983</c:v>
                </c:pt>
                <c:pt idx="21">
                  <c:v>0.37816701579182344</c:v>
                </c:pt>
                <c:pt idx="22">
                  <c:v>0.38034218399458325</c:v>
                </c:pt>
                <c:pt idx="23">
                  <c:v>0.38270902062930695</c:v>
                </c:pt>
                <c:pt idx="24">
                  <c:v>0.38523369737249419</c:v>
                </c:pt>
                <c:pt idx="25">
                  <c:v>0.38788667080320666</c:v>
                </c:pt>
                <c:pt idx="26">
                  <c:v>0.39064233357575912</c:v>
                </c:pt>
                <c:pt idx="27">
                  <c:v>0.39347862738993894</c:v>
                </c:pt>
                <c:pt idx="28">
                  <c:v>0.39637664869765654</c:v>
                </c:pt>
                <c:pt idx="29">
                  <c:v>0.39932026759549438</c:v>
                </c:pt>
                <c:pt idx="30">
                  <c:v>0.4022957722401595</c:v>
                </c:pt>
                <c:pt idx="31">
                  <c:v>0.40529154522971111</c:v>
                </c:pt>
                <c:pt idx="32">
                  <c:v>0.40829777434520043</c:v>
                </c:pt>
                <c:pt idx="33">
                  <c:v>0.41130619742474989</c:v>
                </c:pt>
                <c:pt idx="34">
                  <c:v>0.41430987956105952</c:v>
                </c:pt>
                <c:pt idx="35">
                  <c:v>0.41730301995869923</c:v>
                </c:pt>
                <c:pt idx="36">
                  <c:v>0.42028078541780323</c:v>
                </c:pt>
                <c:pt idx="37">
                  <c:v>0.42323916734968781</c:v>
                </c:pt>
                <c:pt idx="38">
                  <c:v>0.42617485935385951</c:v>
                </c:pt>
                <c:pt idx="39">
                  <c:v>0.42908515261123237</c:v>
                </c:pt>
                <c:pt idx="40">
                  <c:v>0.43196784662041299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759-4A87-BD00-DF51B664603B}"/>
            </c:ext>
          </c:extLst>
        </c:ser>
        <c:ser>
          <c:idx val="5"/>
          <c:order val="2"/>
          <c:tx>
            <c:strRef>
              <c:f>SABR!$V$1</c:f>
              <c:strCache>
                <c:ptCount val="1"/>
                <c:pt idx="0">
                  <c:v>Beta=0</c:v>
                </c:pt>
              </c:strCache>
            </c:strRef>
          </c:tx>
          <c:marker>
            <c:symbol val="none"/>
          </c:marker>
          <c:xVal>
            <c:numRef>
              <c:f>SABR!$F$4:$F$44</c:f>
              <c:numCache>
                <c:formatCode>General</c:formatCode>
                <c:ptCount val="41"/>
                <c:pt idx="0">
                  <c:v>0.02</c:v>
                </c:pt>
                <c:pt idx="1">
                  <c:v>2.1000000000000001E-2</c:v>
                </c:pt>
                <c:pt idx="2">
                  <c:v>2.1999999999999999E-2</c:v>
                </c:pt>
                <c:pt idx="3">
                  <c:v>2.3E-2</c:v>
                </c:pt>
                <c:pt idx="4">
                  <c:v>2.4E-2</c:v>
                </c:pt>
                <c:pt idx="5">
                  <c:v>2.5000000000000001E-2</c:v>
                </c:pt>
                <c:pt idx="6">
                  <c:v>2.5999999999999999E-2</c:v>
                </c:pt>
                <c:pt idx="7">
                  <c:v>2.7E-2</c:v>
                </c:pt>
                <c:pt idx="8">
                  <c:v>2.8000000000000001E-2</c:v>
                </c:pt>
                <c:pt idx="9">
                  <c:v>2.9000000000000001E-2</c:v>
                </c:pt>
                <c:pt idx="10">
                  <c:v>0.03</c:v>
                </c:pt>
                <c:pt idx="11">
                  <c:v>3.1E-2</c:v>
                </c:pt>
                <c:pt idx="12">
                  <c:v>3.2000000000000001E-2</c:v>
                </c:pt>
                <c:pt idx="13">
                  <c:v>3.3000000000000002E-2</c:v>
                </c:pt>
                <c:pt idx="14">
                  <c:v>3.4000000000000002E-2</c:v>
                </c:pt>
                <c:pt idx="15">
                  <c:v>3.5000000000000003E-2</c:v>
                </c:pt>
                <c:pt idx="16">
                  <c:v>3.5999999999999997E-2</c:v>
                </c:pt>
                <c:pt idx="17">
                  <c:v>3.6999999999999998E-2</c:v>
                </c:pt>
                <c:pt idx="18">
                  <c:v>3.7999999999999999E-2</c:v>
                </c:pt>
                <c:pt idx="19">
                  <c:v>3.9E-2</c:v>
                </c:pt>
                <c:pt idx="20">
                  <c:v>0.04</c:v>
                </c:pt>
                <c:pt idx="21">
                  <c:v>4.1000000000000002E-2</c:v>
                </c:pt>
                <c:pt idx="22">
                  <c:v>4.2000000000000003E-2</c:v>
                </c:pt>
                <c:pt idx="23">
                  <c:v>4.2999999999999997E-2</c:v>
                </c:pt>
                <c:pt idx="24">
                  <c:v>4.3999999999999997E-2</c:v>
                </c:pt>
                <c:pt idx="25">
                  <c:v>4.4999999999999998E-2</c:v>
                </c:pt>
                <c:pt idx="26">
                  <c:v>4.5999999999999999E-2</c:v>
                </c:pt>
                <c:pt idx="27">
                  <c:v>4.7E-2</c:v>
                </c:pt>
                <c:pt idx="28">
                  <c:v>4.8000000000000001E-2</c:v>
                </c:pt>
                <c:pt idx="29">
                  <c:v>4.9000000000000002E-2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5.1999999999999998E-2</c:v>
                </c:pt>
                <c:pt idx="33">
                  <c:v>5.2999999999999999E-2</c:v>
                </c:pt>
                <c:pt idx="34">
                  <c:v>5.3999999999999999E-2</c:v>
                </c:pt>
                <c:pt idx="35">
                  <c:v>5.5E-2</c:v>
                </c:pt>
                <c:pt idx="36">
                  <c:v>5.6000000000000001E-2</c:v>
                </c:pt>
                <c:pt idx="37">
                  <c:v>5.7000000000000002E-2</c:v>
                </c:pt>
                <c:pt idx="38">
                  <c:v>5.8000000000000003E-2</c:v>
                </c:pt>
                <c:pt idx="39">
                  <c:v>5.8999999999999997E-2</c:v>
                </c:pt>
                <c:pt idx="40">
                  <c:v>0.06</c:v>
                </c:pt>
              </c:numCache>
            </c:numRef>
          </c:xVal>
          <c:yVal>
            <c:numRef>
              <c:f>SABR!$U$4:$U$44</c:f>
              <c:numCache>
                <c:formatCode>General</c:formatCode>
                <c:ptCount val="41"/>
                <c:pt idx="0">
                  <c:v>0.4612863639931889</c:v>
                </c:pt>
                <c:pt idx="1">
                  <c:v>0.44777274039531656</c:v>
                </c:pt>
                <c:pt idx="2">
                  <c:v>0.43555178399937761</c:v>
                </c:pt>
                <c:pt idx="3">
                  <c:v>0.42457679916409896</c:v>
                </c:pt>
                <c:pt idx="4">
                  <c:v>0.41480806626979627</c:v>
                </c:pt>
                <c:pt idx="5">
                  <c:v>0.40620884900080556</c:v>
                </c:pt>
                <c:pt idx="6">
                  <c:v>0.39874162197562146</c:v>
                </c:pt>
                <c:pt idx="7">
                  <c:v>0.39236472945266987</c:v>
                </c:pt>
                <c:pt idx="8">
                  <c:v>0.38702977550438783</c:v>
                </c:pt>
                <c:pt idx="9">
                  <c:v>0.38268005053285276</c:v>
                </c:pt>
                <c:pt idx="10">
                  <c:v>0.37925019717882097</c:v>
                </c:pt>
                <c:pt idx="11">
                  <c:v>0.37666712797871293</c:v>
                </c:pt>
                <c:pt idx="12">
                  <c:v>0.37485198631103567</c:v>
                </c:pt>
                <c:pt idx="13">
                  <c:v>0.37372276779965047</c:v>
                </c:pt>
                <c:pt idx="14">
                  <c:v>0.3731971482417441</c:v>
                </c:pt>
                <c:pt idx="15">
                  <c:v>0.37319510719483351</c:v>
                </c:pt>
                <c:pt idx="16">
                  <c:v>0.37364106019147197</c:v>
                </c:pt>
                <c:pt idx="17">
                  <c:v>0.37446536361545346</c:v>
                </c:pt>
                <c:pt idx="18">
                  <c:v>0.37560518815486443</c:v>
                </c:pt>
                <c:pt idx="19">
                  <c:v>0.3770048449584969</c:v>
                </c:pt>
                <c:pt idx="20">
                  <c:v>0.37861569039829157</c:v>
                </c:pt>
                <c:pt idx="21">
                  <c:v>0.38039574109494834</c:v>
                </c:pt>
                <c:pt idx="22">
                  <c:v>0.38230911496450987</c:v>
                </c:pt>
                <c:pt idx="23">
                  <c:v>0.38432538892657558</c:v>
                </c:pt>
                <c:pt idx="24">
                  <c:v>0.38641893789371262</c:v>
                </c:pt>
                <c:pt idx="25">
                  <c:v>0.3885682971108777</c:v>
                </c:pt>
                <c:pt idx="26">
                  <c:v>0.39075557239689723</c:v>
                </c:pt>
                <c:pt idx="27">
                  <c:v>0.39296591029809519</c:v>
                </c:pt>
                <c:pt idx="28">
                  <c:v>0.3951870318011243</c:v>
                </c:pt>
                <c:pt idx="29">
                  <c:v>0.39740882807377809</c:v>
                </c:pt>
                <c:pt idx="30">
                  <c:v>0.39962301378748283</c:v>
                </c:pt>
                <c:pt idx="31">
                  <c:v>0.40182283217785064</c:v>
                </c:pt>
                <c:pt idx="32">
                  <c:v>0.40400280556480994</c:v>
                </c:pt>
                <c:pt idx="33">
                  <c:v>0.40615852519141771</c:v>
                </c:pt>
                <c:pt idx="34">
                  <c:v>0.40828647468930329</c:v>
                </c:pt>
                <c:pt idx="35">
                  <c:v>0.41038388207150489</c:v>
                </c:pt>
                <c:pt idx="36">
                  <c:v>0.41244859578787552</c:v>
                </c:pt>
                <c:pt idx="37">
                  <c:v>0.41447898099541108</c:v>
                </c:pt>
                <c:pt idx="38">
                  <c:v>0.41647383276481537</c:v>
                </c:pt>
                <c:pt idx="39">
                  <c:v>0.41843230345170845</c:v>
                </c:pt>
                <c:pt idx="40">
                  <c:v>0.42035384190282626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759-4A87-BD00-DF51B664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925135"/>
        <c:axId val="1684926383"/>
      </c:scatterChart>
      <c:valAx>
        <c:axId val="168492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926383"/>
        <c:crosses val="autoZero"/>
        <c:crossBetween val="midCat"/>
      </c:valAx>
      <c:valAx>
        <c:axId val="1684926383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92513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SABR!$AE$4</c:f>
              <c:strCache>
                <c:ptCount val="1"/>
                <c:pt idx="0">
                  <c:v>market_vol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SABR!$AD$5:$AD$11</c:f>
              <c:numCache>
                <c:formatCode>General</c:formatCode>
                <c:ptCount val="7"/>
                <c:pt idx="0">
                  <c:v>0.02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0.04</c:v>
                </c:pt>
                <c:pt idx="5">
                  <c:v>4.4999999999999998E-2</c:v>
                </c:pt>
                <c:pt idx="6">
                  <c:v>0.05</c:v>
                </c:pt>
              </c:numCache>
            </c:numRef>
          </c:xVal>
          <c:yVal>
            <c:numRef>
              <c:f>SABR!$AE$5:$AE$11</c:f>
              <c:numCache>
                <c:formatCode>General</c:formatCode>
                <c:ptCount val="7"/>
                <c:pt idx="0">
                  <c:v>0.45600000000000002</c:v>
                </c:pt>
                <c:pt idx="1">
                  <c:v>0.41599999999999998</c:v>
                </c:pt>
                <c:pt idx="2">
                  <c:v>0.379</c:v>
                </c:pt>
                <c:pt idx="3">
                  <c:v>0.36599999999999999</c:v>
                </c:pt>
                <c:pt idx="4">
                  <c:v>0.378</c:v>
                </c:pt>
                <c:pt idx="5">
                  <c:v>0.39200000000000002</c:v>
                </c:pt>
                <c:pt idx="6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7-4826-AB77-AA3E7B7F4E4A}"/>
            </c:ext>
          </c:extLst>
        </c:ser>
        <c:ser>
          <c:idx val="1"/>
          <c:order val="1"/>
          <c:tx>
            <c:strRef>
              <c:f>SABR!$AF$4</c:f>
              <c:strCache>
                <c:ptCount val="1"/>
                <c:pt idx="0">
                  <c:v>SABR_vol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SABR!$AJ$5:$AJ$45</c:f>
              <c:numCache>
                <c:formatCode>General</c:formatCode>
                <c:ptCount val="41"/>
                <c:pt idx="0">
                  <c:v>0.02</c:v>
                </c:pt>
                <c:pt idx="1">
                  <c:v>2.1000000000000001E-2</c:v>
                </c:pt>
                <c:pt idx="2">
                  <c:v>2.1999999999999999E-2</c:v>
                </c:pt>
                <c:pt idx="3">
                  <c:v>2.3E-2</c:v>
                </c:pt>
                <c:pt idx="4">
                  <c:v>2.4E-2</c:v>
                </c:pt>
                <c:pt idx="5">
                  <c:v>2.5000000000000001E-2</c:v>
                </c:pt>
                <c:pt idx="6">
                  <c:v>2.5999999999999999E-2</c:v>
                </c:pt>
                <c:pt idx="7">
                  <c:v>2.7E-2</c:v>
                </c:pt>
                <c:pt idx="8">
                  <c:v>2.8000000000000001E-2</c:v>
                </c:pt>
                <c:pt idx="9">
                  <c:v>2.9000000000000001E-2</c:v>
                </c:pt>
                <c:pt idx="10">
                  <c:v>0.03</c:v>
                </c:pt>
                <c:pt idx="11">
                  <c:v>3.1E-2</c:v>
                </c:pt>
                <c:pt idx="12">
                  <c:v>3.2000000000000001E-2</c:v>
                </c:pt>
                <c:pt idx="13">
                  <c:v>3.3000000000000002E-2</c:v>
                </c:pt>
                <c:pt idx="14">
                  <c:v>3.4000000000000002E-2</c:v>
                </c:pt>
                <c:pt idx="15">
                  <c:v>3.5000000000000003E-2</c:v>
                </c:pt>
                <c:pt idx="16">
                  <c:v>3.5999999999999997E-2</c:v>
                </c:pt>
                <c:pt idx="17">
                  <c:v>3.6999999999999998E-2</c:v>
                </c:pt>
                <c:pt idx="18">
                  <c:v>3.7999999999999999E-2</c:v>
                </c:pt>
                <c:pt idx="19">
                  <c:v>3.9E-2</c:v>
                </c:pt>
                <c:pt idx="20">
                  <c:v>0.04</c:v>
                </c:pt>
                <c:pt idx="21">
                  <c:v>4.1000000000000002E-2</c:v>
                </c:pt>
                <c:pt idx="22">
                  <c:v>4.2000000000000003E-2</c:v>
                </c:pt>
                <c:pt idx="23">
                  <c:v>4.2999999999999997E-2</c:v>
                </c:pt>
                <c:pt idx="24">
                  <c:v>4.3999999999999997E-2</c:v>
                </c:pt>
                <c:pt idx="25">
                  <c:v>4.4999999999999998E-2</c:v>
                </c:pt>
                <c:pt idx="26">
                  <c:v>4.5999999999999999E-2</c:v>
                </c:pt>
                <c:pt idx="27">
                  <c:v>4.7E-2</c:v>
                </c:pt>
                <c:pt idx="28">
                  <c:v>4.8000000000000001E-2</c:v>
                </c:pt>
                <c:pt idx="29">
                  <c:v>4.9000000000000002E-2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5.1999999999999998E-2</c:v>
                </c:pt>
                <c:pt idx="33">
                  <c:v>5.2999999999999999E-2</c:v>
                </c:pt>
                <c:pt idx="34">
                  <c:v>5.3999999999999999E-2</c:v>
                </c:pt>
                <c:pt idx="35">
                  <c:v>5.5E-2</c:v>
                </c:pt>
                <c:pt idx="36">
                  <c:v>5.6000000000000001E-2</c:v>
                </c:pt>
                <c:pt idx="37">
                  <c:v>5.7000000000000002E-2</c:v>
                </c:pt>
                <c:pt idx="38">
                  <c:v>5.8000000000000003E-2</c:v>
                </c:pt>
                <c:pt idx="39">
                  <c:v>5.8999999999999997E-2</c:v>
                </c:pt>
                <c:pt idx="40">
                  <c:v>0.06</c:v>
                </c:pt>
              </c:numCache>
            </c:numRef>
          </c:xVal>
          <c:yVal>
            <c:numRef>
              <c:f>SABR!$AK$5:$AK$45</c:f>
              <c:numCache>
                <c:formatCode>General</c:formatCode>
                <c:ptCount val="41"/>
                <c:pt idx="0">
                  <c:v>0.4612863639931889</c:v>
                </c:pt>
                <c:pt idx="1">
                  <c:v>0.44777274039531656</c:v>
                </c:pt>
                <c:pt idx="2">
                  <c:v>0.43555178399937761</c:v>
                </c:pt>
                <c:pt idx="3">
                  <c:v>0.42457679916409896</c:v>
                </c:pt>
                <c:pt idx="4">
                  <c:v>0.41480806626979627</c:v>
                </c:pt>
                <c:pt idx="5">
                  <c:v>0.40620884900080556</c:v>
                </c:pt>
                <c:pt idx="6">
                  <c:v>0.39874162197562146</c:v>
                </c:pt>
                <c:pt idx="7">
                  <c:v>0.39236472945266987</c:v>
                </c:pt>
                <c:pt idx="8">
                  <c:v>0.38702977550438783</c:v>
                </c:pt>
                <c:pt idx="9">
                  <c:v>0.38268005053285276</c:v>
                </c:pt>
                <c:pt idx="10">
                  <c:v>0.37925019717882097</c:v>
                </c:pt>
                <c:pt idx="11">
                  <c:v>0.37666712797871293</c:v>
                </c:pt>
                <c:pt idx="12">
                  <c:v>0.37485198631103567</c:v>
                </c:pt>
                <c:pt idx="13">
                  <c:v>0.37372276779965047</c:v>
                </c:pt>
                <c:pt idx="14">
                  <c:v>0.3731971482417441</c:v>
                </c:pt>
                <c:pt idx="15">
                  <c:v>0.37319510719483351</c:v>
                </c:pt>
                <c:pt idx="16">
                  <c:v>0.37364106019147197</c:v>
                </c:pt>
                <c:pt idx="17">
                  <c:v>0.37446536361545346</c:v>
                </c:pt>
                <c:pt idx="18">
                  <c:v>0.37560518815486443</c:v>
                </c:pt>
                <c:pt idx="19">
                  <c:v>0.3770048449584969</c:v>
                </c:pt>
                <c:pt idx="20">
                  <c:v>0.37861569039829157</c:v>
                </c:pt>
                <c:pt idx="21">
                  <c:v>0.38039574109494834</c:v>
                </c:pt>
                <c:pt idx="22">
                  <c:v>0.38230911496450987</c:v>
                </c:pt>
                <c:pt idx="23">
                  <c:v>0.38432538892657558</c:v>
                </c:pt>
                <c:pt idx="24">
                  <c:v>0.38641893789371262</c:v>
                </c:pt>
                <c:pt idx="25">
                  <c:v>0.3885682971108777</c:v>
                </c:pt>
                <c:pt idx="26">
                  <c:v>0.39075557239689723</c:v>
                </c:pt>
                <c:pt idx="27">
                  <c:v>0.39296591029809519</c:v>
                </c:pt>
                <c:pt idx="28">
                  <c:v>0.3951870318011243</c:v>
                </c:pt>
                <c:pt idx="29">
                  <c:v>0.39740882807377809</c:v>
                </c:pt>
                <c:pt idx="30">
                  <c:v>0.39962301378748283</c:v>
                </c:pt>
                <c:pt idx="31">
                  <c:v>0.40182283217785064</c:v>
                </c:pt>
                <c:pt idx="32">
                  <c:v>0.40400280556480994</c:v>
                </c:pt>
                <c:pt idx="33">
                  <c:v>0.40615852519141771</c:v>
                </c:pt>
                <c:pt idx="34">
                  <c:v>0.40828647468930329</c:v>
                </c:pt>
                <c:pt idx="35">
                  <c:v>0.41038388207150489</c:v>
                </c:pt>
                <c:pt idx="36">
                  <c:v>0.41244859578787552</c:v>
                </c:pt>
                <c:pt idx="37">
                  <c:v>0.41447898099541108</c:v>
                </c:pt>
                <c:pt idx="38">
                  <c:v>0.41647383276481537</c:v>
                </c:pt>
                <c:pt idx="39">
                  <c:v>0.41843230345170845</c:v>
                </c:pt>
                <c:pt idx="40">
                  <c:v>0.42035384190282626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7-4826-AB77-AA3E7B7F4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080687"/>
        <c:axId val="1247082767"/>
      </c:scatterChart>
      <c:valAx>
        <c:axId val="124708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082767"/>
        <c:crosses val="autoZero"/>
        <c:crossBetween val="midCat"/>
      </c:valAx>
      <c:valAx>
        <c:axId val="1247082767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08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'Comparison-American'!$G$5:$G$21</c:f>
              <c:numCache>
                <c:formatCode>General</c:formatCode>
                <c:ptCount val="17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30.487152647952069</c:v>
                </c:pt>
                <c:pt idx="5">
                  <c:v>22.430820824175672</c:v>
                </c:pt>
                <c:pt idx="6">
                  <c:v>15.853930971233307</c:v>
                </c:pt>
                <c:pt idx="7">
                  <c:v>10.785772502599372</c:v>
                </c:pt>
                <c:pt idx="8">
                  <c:v>7.102541516770799</c:v>
                </c:pt>
                <c:pt idx="9">
                  <c:v>4.5564752177547092</c:v>
                </c:pt>
                <c:pt idx="10">
                  <c:v>2.8649835138199933</c:v>
                </c:pt>
                <c:pt idx="11">
                  <c:v>1.7747808899319608</c:v>
                </c:pt>
                <c:pt idx="12">
                  <c:v>1.0877976643522516</c:v>
                </c:pt>
                <c:pt idx="13">
                  <c:v>0.66194442960889432</c:v>
                </c:pt>
                <c:pt idx="14">
                  <c:v>0.40100452141440712</c:v>
                </c:pt>
                <c:pt idx="15">
                  <c:v>0.24236350083225489</c:v>
                </c:pt>
                <c:pt idx="16">
                  <c:v>0.14639028291574618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B3-4DA8-9841-7A3BFBEFF994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'Comparison-American'!$I$5:$I$21</c:f>
              <c:numCache>
                <c:formatCode>General</c:formatCode>
                <c:ptCount val="17"/>
                <c:pt idx="0">
                  <c:v>70.00000000000118</c:v>
                </c:pt>
                <c:pt idx="1">
                  <c:v>60.00000000000118</c:v>
                </c:pt>
                <c:pt idx="2">
                  <c:v>50.00000000000118</c:v>
                </c:pt>
                <c:pt idx="3">
                  <c:v>40.00000000000118</c:v>
                </c:pt>
                <c:pt idx="4">
                  <c:v>30.498607987378957</c:v>
                </c:pt>
                <c:pt idx="5">
                  <c:v>22.445588153801527</c:v>
                </c:pt>
                <c:pt idx="6">
                  <c:v>15.866713732138688</c:v>
                </c:pt>
                <c:pt idx="7">
                  <c:v>10.787516089465147</c:v>
                </c:pt>
                <c:pt idx="8">
                  <c:v>7.105659637756867</c:v>
                </c:pt>
                <c:pt idx="9">
                  <c:v>4.5560551169431056</c:v>
                </c:pt>
                <c:pt idx="10">
                  <c:v>2.8658896425262248</c:v>
                </c:pt>
                <c:pt idx="11">
                  <c:v>1.7752763323819662</c:v>
                </c:pt>
                <c:pt idx="12">
                  <c:v>1.0859947582280787</c:v>
                </c:pt>
                <c:pt idx="13">
                  <c:v>0.66062760556418976</c:v>
                </c:pt>
                <c:pt idx="14">
                  <c:v>0.39967596050848903</c:v>
                </c:pt>
                <c:pt idx="15">
                  <c:v>0.24169918851687733</c:v>
                </c:pt>
                <c:pt idx="16">
                  <c:v>0.14568502917523413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B3-4DA8-9841-7A3BFBEFF994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'Comparison-American'!$M$5:$M$21</c:f>
              <c:numCache>
                <c:formatCode>General</c:formatCode>
                <c:ptCount val="17"/>
                <c:pt idx="0">
                  <c:v>63.779913678635367</c:v>
                </c:pt>
                <c:pt idx="1">
                  <c:v>55.172840147299368</c:v>
                </c:pt>
                <c:pt idx="2">
                  <c:v>46.567757798347316</c:v>
                </c:pt>
                <c:pt idx="3">
                  <c:v>38.008037548963244</c:v>
                </c:pt>
                <c:pt idx="4">
                  <c:v>29.717343880901694</c:v>
                </c:pt>
                <c:pt idx="5">
                  <c:v>22.146383610307787</c:v>
                </c:pt>
                <c:pt idx="6">
                  <c:v>15.749546206029741</c:v>
                </c:pt>
                <c:pt idx="7">
                  <c:v>10.747330990955795</c:v>
                </c:pt>
                <c:pt idx="8">
                  <c:v>7.0882590547425899</c:v>
                </c:pt>
                <c:pt idx="9">
                  <c:v>4.5511018468385949</c:v>
                </c:pt>
                <c:pt idx="10">
                  <c:v>2.862930735575695</c:v>
                </c:pt>
                <c:pt idx="11">
                  <c:v>1.7739829852483062</c:v>
                </c:pt>
                <c:pt idx="12">
                  <c:v>1.0874817137678168</c:v>
                </c:pt>
                <c:pt idx="13">
                  <c:v>0.66181689423987855</c:v>
                </c:pt>
                <c:pt idx="14">
                  <c:v>0.40095203195998286</c:v>
                </c:pt>
                <c:pt idx="15">
                  <c:v>0.24234147714966259</c:v>
                </c:pt>
                <c:pt idx="16">
                  <c:v>0.14638086539598461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B3-4DA8-9841-7A3BFBEFF994}"/>
            </c:ext>
          </c:extLst>
        </c:ser>
        <c:ser>
          <c:idx val="0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'Comparison-American'!$K$5:$K$21</c:f>
              <c:numCache>
                <c:formatCode>General</c:formatCode>
                <c:ptCount val="17"/>
                <c:pt idx="0">
                  <c:v>69.999999999999986</c:v>
                </c:pt>
                <c:pt idx="1">
                  <c:v>59.999999999999986</c:v>
                </c:pt>
                <c:pt idx="2">
                  <c:v>49.999999999999986</c:v>
                </c:pt>
                <c:pt idx="3">
                  <c:v>39.999999999999986</c:v>
                </c:pt>
                <c:pt idx="4">
                  <c:v>30.498380409808711</c:v>
                </c:pt>
                <c:pt idx="5">
                  <c:v>22.446455528312654</c:v>
                </c:pt>
                <c:pt idx="6">
                  <c:v>15.865993500151173</c:v>
                </c:pt>
                <c:pt idx="7">
                  <c:v>10.789799785481252</c:v>
                </c:pt>
                <c:pt idx="8">
                  <c:v>7.1050671839426629</c:v>
                </c:pt>
                <c:pt idx="9">
                  <c:v>4.5576258454195173</c:v>
                </c:pt>
                <c:pt idx="10">
                  <c:v>2.8641484870550871</c:v>
                </c:pt>
                <c:pt idx="11">
                  <c:v>1.7749433956584808</c:v>
                </c:pt>
                <c:pt idx="12">
                  <c:v>1.0875315364274123</c:v>
                </c:pt>
                <c:pt idx="13">
                  <c:v>0.66035216158533605</c:v>
                </c:pt>
                <c:pt idx="14">
                  <c:v>0.40069869352047782</c:v>
                </c:pt>
                <c:pt idx="15">
                  <c:v>0.24197271431601239</c:v>
                </c:pt>
                <c:pt idx="16">
                  <c:v>0.14601281191060614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3-4DA8-9841-7A3BFBEF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'Comparison-American'!$H$5:$H$21</c:f>
              <c:numCache>
                <c:formatCode>General</c:formatCode>
                <c:ptCount val="17"/>
                <c:pt idx="0">
                  <c:v>9.1802121460204944E-12</c:v>
                </c:pt>
                <c:pt idx="1">
                  <c:v>6.2439020780402643E-6</c:v>
                </c:pt>
                <c:pt idx="2">
                  <c:v>2.0157900578396948E-3</c:v>
                </c:pt>
                <c:pt idx="3">
                  <c:v>5.0063267512371112E-2</c:v>
                </c:pt>
                <c:pt idx="4">
                  <c:v>0.37549289503182592</c:v>
                </c:pt>
                <c:pt idx="5">
                  <c:v>1.4628849085821187</c:v>
                </c:pt>
                <c:pt idx="6">
                  <c:v>3.8462442765554528</c:v>
                </c:pt>
                <c:pt idx="7">
                  <c:v>7.8700177822955482</c:v>
                </c:pt>
                <c:pt idx="8">
                  <c:v>13.629482806088344</c:v>
                </c:pt>
                <c:pt idx="9">
                  <c:v>21.046997807419487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B-46E0-9543-7836A1C0E5E8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'Comparison-American'!$J$5:$J$21</c:f>
              <c:numCache>
                <c:formatCode>General</c:formatCode>
                <c:ptCount val="17"/>
                <c:pt idx="0">
                  <c:v>6.7346288312237292E-12</c:v>
                </c:pt>
                <c:pt idx="1">
                  <c:v>5.8263507221031199E-6</c:v>
                </c:pt>
                <c:pt idx="2">
                  <c:v>2.0164891238280643E-3</c:v>
                </c:pt>
                <c:pt idx="3">
                  <c:v>5.0724140906864779E-2</c:v>
                </c:pt>
                <c:pt idx="4">
                  <c:v>0.38098762630663141</c:v>
                </c:pt>
                <c:pt idx="5">
                  <c:v>1.4797874865549066</c:v>
                </c:pt>
                <c:pt idx="6">
                  <c:v>3.8824119701638331</c:v>
                </c:pt>
                <c:pt idx="7">
                  <c:v>7.9148107175946514</c:v>
                </c:pt>
                <c:pt idx="8">
                  <c:v>13.678926821754601</c:v>
                </c:pt>
                <c:pt idx="9">
                  <c:v>21.091955921688211</c:v>
                </c:pt>
                <c:pt idx="10">
                  <c:v>30.035232694413907</c:v>
                </c:pt>
                <c:pt idx="11">
                  <c:v>39.99999999999882</c:v>
                </c:pt>
                <c:pt idx="12">
                  <c:v>49.99999999999882</c:v>
                </c:pt>
                <c:pt idx="13">
                  <c:v>59.99999999999882</c:v>
                </c:pt>
                <c:pt idx="14">
                  <c:v>69.99999999999882</c:v>
                </c:pt>
                <c:pt idx="15">
                  <c:v>79.99999999999882</c:v>
                </c:pt>
                <c:pt idx="16">
                  <c:v>89.99999999999882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B-46E0-9543-7836A1C0E5E8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'Comparison-American'!$N$5:$N$21</c:f>
              <c:numCache>
                <c:formatCode>General</c:formatCode>
                <c:ptCount val="17"/>
                <c:pt idx="0">
                  <c:v>9.1842814948206544E-12</c:v>
                </c:pt>
                <c:pt idx="1">
                  <c:v>6.2329237730476437E-6</c:v>
                </c:pt>
                <c:pt idx="2">
                  <c:v>2.003648222303353E-3</c:v>
                </c:pt>
                <c:pt idx="3">
                  <c:v>4.9363163088802509E-2</c:v>
                </c:pt>
                <c:pt idx="4">
                  <c:v>0.36574925927782242</c:v>
                </c:pt>
                <c:pt idx="5">
                  <c:v>1.401868752934508</c:v>
                </c:pt>
                <c:pt idx="6">
                  <c:v>3.61211111290703</c:v>
                </c:pt>
                <c:pt idx="7">
                  <c:v>7.2169756620836516</c:v>
                </c:pt>
                <c:pt idx="8">
                  <c:v>12.164983490121045</c:v>
                </c:pt>
                <c:pt idx="9">
                  <c:v>18.234906046467614</c:v>
                </c:pt>
                <c:pt idx="10">
                  <c:v>25.153814699455282</c:v>
                </c:pt>
                <c:pt idx="11">
                  <c:v>32.671946713378489</c:v>
                </c:pt>
                <c:pt idx="12">
                  <c:v>40.592525206148579</c:v>
                </c:pt>
                <c:pt idx="13">
                  <c:v>48.773940150871198</c:v>
                </c:pt>
                <c:pt idx="14">
                  <c:v>57.120155052841895</c:v>
                </c:pt>
                <c:pt idx="15">
                  <c:v>65.568624262282157</c:v>
                </c:pt>
                <c:pt idx="16">
                  <c:v>74.079743414779045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CB-46E0-9543-7836A1C0E5E8}"/>
            </c:ext>
          </c:extLst>
        </c:ser>
        <c:ser>
          <c:idx val="1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'Comparison-American'!$L$5:$L$21</c:f>
              <c:numCache>
                <c:formatCode>General</c:formatCode>
                <c:ptCount val="17"/>
                <c:pt idx="0">
                  <c:v>7.7531407749717081E-12</c:v>
                </c:pt>
                <c:pt idx="1">
                  <c:v>6.1198396917104289E-6</c:v>
                </c:pt>
                <c:pt idx="2">
                  <c:v>2.0202104753871985E-3</c:v>
                </c:pt>
                <c:pt idx="3">
                  <c:v>5.0745317142587704E-2</c:v>
                </c:pt>
                <c:pt idx="4">
                  <c:v>0.38081386927335337</c:v>
                </c:pt>
                <c:pt idx="5">
                  <c:v>1.480431683143093</c:v>
                </c:pt>
                <c:pt idx="6">
                  <c:v>3.8810475580777197</c:v>
                </c:pt>
                <c:pt idx="7">
                  <c:v>7.9151152949034689</c:v>
                </c:pt>
                <c:pt idx="8">
                  <c:v>13.67667721163852</c:v>
                </c:pt>
                <c:pt idx="9">
                  <c:v>21.090392408953964</c:v>
                </c:pt>
                <c:pt idx="10">
                  <c:v>30.037336547675785</c:v>
                </c:pt>
                <c:pt idx="11">
                  <c:v>40.000000000000014</c:v>
                </c:pt>
                <c:pt idx="12">
                  <c:v>50.000000000000014</c:v>
                </c:pt>
                <c:pt idx="13">
                  <c:v>60.000000000000014</c:v>
                </c:pt>
                <c:pt idx="14">
                  <c:v>70.000000000000014</c:v>
                </c:pt>
                <c:pt idx="15">
                  <c:v>80.000000000000014</c:v>
                </c:pt>
                <c:pt idx="16">
                  <c:v>90.000000000000014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B-46E0-9543-7836A1C0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'Comparison-American'!$P$3</c:f>
              <c:strCache>
                <c:ptCount val="1"/>
                <c:pt idx="0">
                  <c:v>Bjerksund Stensland (2002)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'Comparison-American'!$Q$5:$Q$21</c:f>
              <c:numCache>
                <c:formatCode>General</c:formatCode>
                <c:ptCount val="17"/>
                <c:pt idx="0">
                  <c:v>3.335177460144223E-4</c:v>
                </c:pt>
                <c:pt idx="1">
                  <c:v>4.5456678892776381E-2</c:v>
                </c:pt>
                <c:pt idx="2">
                  <c:v>0.35505451568060664</c:v>
                </c:pt>
                <c:pt idx="3">
                  <c:v>1.3714112161997178</c:v>
                </c:pt>
                <c:pt idx="4">
                  <c:v>3.5533683946349583</c:v>
                </c:pt>
                <c:pt idx="5">
                  <c:v>5.489098402517925</c:v>
                </c:pt>
                <c:pt idx="6">
                  <c:v>7.1597639755190912</c:v>
                </c:pt>
                <c:pt idx="7">
                  <c:v>8.6069710414120095</c:v>
                </c:pt>
                <c:pt idx="8">
                  <c:v>9.8690906190489329</c:v>
                </c:pt>
                <c:pt idx="9">
                  <c:v>10.976626329711749</c:v>
                </c:pt>
                <c:pt idx="10">
                  <c:v>11.953580710569064</c:v>
                </c:pt>
                <c:pt idx="11">
                  <c:v>12.819088931134925</c:v>
                </c:pt>
                <c:pt idx="12">
                  <c:v>13.588657407426926</c:v>
                </c:pt>
                <c:pt idx="13">
                  <c:v>14.275042748570662</c:v>
                </c:pt>
                <c:pt idx="14">
                  <c:v>14.888875484549732</c:v>
                </c:pt>
                <c:pt idx="15">
                  <c:v>15.43911053354682</c:v>
                </c:pt>
                <c:pt idx="16">
                  <c:v>15.933359702623587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A-478F-B6DC-78E38551B400}"/>
            </c:ext>
          </c:extLst>
        </c:ser>
        <c:ser>
          <c:idx val="1"/>
          <c:order val="1"/>
          <c:tx>
            <c:strRef>
              <c:f>'Comparison-American'!$S$3</c:f>
              <c:strCache>
                <c:ptCount val="1"/>
                <c:pt idx="0">
                  <c:v>Binomial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'Comparison-American'!$S$5:$S$21</c:f>
              <c:numCache>
                <c:formatCode>General</c:formatCode>
                <c:ptCount val="17"/>
                <c:pt idx="0">
                  <c:v>3.2540922869439743E-4</c:v>
                </c:pt>
                <c:pt idx="1">
                  <c:v>4.5078317313361912E-2</c:v>
                </c:pt>
                <c:pt idx="2">
                  <c:v>0.35501734744452784</c:v>
                </c:pt>
                <c:pt idx="3">
                  <c:v>1.372410174366212</c:v>
                </c:pt>
                <c:pt idx="4">
                  <c:v>3.553605543926504</c:v>
                </c:pt>
                <c:pt idx="5">
                  <c:v>5.4921344238709562</c:v>
                </c:pt>
                <c:pt idx="6">
                  <c:v>7.1670978039002691</c:v>
                </c:pt>
                <c:pt idx="7">
                  <c:v>8.6208685977530592</c:v>
                </c:pt>
                <c:pt idx="8">
                  <c:v>9.8784238870998458</c:v>
                </c:pt>
                <c:pt idx="9">
                  <c:v>10.994300133623087</c:v>
                </c:pt>
                <c:pt idx="10">
                  <c:v>11.974898991092967</c:v>
                </c:pt>
                <c:pt idx="11">
                  <c:v>12.836107576563149</c:v>
                </c:pt>
                <c:pt idx="12">
                  <c:v>13.602428476058812</c:v>
                </c:pt>
                <c:pt idx="13">
                  <c:v>14.295498438240386</c:v>
                </c:pt>
                <c:pt idx="14">
                  <c:v>14.911991152854359</c:v>
                </c:pt>
                <c:pt idx="15">
                  <c:v>15.462162648753464</c:v>
                </c:pt>
                <c:pt idx="16">
                  <c:v>15.954537142435116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A-478F-B6DC-78E38551B400}"/>
            </c:ext>
          </c:extLst>
        </c:ser>
        <c:ser>
          <c:idx val="2"/>
          <c:order val="2"/>
          <c:tx>
            <c:strRef>
              <c:f>'Comparison-American'!$W$3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'Comparison-American'!$W$5:$W$21</c:f>
              <c:numCache>
                <c:formatCode>General</c:formatCode>
                <c:ptCount val="17"/>
                <c:pt idx="0">
                  <c:v>3.2878225846039481E-4</c:v>
                </c:pt>
                <c:pt idx="1">
                  <c:v>4.5362907552770448E-2</c:v>
                </c:pt>
                <c:pt idx="2">
                  <c:v>0.35446037434305855</c:v>
                </c:pt>
                <c:pt idx="3">
                  <c:v>1.3717766118614212</c:v>
                </c:pt>
                <c:pt idx="4">
                  <c:v>3.5552974923851526</c:v>
                </c:pt>
                <c:pt idx="5">
                  <c:v>5.4919312685658506</c:v>
                </c:pt>
                <c:pt idx="6">
                  <c:v>7.1659504190710379</c:v>
                </c:pt>
                <c:pt idx="7">
                  <c:v>8.6155333627550021</c:v>
                </c:pt>
                <c:pt idx="8">
                  <c:v>9.8821952981193775</c:v>
                </c:pt>
                <c:pt idx="9">
                  <c:v>10.9937639191799</c:v>
                </c:pt>
                <c:pt idx="10">
                  <c:v>11.971555048494547</c:v>
                </c:pt>
                <c:pt idx="11">
                  <c:v>12.836507128490545</c:v>
                </c:pt>
                <c:pt idx="12">
                  <c:v>13.610353346017032</c:v>
                </c:pt>
                <c:pt idx="13">
                  <c:v>14.296489058553618</c:v>
                </c:pt>
                <c:pt idx="14">
                  <c:v>14.907287728066489</c:v>
                </c:pt>
                <c:pt idx="15">
                  <c:v>15.457808393273426</c:v>
                </c:pt>
                <c:pt idx="16">
                  <c:v>15.954057435044053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A-478F-B6DC-78E38551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4</xdr:row>
      <xdr:rowOff>28576</xdr:rowOff>
    </xdr:from>
    <xdr:to>
      <xdr:col>16</xdr:col>
      <xdr:colOff>152400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E62D6-4947-4F46-82A5-CA70E40AB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504824</xdr:colOff>
      <xdr:row>13</xdr:row>
      <xdr:rowOff>9525</xdr:rowOff>
    </xdr:from>
    <xdr:to>
      <xdr:col>34</xdr:col>
      <xdr:colOff>95249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8D96E9-515C-479F-8B8A-8516DBADC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22</xdr:row>
      <xdr:rowOff>23811</xdr:rowOff>
    </xdr:from>
    <xdr:to>
      <xdr:col>9</xdr:col>
      <xdr:colOff>352425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4B7B1-CA75-49A6-B835-E3835E80D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22</xdr:row>
      <xdr:rowOff>19050</xdr:rowOff>
    </xdr:from>
    <xdr:to>
      <xdr:col>17</xdr:col>
      <xdr:colOff>533400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3ABC5-B811-4370-A477-9D02599CB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114300</xdr:colOff>
      <xdr:row>22</xdr:row>
      <xdr:rowOff>47625</xdr:rowOff>
    </xdr:from>
    <xdr:to>
      <xdr:col>25</xdr:col>
      <xdr:colOff>276225</xdr:colOff>
      <xdr:row>36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6B1E0-A638-43CB-8014-6DA013DA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349706</xdr:colOff>
      <xdr:row>18</xdr:row>
      <xdr:rowOff>76199</xdr:rowOff>
    </xdr:from>
    <xdr:to>
      <xdr:col>6</xdr:col>
      <xdr:colOff>782411</xdr:colOff>
      <xdr:row>37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N56"/>
  <sheetViews>
    <sheetView tabSelected="1" workbookViewId="0">
      <selection activeCell="I5" sqref="I5"/>
    </sheetView>
  </sheetViews>
  <sheetFormatPr defaultRowHeight="15" x14ac:dyDescent="0.25"/>
  <cols>
    <col min="2" max="2" width="21.28515625" bestFit="1" customWidth="1"/>
    <col min="3" max="3" width="36.28515625" bestFit="1" customWidth="1"/>
    <col min="4" max="4" width="11.85546875" customWidth="1"/>
    <col min="7" max="7" width="24.85546875" customWidth="1"/>
    <col min="8" max="8" width="12.5703125" customWidth="1"/>
    <col min="11" max="11" width="12.85546875" bestFit="1" customWidth="1"/>
    <col min="14" max="14" width="15.28515625" bestFit="1" customWidth="1"/>
  </cols>
  <sheetData>
    <row r="2" spans="2:10" ht="15.75" thickBot="1" x14ac:dyDescent="0.3">
      <c r="B2" s="3" t="s">
        <v>4</v>
      </c>
      <c r="C2" s="3"/>
      <c r="H2" t="s">
        <v>157</v>
      </c>
      <c r="J2" s="3" t="s">
        <v>158</v>
      </c>
    </row>
    <row r="3" spans="2:10" x14ac:dyDescent="0.25">
      <c r="B3" t="s">
        <v>6</v>
      </c>
      <c r="C3" s="6">
        <f>_xll.acq_excel_version()</f>
        <v>16</v>
      </c>
      <c r="G3" t="s">
        <v>153</v>
      </c>
      <c r="H3" s="5">
        <f>PI()</f>
        <v>3.1415926535897931</v>
      </c>
      <c r="J3" s="6" t="str">
        <f>_xll.acq_tostring(H3)</f>
        <v>3.14159265358979</v>
      </c>
    </row>
    <row r="4" spans="2:10" x14ac:dyDescent="0.25">
      <c r="B4" t="s">
        <v>7</v>
      </c>
      <c r="C4" s="6" t="str">
        <f>_xll.acq_version()</f>
        <v>1.5.8037.31815</v>
      </c>
      <c r="G4" t="s">
        <v>1</v>
      </c>
      <c r="H4" s="48">
        <f ca="1">TODAY()</f>
        <v>44563</v>
      </c>
      <c r="J4" s="49" t="str">
        <f ca="1">_xll.acq_tostring(H4)</f>
        <v>44563</v>
      </c>
    </row>
    <row r="5" spans="2:10" x14ac:dyDescent="0.25">
      <c r="B5" t="s">
        <v>5</v>
      </c>
      <c r="C5" s="6" t="str">
        <f>_xll.acq_xllpath()</f>
        <v>D:\Github\ACQ\Distribution\ACQ64.xll</v>
      </c>
      <c r="G5" t="s">
        <v>154</v>
      </c>
      <c r="H5" s="5" t="b">
        <v>1</v>
      </c>
      <c r="J5" s="6" t="str">
        <f>_xll.acq_tostring(H5)</f>
        <v>TRUE</v>
      </c>
    </row>
    <row r="6" spans="2:10" x14ac:dyDescent="0.25">
      <c r="B6" t="s">
        <v>8</v>
      </c>
      <c r="C6" s="6" t="str">
        <f>_xll.acq_exceldna_version()</f>
        <v>1.1.0.3</v>
      </c>
      <c r="G6" t="s">
        <v>111</v>
      </c>
      <c r="H6" s="5" t="e">
        <f>SQRT(-1)</f>
        <v>#NUM!</v>
      </c>
      <c r="J6" s="6" t="str">
        <f>_xll.acq_tostring(H6)</f>
        <v/>
      </c>
    </row>
    <row r="7" spans="2:10" x14ac:dyDescent="0.25">
      <c r="B7" t="s">
        <v>12</v>
      </c>
      <c r="C7" s="6" t="str">
        <f>_xll.acq_dotnet_version()</f>
        <v>4.0.30319.42000</v>
      </c>
      <c r="G7" t="s">
        <v>155</v>
      </c>
      <c r="H7" s="5"/>
      <c r="J7" s="6" t="str">
        <f>_xll.acq_tostring(H7)</f>
        <v/>
      </c>
    </row>
    <row r="8" spans="2:10" x14ac:dyDescent="0.25">
      <c r="G8" t="s">
        <v>111</v>
      </c>
      <c r="H8" s="5" t="e">
        <f ca="1">DS()</f>
        <v>#NAME?</v>
      </c>
      <c r="J8" s="6" t="str">
        <f ca="1">_xll.acq_tostring(H8)</f>
        <v/>
      </c>
    </row>
    <row r="9" spans="2:10" ht="15.75" thickBot="1" x14ac:dyDescent="0.3">
      <c r="B9" s="3" t="s">
        <v>10</v>
      </c>
      <c r="C9" s="3"/>
      <c r="G9" t="s">
        <v>156</v>
      </c>
      <c r="H9" s="5" t="e">
        <f>NA()</f>
        <v>#N/A</v>
      </c>
      <c r="J9" s="6" t="str">
        <f>_xll.acq_tostring(H9)</f>
        <v/>
      </c>
    </row>
    <row r="10" spans="2:10" x14ac:dyDescent="0.25">
      <c r="B10" t="s">
        <v>11</v>
      </c>
      <c r="C10" s="2" t="s">
        <v>9</v>
      </c>
      <c r="G10" t="s">
        <v>159</v>
      </c>
      <c r="H10" s="5" t="e">
        <f>LOOKUP(H3,)</f>
        <v>#VALUE!</v>
      </c>
      <c r="J10" s="6" t="str">
        <f>_xll.acq_tostring(H10)</f>
        <v/>
      </c>
    </row>
    <row r="11" spans="2:10" x14ac:dyDescent="0.25">
      <c r="B11" t="s">
        <v>13</v>
      </c>
      <c r="C11" s="2" t="s">
        <v>14</v>
      </c>
    </row>
    <row r="13" spans="2:10" ht="15.75" thickBot="1" x14ac:dyDescent="0.3">
      <c r="G13" s="3" t="s">
        <v>151</v>
      </c>
      <c r="H13" t="str">
        <f ca="1">_xll.acq_join(H3:H10)</f>
        <v>3.14159265358979,44563,True,,,,,</v>
      </c>
    </row>
    <row r="14" spans="2:10" ht="15.75" thickBot="1" x14ac:dyDescent="0.3">
      <c r="G14" s="3" t="s">
        <v>151</v>
      </c>
      <c r="H14" t="str">
        <f ca="1">_xll.acq_join(J3:J10, "|")</f>
        <v>3.14159265358979|44563|TRUE|||||</v>
      </c>
    </row>
    <row r="15" spans="2:10" ht="15.75" thickBot="1" x14ac:dyDescent="0.3">
      <c r="G15" s="3" t="s">
        <v>160</v>
      </c>
      <c r="H15">
        <f ca="1">_xll.acq_count_unique(H3:H10)</f>
        <v>4</v>
      </c>
    </row>
    <row r="16" spans="2:10" ht="15.75" thickBot="1" x14ac:dyDescent="0.3">
      <c r="G16" s="3" t="s">
        <v>160</v>
      </c>
      <c r="H16">
        <f ca="1">_xll.acq_count_unique(H3:H10,FALSE)</f>
        <v>8</v>
      </c>
    </row>
    <row r="17" spans="2:14" ht="15.75" thickBot="1" x14ac:dyDescent="0.3">
      <c r="B17" s="3" t="s">
        <v>3</v>
      </c>
      <c r="C17" s="3"/>
    </row>
    <row r="18" spans="2:14" x14ac:dyDescent="0.25">
      <c r="B18" s="1" t="s">
        <v>1</v>
      </c>
      <c r="C18" s="5">
        <v>20150630</v>
      </c>
    </row>
    <row r="19" spans="2:14" ht="15.75" thickBot="1" x14ac:dyDescent="0.3">
      <c r="B19" s="1" t="s">
        <v>2</v>
      </c>
      <c r="C19" s="4">
        <f>_xll.acq_convert_todate(C18)</f>
        <v>42185</v>
      </c>
      <c r="G19" s="19"/>
      <c r="H19" s="53" t="s">
        <v>174</v>
      </c>
      <c r="J19" s="19"/>
      <c r="K19" s="53" t="s">
        <v>175</v>
      </c>
      <c r="M19" s="19" t="s">
        <v>177</v>
      </c>
      <c r="N19" s="53" t="s">
        <v>176</v>
      </c>
    </row>
    <row r="20" spans="2:14" x14ac:dyDescent="0.25">
      <c r="B20" s="1" t="s">
        <v>149</v>
      </c>
      <c r="C20" s="4">
        <f>_xll.acq_nextbusinessday(C19)</f>
        <v>42186</v>
      </c>
      <c r="G20" s="54">
        <v>0</v>
      </c>
      <c r="H20" s="22" t="b">
        <f>_xll.acq_isprime(G20)</f>
        <v>0</v>
      </c>
      <c r="J20" s="54">
        <v>1</v>
      </c>
      <c r="K20" s="22" t="b">
        <f>_xll.acq_isinteger(J20)</f>
        <v>1</v>
      </c>
      <c r="M20" s="33">
        <v>1992</v>
      </c>
      <c r="N20" s="22" t="b">
        <f>_xll.acq_isleap_year(M20)</f>
        <v>1</v>
      </c>
    </row>
    <row r="21" spans="2:14" x14ac:dyDescent="0.25">
      <c r="B21" s="1" t="s">
        <v>150</v>
      </c>
      <c r="C21" s="4">
        <f>_xll.acq_adjustbusinessday(C19,-1)</f>
        <v>42185</v>
      </c>
      <c r="G21" s="54">
        <v>1</v>
      </c>
      <c r="H21" s="22" t="b">
        <f>_xll.acq_isprime(G21)</f>
        <v>0</v>
      </c>
      <c r="J21" s="54">
        <f>PI()</f>
        <v>3.1415926535897931</v>
      </c>
      <c r="K21" s="22" t="b">
        <f>_xll.acq_isinteger(J21)</f>
        <v>0</v>
      </c>
      <c r="M21" s="33">
        <v>2000</v>
      </c>
      <c r="N21" s="22" t="b">
        <f>_xll.acq_isleap_year(M21)</f>
        <v>1</v>
      </c>
    </row>
    <row r="22" spans="2:14" x14ac:dyDescent="0.25">
      <c r="G22" s="54">
        <v>2</v>
      </c>
      <c r="H22" s="22" t="b">
        <f>_xll.acq_isprime(G22)</f>
        <v>1</v>
      </c>
      <c r="J22" s="54" t="str">
        <f>"text"</f>
        <v>text</v>
      </c>
      <c r="K22" s="22" t="b">
        <f>_xll.acq_isinteger(J22)</f>
        <v>0</v>
      </c>
      <c r="M22" s="33">
        <v>1900</v>
      </c>
      <c r="N22" s="22" t="b">
        <f>_xll.acq_isleap_year(M22)</f>
        <v>0</v>
      </c>
    </row>
    <row r="23" spans="2:14" x14ac:dyDescent="0.25">
      <c r="G23" s="54">
        <v>3</v>
      </c>
      <c r="H23" s="22" t="b">
        <f>_xll.acq_isprime(G23)</f>
        <v>1</v>
      </c>
      <c r="J23" s="54" t="str">
        <f>"3.14"</f>
        <v>3.14</v>
      </c>
      <c r="K23" s="22" t="b">
        <f>_xll.acq_isinteger(J23)</f>
        <v>0</v>
      </c>
      <c r="M23" s="33">
        <v>1700</v>
      </c>
      <c r="N23" s="22" t="b">
        <f>_xll.acq_isleap_year(M23)</f>
        <v>0</v>
      </c>
    </row>
    <row r="24" spans="2:14" x14ac:dyDescent="0.25">
      <c r="G24" s="54">
        <v>4</v>
      </c>
      <c r="H24" s="22" t="b">
        <f>_xll.acq_isprime(G24)</f>
        <v>0</v>
      </c>
      <c r="J24" s="54" t="str">
        <f>"3"</f>
        <v>3</v>
      </c>
      <c r="K24" s="22" t="b">
        <f>_xll.acq_isinteger(J24)</f>
        <v>1</v>
      </c>
      <c r="M24" s="33">
        <v>1800</v>
      </c>
      <c r="N24" s="22" t="b">
        <f>_xll.acq_isleap_year(M24)</f>
        <v>0</v>
      </c>
    </row>
    <row r="25" spans="2:14" x14ac:dyDescent="0.25">
      <c r="G25" s="54">
        <v>5</v>
      </c>
      <c r="H25" s="22" t="b">
        <f>_xll.acq_isprime(G25)</f>
        <v>1</v>
      </c>
      <c r="J25" s="54" t="str">
        <f>"3.00"</f>
        <v>3.00</v>
      </c>
      <c r="K25" s="22" t="b">
        <f>_xll.acq_isinteger(J25)</f>
        <v>1</v>
      </c>
      <c r="M25" s="33">
        <v>1900</v>
      </c>
      <c r="N25" s="22" t="b">
        <f>_xll.acq_isleap_year(M25)</f>
        <v>0</v>
      </c>
    </row>
    <row r="26" spans="2:14" x14ac:dyDescent="0.25">
      <c r="G26" s="54">
        <v>6</v>
      </c>
      <c r="H26" s="22" t="b">
        <f>_xll.acq_isprime(G26)</f>
        <v>0</v>
      </c>
      <c r="J26" s="54">
        <v>2</v>
      </c>
      <c r="K26" s="22" t="b">
        <f>_xll.acq_isinteger(J26)</f>
        <v>1</v>
      </c>
      <c r="M26" s="33">
        <v>2100</v>
      </c>
      <c r="N26" s="22" t="b">
        <f>_xll.acq_isleap_year(M26)</f>
        <v>0</v>
      </c>
    </row>
    <row r="27" spans="2:14" x14ac:dyDescent="0.25">
      <c r="G27" s="55">
        <v>7</v>
      </c>
      <c r="H27" s="24" t="b">
        <f>_xll.acq_isprime(G27)</f>
        <v>1</v>
      </c>
      <c r="J27" s="55">
        <v>8</v>
      </c>
      <c r="K27" s="24" t="b">
        <f>_xll.acq_isinteger(J27)</f>
        <v>1</v>
      </c>
      <c r="M27" s="33">
        <v>2200</v>
      </c>
      <c r="N27" s="22" t="b">
        <f>_xll.acq_isleap_year(M27)</f>
        <v>0</v>
      </c>
    </row>
    <row r="28" spans="2:14" x14ac:dyDescent="0.25">
      <c r="G28" s="55">
        <v>7.2</v>
      </c>
      <c r="H28" s="24" t="b">
        <f>_xll.acq_isprime(G28)</f>
        <v>0</v>
      </c>
      <c r="M28" s="33">
        <v>2300</v>
      </c>
      <c r="N28" s="22" t="b">
        <f>_xll.acq_isleap_year(M28)</f>
        <v>0</v>
      </c>
    </row>
    <row r="29" spans="2:14" x14ac:dyDescent="0.25">
      <c r="M29" s="33">
        <v>2500</v>
      </c>
      <c r="N29" s="22" t="b">
        <f>_xll.acq_isleap_year(M29)</f>
        <v>0</v>
      </c>
    </row>
    <row r="30" spans="2:14" x14ac:dyDescent="0.25">
      <c r="M30" s="33">
        <v>2600</v>
      </c>
      <c r="N30" s="22" t="b">
        <f>_xll.acq_isleap_year(M30)</f>
        <v>0</v>
      </c>
    </row>
    <row r="31" spans="2:14" x14ac:dyDescent="0.25">
      <c r="M31" s="33">
        <v>1600</v>
      </c>
      <c r="N31" s="22" t="b">
        <f>_xll.acq_isleap_year(M31)</f>
        <v>1</v>
      </c>
    </row>
    <row r="32" spans="2:14" x14ac:dyDescent="0.25">
      <c r="M32" s="33">
        <v>2000</v>
      </c>
      <c r="N32" s="22" t="b">
        <f>_xll.acq_isleap_year(M32)</f>
        <v>1</v>
      </c>
    </row>
    <row r="33" spans="7:14" x14ac:dyDescent="0.25">
      <c r="G33" s="12"/>
      <c r="M33" s="33">
        <v>2400</v>
      </c>
      <c r="N33" s="22" t="b">
        <f>_xll.acq_isleap_year(M33)</f>
        <v>1</v>
      </c>
    </row>
    <row r="34" spans="7:14" x14ac:dyDescent="0.25">
      <c r="G34" s="12"/>
      <c r="M34" s="33">
        <v>23.4</v>
      </c>
      <c r="N34" s="22" t="e">
        <f>_xll.acq_isleap_year(M34)</f>
        <v>#VALUE!</v>
      </c>
    </row>
    <row r="35" spans="7:14" x14ac:dyDescent="0.25">
      <c r="G35" s="12"/>
      <c r="M35" s="33">
        <v>2000</v>
      </c>
      <c r="N35" s="22" t="b">
        <f>_xll.acq_isleap_year(M35)</f>
        <v>1</v>
      </c>
    </row>
    <row r="36" spans="7:14" x14ac:dyDescent="0.25">
      <c r="G36" s="12"/>
      <c r="M36" s="33">
        <v>2001</v>
      </c>
      <c r="N36" s="22" t="b">
        <f>_xll.acq_isleap_year(M36)</f>
        <v>0</v>
      </c>
    </row>
    <row r="37" spans="7:14" x14ac:dyDescent="0.25">
      <c r="G37" s="12"/>
      <c r="M37" s="33">
        <v>2002</v>
      </c>
      <c r="N37" s="22" t="b">
        <f>_xll.acq_isleap_year(M37)</f>
        <v>0</v>
      </c>
    </row>
    <row r="38" spans="7:14" x14ac:dyDescent="0.25">
      <c r="G38" s="12"/>
      <c r="M38" s="33">
        <v>2003</v>
      </c>
      <c r="N38" s="22" t="b">
        <f>_xll.acq_isleap_year(M38)</f>
        <v>0</v>
      </c>
    </row>
    <row r="39" spans="7:14" x14ac:dyDescent="0.25">
      <c r="G39" s="12"/>
      <c r="M39" s="33">
        <v>2004</v>
      </c>
      <c r="N39" s="22" t="b">
        <f>_xll.acq_isleap_year(M39)</f>
        <v>1</v>
      </c>
    </row>
    <row r="40" spans="7:14" x14ac:dyDescent="0.25">
      <c r="G40" s="12"/>
      <c r="M40" s="33">
        <v>2005</v>
      </c>
      <c r="N40" s="22" t="b">
        <f>_xll.acq_isleap_year(M40)</f>
        <v>0</v>
      </c>
    </row>
    <row r="41" spans="7:14" x14ac:dyDescent="0.25">
      <c r="M41" s="33">
        <v>2006</v>
      </c>
      <c r="N41" s="22" t="b">
        <f>_xll.acq_isleap_year(M41)</f>
        <v>0</v>
      </c>
    </row>
    <row r="42" spans="7:14" x14ac:dyDescent="0.25">
      <c r="M42" s="33">
        <v>2007</v>
      </c>
      <c r="N42" s="22" t="b">
        <f>_xll.acq_isleap_year(M42)</f>
        <v>0</v>
      </c>
    </row>
    <row r="43" spans="7:14" x14ac:dyDescent="0.25">
      <c r="M43" s="33">
        <v>2008</v>
      </c>
      <c r="N43" s="22" t="b">
        <f>_xll.acq_isleap_year(M43)</f>
        <v>1</v>
      </c>
    </row>
    <row r="44" spans="7:14" x14ac:dyDescent="0.25">
      <c r="M44" s="33">
        <v>2009</v>
      </c>
      <c r="N44" s="22" t="b">
        <f>_xll.acq_isleap_year(M44)</f>
        <v>0</v>
      </c>
    </row>
    <row r="45" spans="7:14" x14ac:dyDescent="0.25">
      <c r="M45" s="33">
        <v>2010</v>
      </c>
      <c r="N45" s="22" t="b">
        <f>_xll.acq_isleap_year(M45)</f>
        <v>0</v>
      </c>
    </row>
    <row r="46" spans="7:14" x14ac:dyDescent="0.25">
      <c r="M46" s="33">
        <v>2011</v>
      </c>
      <c r="N46" s="22" t="b">
        <f>_xll.acq_isleap_year(M46)</f>
        <v>0</v>
      </c>
    </row>
    <row r="47" spans="7:14" x14ac:dyDescent="0.25">
      <c r="M47" s="33">
        <v>2012</v>
      </c>
      <c r="N47" s="22" t="b">
        <f>_xll.acq_isleap_year(M47)</f>
        <v>1</v>
      </c>
    </row>
    <row r="48" spans="7:14" x14ac:dyDescent="0.25">
      <c r="M48" s="33">
        <v>2013</v>
      </c>
      <c r="N48" s="22" t="b">
        <f>_xll.acq_isleap_year(M48)</f>
        <v>0</v>
      </c>
    </row>
    <row r="49" spans="13:14" x14ac:dyDescent="0.25">
      <c r="M49" s="33">
        <v>2014</v>
      </c>
      <c r="N49" s="22" t="b">
        <f>_xll.acq_isleap_year(M49)</f>
        <v>0</v>
      </c>
    </row>
    <row r="50" spans="13:14" x14ac:dyDescent="0.25">
      <c r="M50" s="33">
        <v>2015</v>
      </c>
      <c r="N50" s="22" t="b">
        <f>_xll.acq_isleap_year(M50)</f>
        <v>0</v>
      </c>
    </row>
    <row r="51" spans="13:14" x14ac:dyDescent="0.25">
      <c r="M51" s="33">
        <v>2016</v>
      </c>
      <c r="N51" s="22" t="b">
        <f>_xll.acq_isleap_year(M51)</f>
        <v>1</v>
      </c>
    </row>
    <row r="52" spans="13:14" x14ac:dyDescent="0.25">
      <c r="M52" s="33">
        <v>2017</v>
      </c>
      <c r="N52" s="22" t="b">
        <f>_xll.acq_isleap_year(M52)</f>
        <v>0</v>
      </c>
    </row>
    <row r="53" spans="13:14" x14ac:dyDescent="0.25">
      <c r="M53" s="33">
        <v>2018</v>
      </c>
      <c r="N53" s="22" t="b">
        <f>_xll.acq_isleap_year(M53)</f>
        <v>0</v>
      </c>
    </row>
    <row r="54" spans="13:14" x14ac:dyDescent="0.25">
      <c r="M54" s="33">
        <v>2019</v>
      </c>
      <c r="N54" s="22" t="b">
        <f>_xll.acq_isleap_year(M54)</f>
        <v>0</v>
      </c>
    </row>
    <row r="55" spans="13:14" x14ac:dyDescent="0.25">
      <c r="M55" s="33">
        <v>2020</v>
      </c>
      <c r="N55" s="22" t="b">
        <f>_xll.acq_isleap_year(M55)</f>
        <v>1</v>
      </c>
    </row>
    <row r="56" spans="13:14" x14ac:dyDescent="0.25">
      <c r="M56" s="34">
        <v>2021</v>
      </c>
      <c r="N56" s="24" t="b">
        <f>_xll.acq_isleap_year(M56)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9"/>
  <sheetViews>
    <sheetView topLeftCell="A19" workbookViewId="0">
      <selection activeCell="B27" sqref="B27:B29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  <row r="27" spans="2:5" x14ac:dyDescent="0.25">
      <c r="B27" t="s">
        <v>151</v>
      </c>
      <c r="C27" t="s">
        <v>16</v>
      </c>
      <c r="E27" t="s">
        <v>152</v>
      </c>
    </row>
    <row r="28" spans="2:5" x14ac:dyDescent="0.25">
      <c r="B28" t="s">
        <v>158</v>
      </c>
      <c r="C28" t="s">
        <v>16</v>
      </c>
    </row>
    <row r="29" spans="2:5" x14ac:dyDescent="0.25">
      <c r="B29" t="s">
        <v>160</v>
      </c>
      <c r="C29" t="s">
        <v>16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P202"/>
  <sheetViews>
    <sheetView workbookViewId="0">
      <selection activeCell="F7" sqref="F7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22" bestFit="1" customWidth="1"/>
    <col min="9" max="10" width="22.5703125" style="7" bestFit="1" customWidth="1"/>
    <col min="11" max="11" width="15" customWidth="1"/>
    <col min="12" max="12" width="23" customWidth="1"/>
    <col min="13" max="13" width="11.85546875" bestFit="1" customWidth="1"/>
    <col min="14" max="14" width="24.28515625" bestFit="1" customWidth="1"/>
    <col min="15" max="15" width="13.140625" customWidth="1"/>
  </cols>
  <sheetData>
    <row r="1" spans="2:16" x14ac:dyDescent="0.25">
      <c r="B1" t="s">
        <v>0</v>
      </c>
      <c r="C1" s="8" t="s">
        <v>73</v>
      </c>
      <c r="D1" s="8" t="s">
        <v>70</v>
      </c>
      <c r="E1" s="6">
        <f>_xll.acq_max(E2:E202)</f>
        <v>2.2204460492503131E-16</v>
      </c>
      <c r="F1" s="9" t="s">
        <v>74</v>
      </c>
      <c r="G1" s="10" t="s">
        <v>71</v>
      </c>
      <c r="H1" s="6">
        <f>_xll.acq_max(H2:H202)</f>
        <v>2.2204460492503131E-16</v>
      </c>
      <c r="I1" s="10" t="s">
        <v>75</v>
      </c>
      <c r="J1" s="10" t="s">
        <v>72</v>
      </c>
      <c r="K1" s="6">
        <f>_xll.acq_max(K2:K202)</f>
        <v>1.1102230246251565E-16</v>
      </c>
      <c r="N1" t="s">
        <v>179</v>
      </c>
      <c r="O1" t="s">
        <v>178</v>
      </c>
      <c r="P1" s="6">
        <f>_xll.acq_max(P2:P202)</f>
        <v>3.3306690738754696E-15</v>
      </c>
    </row>
    <row r="2" spans="2:16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 s="11">
        <f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 s="11">
        <f>ABS(I2-J2)</f>
        <v>5.2939559203393771E-23</v>
      </c>
      <c r="M2">
        <v>0</v>
      </c>
      <c r="N2" s="7" t="e">
        <f>_xll.acq_special_invnormalcdf(M2)</f>
        <v>#N/A</v>
      </c>
      <c r="O2" t="e">
        <f>_xlfn.NORM.S.INV(M2)</f>
        <v>#NUM!</v>
      </c>
      <c r="P2" s="11" t="e">
        <f>ABS(N2-O2)</f>
        <v>#N/A</v>
      </c>
    </row>
    <row r="3" spans="2:16" x14ac:dyDescent="0.25">
      <c r="B3">
        <v>-4.95</v>
      </c>
      <c r="C3" s="7">
        <f>_xll.acq_special_erf(B3)</f>
        <v>-0.99999999999744693</v>
      </c>
      <c r="D3" s="7">
        <f t="shared" ref="D3:D66" si="1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2">_xlfn.ERFC.PRECISE(B3)</f>
        <v>1.9999999999974469</v>
      </c>
      <c r="H3" s="11">
        <f t="shared" ref="H3:H66" si="3">ABS(F3-G3)</f>
        <v>0</v>
      </c>
      <c r="I3" s="7">
        <f>_xll.acq_special_normalcdf(B3)</f>
        <v>3.7106740796333271E-7</v>
      </c>
      <c r="J3" s="7">
        <f t="shared" ref="J3:J66" si="4">_xlfn.NORM.S.DIST(B3,TRUE)</f>
        <v>3.7106740796333271E-7</v>
      </c>
      <c r="K3" s="11">
        <f t="shared" ref="K3:K66" si="5">ABS(I3-J3)</f>
        <v>0</v>
      </c>
      <c r="M3">
        <f>0.0000000001</f>
        <v>1E-10</v>
      </c>
      <c r="N3" s="7">
        <f>_xll.acq_special_invnormalcdf(M3)</f>
        <v>-6.3613409024040557</v>
      </c>
      <c r="O3">
        <f t="shared" ref="O3:O32" si="6">_xlfn.NORM.S.INV(M3)</f>
        <v>-6.3613409024040557</v>
      </c>
      <c r="P3" s="11">
        <f t="shared" ref="P3:P32" si="7">ABS(N3-O3)</f>
        <v>0</v>
      </c>
    </row>
    <row r="4" spans="2:16" x14ac:dyDescent="0.25">
      <c r="B4">
        <v>-4.9000000000000004</v>
      </c>
      <c r="C4" s="7">
        <f>_xll.acq_special_erf(B4)</f>
        <v>-0.99999999999578115</v>
      </c>
      <c r="D4" s="7">
        <f t="shared" si="1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2"/>
        <v>1.9999999999957812</v>
      </c>
      <c r="H4" s="11">
        <f t="shared" si="3"/>
        <v>0</v>
      </c>
      <c r="I4" s="7">
        <f>_xll.acq_special_normalcdf(B4)</f>
        <v>4.7918327659031855E-7</v>
      </c>
      <c r="J4" s="7">
        <f t="shared" si="4"/>
        <v>4.7918327659031834E-7</v>
      </c>
      <c r="K4" s="11">
        <f>ABS(I4-J4)</f>
        <v>2.1175823681357508E-22</v>
      </c>
      <c r="L4" s="56"/>
      <c r="M4">
        <v>0.02</v>
      </c>
      <c r="N4" s="7">
        <f>_xll.acq_special_invnormalcdf(M4)</f>
        <v>-2.053748910631823</v>
      </c>
      <c r="O4">
        <f t="shared" si="6"/>
        <v>-2.0537489106318225</v>
      </c>
      <c r="P4" s="11">
        <f t="shared" si="7"/>
        <v>4.4408920985006262E-16</v>
      </c>
    </row>
    <row r="5" spans="2:16" x14ac:dyDescent="0.25">
      <c r="B5">
        <v>-4.8499999999999996</v>
      </c>
      <c r="C5" s="7">
        <f>_xll.acq_special_erf(B5)</f>
        <v>-0.99999999999306244</v>
      </c>
      <c r="D5" s="7">
        <f t="shared" si="1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2"/>
        <v>1.9999999999930624</v>
      </c>
      <c r="H5" s="11">
        <f t="shared" si="3"/>
        <v>0</v>
      </c>
      <c r="I5" s="7">
        <f>_xll.acq_special_normalcdf(B5)</f>
        <v>6.1730737200919736E-7</v>
      </c>
      <c r="J5" s="7">
        <f t="shared" si="4"/>
        <v>6.1730737200919715E-7</v>
      </c>
      <c r="K5" s="11">
        <f t="shared" si="5"/>
        <v>2.1175823681357508E-22</v>
      </c>
      <c r="M5">
        <v>0.03</v>
      </c>
      <c r="N5" s="7">
        <f>_xll.acq_special_invnormalcdf(M5)</f>
        <v>-1.8807936081512511</v>
      </c>
      <c r="O5">
        <f t="shared" si="6"/>
        <v>-1.8807936081512509</v>
      </c>
      <c r="P5" s="11">
        <f t="shared" si="7"/>
        <v>2.2204460492503131E-16</v>
      </c>
    </row>
    <row r="6" spans="2:16" x14ac:dyDescent="0.25">
      <c r="B6">
        <v>-4.8</v>
      </c>
      <c r="C6" s="7">
        <f>_xll.acq_special_erf(B6)</f>
        <v>-0.99999999998864775</v>
      </c>
      <c r="D6" s="7">
        <f t="shared" si="1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2"/>
        <v>1.9999999999886477</v>
      </c>
      <c r="H6" s="11">
        <f t="shared" si="3"/>
        <v>0</v>
      </c>
      <c r="I6" s="7">
        <f>_xll.acq_special_normalcdf(B6)</f>
        <v>7.9332815197559501E-7</v>
      </c>
      <c r="J6" s="7">
        <f t="shared" si="4"/>
        <v>7.933281519755948E-7</v>
      </c>
      <c r="K6" s="11">
        <f t="shared" si="5"/>
        <v>2.1175823681357508E-22</v>
      </c>
      <c r="M6">
        <v>0.04</v>
      </c>
      <c r="N6" s="7">
        <f>_xll.acq_special_invnormalcdf(M6)</f>
        <v>-1.7506860712521699</v>
      </c>
      <c r="O6">
        <f t="shared" si="6"/>
        <v>-1.7506860712521695</v>
      </c>
      <c r="P6" s="11">
        <f t="shared" si="7"/>
        <v>4.4408920985006262E-16</v>
      </c>
    </row>
    <row r="7" spans="2:16" x14ac:dyDescent="0.25">
      <c r="B7">
        <v>-4.75</v>
      </c>
      <c r="C7" s="7">
        <f>_xll.acq_special_erf(B7)</f>
        <v>-0.99999999998151501</v>
      </c>
      <c r="D7" s="7">
        <f t="shared" si="1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2"/>
        <v>1.999999999981515</v>
      </c>
      <c r="H7" s="11">
        <f t="shared" si="3"/>
        <v>0</v>
      </c>
      <c r="I7" s="7">
        <f>_xll.acq_special_normalcdf(B7)</f>
        <v>1.0170832425687032E-6</v>
      </c>
      <c r="J7" s="7">
        <f t="shared" si="4"/>
        <v>1.0170832425687034E-6</v>
      </c>
      <c r="K7" s="11">
        <f t="shared" si="5"/>
        <v>2.1175823681357508E-22</v>
      </c>
      <c r="M7">
        <v>0.05</v>
      </c>
      <c r="N7" s="7">
        <f>_xll.acq_special_invnormalcdf(M7)</f>
        <v>-1.6448536269514729</v>
      </c>
      <c r="O7">
        <f t="shared" si="6"/>
        <v>-1.6448536269514726</v>
      </c>
      <c r="P7" s="11">
        <f t="shared" si="7"/>
        <v>2.2204460492503131E-16</v>
      </c>
    </row>
    <row r="8" spans="2:16" x14ac:dyDescent="0.25">
      <c r="B8">
        <v>-4.7</v>
      </c>
      <c r="C8" s="7">
        <f>_xll.acq_special_erf(B8)</f>
        <v>-0.99999999997004729</v>
      </c>
      <c r="D8" s="7">
        <f t="shared" si="1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2"/>
        <v>1.9999999999700473</v>
      </c>
      <c r="H8" s="11">
        <f t="shared" si="3"/>
        <v>0</v>
      </c>
      <c r="I8" s="7">
        <f>_xll.acq_special_normalcdf(B8)</f>
        <v>1.3008074539172771E-6</v>
      </c>
      <c r="J8" s="7">
        <f t="shared" si="4"/>
        <v>1.3008074539172773E-6</v>
      </c>
      <c r="K8" s="11">
        <f t="shared" si="5"/>
        <v>2.1175823681357508E-22</v>
      </c>
      <c r="M8">
        <v>0.06</v>
      </c>
      <c r="N8" s="7">
        <f>_xll.acq_special_invnormalcdf(M8)</f>
        <v>-1.5547735945968535</v>
      </c>
      <c r="O8">
        <f t="shared" si="6"/>
        <v>-1.554773594596853</v>
      </c>
      <c r="P8" s="11">
        <f t="shared" si="7"/>
        <v>4.4408920985006262E-16</v>
      </c>
    </row>
    <row r="9" spans="2:16" x14ac:dyDescent="0.25">
      <c r="B9">
        <v>-4.6500000000000004</v>
      </c>
      <c r="C9" s="7">
        <f>_xll.acq_special_erf(B9)</f>
        <v>-0.99999999995170308</v>
      </c>
      <c r="D9" s="7">
        <f t="shared" si="1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2"/>
        <v>1.9999999999517031</v>
      </c>
      <c r="H9" s="11">
        <f t="shared" si="3"/>
        <v>0</v>
      </c>
      <c r="I9" s="7">
        <f>_xll.acq_special_normalcdf(B9)</f>
        <v>1.6596751443714555E-6</v>
      </c>
      <c r="J9" s="7">
        <f t="shared" si="4"/>
        <v>1.6596751443714555E-6</v>
      </c>
      <c r="K9" s="11">
        <f t="shared" si="5"/>
        <v>0</v>
      </c>
      <c r="M9">
        <v>7.0000000000000007E-2</v>
      </c>
      <c r="N9" s="7">
        <f>_xll.acq_special_invnormalcdf(M9)</f>
        <v>-1.4757910281791706</v>
      </c>
      <c r="O9">
        <f t="shared" si="6"/>
        <v>-1.4757910281791702</v>
      </c>
      <c r="P9" s="11">
        <f t="shared" si="7"/>
        <v>4.4408920985006262E-16</v>
      </c>
    </row>
    <row r="10" spans="2:16" x14ac:dyDescent="0.25">
      <c r="B10">
        <v>-4.5999999999999996</v>
      </c>
      <c r="C10" s="7">
        <f>_xll.acq_special_erf(B10)</f>
        <v>-0.99999999992250399</v>
      </c>
      <c r="D10" s="7">
        <f t="shared" si="1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2"/>
        <v>1.999999999922504</v>
      </c>
      <c r="H10" s="11">
        <f t="shared" si="3"/>
        <v>0</v>
      </c>
      <c r="I10" s="7">
        <f>_xll.acq_special_normalcdf(B10)</f>
        <v>2.1124547025028537E-6</v>
      </c>
      <c r="J10" s="7">
        <f t="shared" si="4"/>
        <v>2.1124547025028533E-6</v>
      </c>
      <c r="K10" s="11">
        <f t="shared" si="5"/>
        <v>4.2351647362715017E-22</v>
      </c>
      <c r="M10">
        <v>0.08</v>
      </c>
      <c r="N10" s="7">
        <f>_xll.acq_special_invnormalcdf(M10)</f>
        <v>-1.4050715603096329</v>
      </c>
      <c r="O10">
        <f t="shared" si="6"/>
        <v>-1.4050715603096353</v>
      </c>
      <c r="P10" s="11">
        <f t="shared" si="7"/>
        <v>2.4424906541753444E-15</v>
      </c>
    </row>
    <row r="11" spans="2:16" x14ac:dyDescent="0.25">
      <c r="B11">
        <v>-4.55</v>
      </c>
      <c r="C11" s="7">
        <f>_xll.acq_special_erf(B11)</f>
        <v>-0.99999999987625943</v>
      </c>
      <c r="D11" s="7">
        <f t="shared" si="1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2"/>
        <v>1.9999999998762594</v>
      </c>
      <c r="H11" s="11">
        <f t="shared" si="3"/>
        <v>0</v>
      </c>
      <c r="I11" s="7">
        <f>_xll.acq_special_normalcdf(B11)</f>
        <v>2.6822957796388472E-6</v>
      </c>
      <c r="J11" s="7">
        <f t="shared" si="4"/>
        <v>2.6822957796388485E-6</v>
      </c>
      <c r="K11" s="11">
        <f t="shared" si="5"/>
        <v>1.2705494208814505E-21</v>
      </c>
      <c r="M11">
        <v>0.09</v>
      </c>
      <c r="N11" s="7">
        <f>_xll.acq_special_invnormalcdf(M11)</f>
        <v>-1.3407550336902165</v>
      </c>
      <c r="O11">
        <f t="shared" si="6"/>
        <v>-1.3407550336902161</v>
      </c>
      <c r="P11" s="11">
        <f t="shared" si="7"/>
        <v>4.4408920985006262E-16</v>
      </c>
    </row>
    <row r="12" spans="2:16" x14ac:dyDescent="0.25">
      <c r="B12">
        <v>-4.5</v>
      </c>
      <c r="C12" s="7">
        <f>_xll.acq_special_erf(B12)</f>
        <v>-0.99999999980338394</v>
      </c>
      <c r="D12" s="7">
        <f t="shared" si="1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2"/>
        <v>1.9999999998033839</v>
      </c>
      <c r="H12" s="11">
        <f t="shared" si="3"/>
        <v>0</v>
      </c>
      <c r="I12" s="7">
        <f>_xll.acq_special_normalcdf(B12)</f>
        <v>3.3976731247300535E-6</v>
      </c>
      <c r="J12" s="7">
        <f t="shared" si="4"/>
        <v>3.3976731247300535E-6</v>
      </c>
      <c r="K12" s="11">
        <f t="shared" si="5"/>
        <v>0</v>
      </c>
      <c r="M12">
        <v>0.1</v>
      </c>
      <c r="N12" s="7">
        <f>_xll.acq_special_invnormalcdf(M12)</f>
        <v>-1.2815515655446004</v>
      </c>
      <c r="O12">
        <f t="shared" si="6"/>
        <v>-1.2815515655446006</v>
      </c>
      <c r="P12" s="11">
        <f t="shared" si="7"/>
        <v>2.2204460492503131E-16</v>
      </c>
    </row>
    <row r="13" spans="2:16" x14ac:dyDescent="0.25">
      <c r="B13">
        <v>-4.45</v>
      </c>
      <c r="C13" s="7">
        <f>_xll.acq_special_erf(B13)</f>
        <v>-0.99999999968911357</v>
      </c>
      <c r="D13" s="7">
        <f t="shared" si="1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2"/>
        <v>1.9999999996891136</v>
      </c>
      <c r="H13" s="11">
        <f t="shared" si="3"/>
        <v>0</v>
      </c>
      <c r="I13" s="7">
        <f>_xll.acq_special_normalcdf(B13)</f>
        <v>4.293514469971858E-6</v>
      </c>
      <c r="J13" s="7">
        <f t="shared" si="4"/>
        <v>4.2935144699718588E-6</v>
      </c>
      <c r="K13" s="11">
        <f t="shared" si="5"/>
        <v>8.4703294725430034E-22</v>
      </c>
      <c r="M13">
        <v>0.11</v>
      </c>
      <c r="N13" s="7">
        <f>_xll.acq_special_invnormalcdf(M13)</f>
        <v>-1.2265281200366098</v>
      </c>
      <c r="O13">
        <f t="shared" si="6"/>
        <v>-1.2265281200366105</v>
      </c>
      <c r="P13" s="11">
        <f t="shared" si="7"/>
        <v>6.6613381477509392E-16</v>
      </c>
    </row>
    <row r="14" spans="2:16" x14ac:dyDescent="0.25">
      <c r="B14">
        <v>-4.4000000000000004</v>
      </c>
      <c r="C14" s="7">
        <f>_xll.acq_special_erf(B14)</f>
        <v>-0.99999999951082907</v>
      </c>
      <c r="D14" s="7">
        <f t="shared" si="1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2"/>
        <v>1.9999999995108291</v>
      </c>
      <c r="H14" s="11">
        <f t="shared" si="3"/>
        <v>0</v>
      </c>
      <c r="I14" s="7">
        <f>_xll.acq_special_normalcdf(B14)</f>
        <v>5.4125439077038407E-6</v>
      </c>
      <c r="J14" s="7">
        <f t="shared" si="4"/>
        <v>5.4125439077038416E-6</v>
      </c>
      <c r="K14" s="11">
        <f t="shared" si="5"/>
        <v>8.4703294725430034E-22</v>
      </c>
      <c r="M14">
        <v>0.12</v>
      </c>
      <c r="N14" s="7">
        <f>_xll.acq_special_invnormalcdf(M14)</f>
        <v>-1.1749867920660904</v>
      </c>
      <c r="O14">
        <f t="shared" si="6"/>
        <v>-1.1749867920660904</v>
      </c>
      <c r="P14" s="11">
        <f t="shared" si="7"/>
        <v>0</v>
      </c>
    </row>
    <row r="15" spans="2:16" x14ac:dyDescent="0.25">
      <c r="B15">
        <v>-4.3499999999999996</v>
      </c>
      <c r="C15" s="7">
        <f>_xll.acq_special_erf(B15)</f>
        <v>-0.99999999923405558</v>
      </c>
      <c r="D15" s="7">
        <f t="shared" si="1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2"/>
        <v>1.9999999992340556</v>
      </c>
      <c r="H15" s="11">
        <f t="shared" si="3"/>
        <v>0</v>
      </c>
      <c r="I15" s="7">
        <f>_xll.acq_special_normalcdf(B15)</f>
        <v>6.806876599334043E-6</v>
      </c>
      <c r="J15" s="7">
        <f t="shared" si="4"/>
        <v>6.8068765993340439E-6</v>
      </c>
      <c r="K15" s="11">
        <f t="shared" si="5"/>
        <v>8.4703294725430034E-22</v>
      </c>
      <c r="M15">
        <v>0.13</v>
      </c>
      <c r="N15" s="7">
        <f>_xll.acq_special_invnormalcdf(M15)</f>
        <v>-1.1263911290388007</v>
      </c>
      <c r="O15">
        <f t="shared" si="6"/>
        <v>-1.1263911290388013</v>
      </c>
      <c r="P15" s="11">
        <f t="shared" si="7"/>
        <v>6.6613381477509392E-16</v>
      </c>
    </row>
    <row r="16" spans="2:16" x14ac:dyDescent="0.25">
      <c r="B16">
        <v>-4.3</v>
      </c>
      <c r="C16" s="7">
        <f>_xll.acq_special_erf(B16)</f>
        <v>-0.99999999880652823</v>
      </c>
      <c r="D16" s="7">
        <f t="shared" si="1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2"/>
        <v>1.9999999988065282</v>
      </c>
      <c r="H16" s="11">
        <f t="shared" si="3"/>
        <v>0</v>
      </c>
      <c r="I16" s="7">
        <f>_xll.acq_special_normalcdf(B16)</f>
        <v>8.5399054709917942E-6</v>
      </c>
      <c r="J16" s="7">
        <f t="shared" si="4"/>
        <v>8.5399054709917942E-6</v>
      </c>
      <c r="K16" s="11">
        <f t="shared" si="5"/>
        <v>0</v>
      </c>
      <c r="M16">
        <v>0.14000000000000001</v>
      </c>
      <c r="N16" s="7">
        <f>_xll.acq_special_invnormalcdf(M16)</f>
        <v>-1.0803193408149558</v>
      </c>
      <c r="O16">
        <f t="shared" si="6"/>
        <v>-1.0803193408149565</v>
      </c>
      <c r="P16" s="11">
        <f t="shared" si="7"/>
        <v>6.6613381477509392E-16</v>
      </c>
    </row>
    <row r="17" spans="2:16" x14ac:dyDescent="0.25">
      <c r="B17">
        <v>-4.25</v>
      </c>
      <c r="C17" s="7">
        <f>_xll.acq_special_erf(B17)</f>
        <v>-0.99999999814942586</v>
      </c>
      <c r="D17" s="7">
        <f t="shared" si="1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2"/>
        <v>1.9999999981494259</v>
      </c>
      <c r="H17" s="11">
        <f t="shared" si="3"/>
        <v>0</v>
      </c>
      <c r="I17" s="7">
        <f>_xll.acq_special_normalcdf(B17)</f>
        <v>1.0688525774934402E-5</v>
      </c>
      <c r="J17" s="7">
        <f t="shared" si="4"/>
        <v>1.06885257749344E-5</v>
      </c>
      <c r="K17" s="11">
        <f t="shared" si="5"/>
        <v>1.6940658945086007E-21</v>
      </c>
      <c r="M17">
        <v>0.15</v>
      </c>
      <c r="N17" s="7">
        <f>_xll.acq_special_invnormalcdf(M17)</f>
        <v>-1.0364333894937898</v>
      </c>
      <c r="O17">
        <f t="shared" si="6"/>
        <v>-1.0364333894937898</v>
      </c>
      <c r="P17" s="11">
        <f t="shared" si="7"/>
        <v>0</v>
      </c>
    </row>
    <row r="18" spans="2:16" x14ac:dyDescent="0.25">
      <c r="B18">
        <v>-4.2</v>
      </c>
      <c r="C18" s="7">
        <f>_xll.acq_special_erf(B18)</f>
        <v>-0.99999999714450571</v>
      </c>
      <c r="D18" s="7">
        <f t="shared" si="1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2"/>
        <v>1.9999999971445057</v>
      </c>
      <c r="H18" s="11">
        <f t="shared" si="3"/>
        <v>0</v>
      </c>
      <c r="I18" s="7">
        <f>_xll.acq_special_normalcdf(B18)</f>
        <v>1.334574901590631E-5</v>
      </c>
      <c r="J18" s="7">
        <f t="shared" si="4"/>
        <v>1.3345749015906309E-5</v>
      </c>
      <c r="K18" s="11">
        <f t="shared" si="5"/>
        <v>1.6940658945086007E-21</v>
      </c>
      <c r="M18">
        <v>0.16</v>
      </c>
      <c r="N18" s="7">
        <f>_xll.acq_special_invnormalcdf(M18)</f>
        <v>-0.99445788320975304</v>
      </c>
      <c r="O18">
        <f t="shared" si="6"/>
        <v>-0.9944578832097497</v>
      </c>
      <c r="P18" s="11">
        <f t="shared" si="7"/>
        <v>3.3306690738754696E-15</v>
      </c>
    </row>
    <row r="19" spans="2:16" x14ac:dyDescent="0.25">
      <c r="B19">
        <v>-4.1500000000000004</v>
      </c>
      <c r="C19" s="7">
        <f>_xll.acq_special_erf(B19)</f>
        <v>-0.99999999561532293</v>
      </c>
      <c r="D19" s="7">
        <f t="shared" si="1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2"/>
        <v>1.9999999956153229</v>
      </c>
      <c r="H19" s="11">
        <f t="shared" si="3"/>
        <v>0</v>
      </c>
      <c r="I19" s="7">
        <f>_xll.acq_special_normalcdf(B19)</f>
        <v>1.6623763729652213E-5</v>
      </c>
      <c r="J19" s="7">
        <f t="shared" si="4"/>
        <v>1.6623763729652213E-5</v>
      </c>
      <c r="K19" s="11">
        <f t="shared" si="5"/>
        <v>0</v>
      </c>
      <c r="M19">
        <v>0.17</v>
      </c>
      <c r="N19" s="7">
        <f>_xll.acq_special_invnormalcdf(M19)</f>
        <v>-0.95416525314619427</v>
      </c>
      <c r="O19">
        <f t="shared" si="6"/>
        <v>-0.95416525314619549</v>
      </c>
      <c r="P19" s="11">
        <f t="shared" si="7"/>
        <v>1.2212453270876722E-15</v>
      </c>
    </row>
    <row r="20" spans="2:16" x14ac:dyDescent="0.25">
      <c r="B20">
        <v>-4.0999999999999996</v>
      </c>
      <c r="C20" s="7">
        <f>_xll.acq_special_erf(B20)</f>
        <v>-0.99999999329997236</v>
      </c>
      <c r="D20" s="7">
        <f t="shared" si="1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2"/>
        <v>1.9999999932999724</v>
      </c>
      <c r="H20" s="11">
        <f t="shared" si="3"/>
        <v>0</v>
      </c>
      <c r="I20" s="7">
        <f>_xll.acq_special_normalcdf(B20)</f>
        <v>2.0657506912546717E-5</v>
      </c>
      <c r="J20" s="7">
        <f t="shared" si="4"/>
        <v>2.0657506912546714E-5</v>
      </c>
      <c r="K20" s="11">
        <f t="shared" si="5"/>
        <v>3.3881317890172014E-21</v>
      </c>
      <c r="M20">
        <v>0.18</v>
      </c>
      <c r="N20" s="7">
        <f>_xll.acq_special_invnormalcdf(M20)</f>
        <v>-0.91536508784281401</v>
      </c>
      <c r="O20">
        <f t="shared" si="6"/>
        <v>-0.91536508784281501</v>
      </c>
      <c r="P20" s="11">
        <f t="shared" si="7"/>
        <v>9.9920072216264089E-16</v>
      </c>
    </row>
    <row r="21" spans="2:16" x14ac:dyDescent="0.25">
      <c r="B21">
        <v>-4.05</v>
      </c>
      <c r="C21" s="7">
        <f>_xll.acq_special_erf(B21)</f>
        <v>-0.99999998981175509</v>
      </c>
      <c r="D21" s="7">
        <f t="shared" si="1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2"/>
        <v>1.9999999898117551</v>
      </c>
      <c r="H21" s="11">
        <f t="shared" si="3"/>
        <v>0</v>
      </c>
      <c r="I21" s="7">
        <f>_xll.acq_special_normalcdf(B21)</f>
        <v>2.5608816474041489E-5</v>
      </c>
      <c r="J21" s="7">
        <f t="shared" si="4"/>
        <v>2.5608816474041486E-5</v>
      </c>
      <c r="K21" s="11">
        <f t="shared" si="5"/>
        <v>3.3881317890172014E-21</v>
      </c>
      <c r="M21">
        <v>0.19</v>
      </c>
      <c r="N21" s="7">
        <f>_xll.acq_special_invnormalcdf(M21)</f>
        <v>-0.87789629505122879</v>
      </c>
      <c r="O21">
        <f t="shared" si="6"/>
        <v>-0.87789629505122846</v>
      </c>
      <c r="P21" s="11">
        <f t="shared" si="7"/>
        <v>3.3306690738754696E-16</v>
      </c>
    </row>
    <row r="22" spans="2:16" x14ac:dyDescent="0.25">
      <c r="B22">
        <v>-4</v>
      </c>
      <c r="C22" s="7">
        <f>_xll.acq_special_erf(B22)</f>
        <v>-0.99999998458274209</v>
      </c>
      <c r="D22" s="7">
        <f t="shared" si="1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2"/>
        <v>1.9999999845827421</v>
      </c>
      <c r="H22" s="11">
        <f t="shared" si="3"/>
        <v>0</v>
      </c>
      <c r="I22" s="7">
        <f>_xll.acq_special_normalcdf(B22)</f>
        <v>3.1671241833119863E-5</v>
      </c>
      <c r="J22" s="7">
        <f t="shared" si="4"/>
        <v>3.1671241833119857E-5</v>
      </c>
      <c r="K22" s="11">
        <f t="shared" si="5"/>
        <v>6.7762635780344027E-21</v>
      </c>
      <c r="M22">
        <v>0.2</v>
      </c>
      <c r="N22" s="7">
        <f>_xll.acq_special_invnormalcdf(M22)</f>
        <v>-0.84162123357291418</v>
      </c>
      <c r="O22">
        <f t="shared" si="6"/>
        <v>-0.84162123357291452</v>
      </c>
      <c r="P22" s="11">
        <f t="shared" si="7"/>
        <v>3.3306690738754696E-16</v>
      </c>
    </row>
    <row r="23" spans="2:16" x14ac:dyDescent="0.25">
      <c r="B23">
        <v>-3.95</v>
      </c>
      <c r="C23" s="7">
        <f>_xll.acq_special_erf(B23)</f>
        <v>-0.99999997678326769</v>
      </c>
      <c r="D23" s="7">
        <f t="shared" si="1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2"/>
        <v>1.9999999767832677</v>
      </c>
      <c r="H23" s="11">
        <f t="shared" si="3"/>
        <v>0</v>
      </c>
      <c r="I23" s="7">
        <f>_xll.acq_special_normalcdf(B23)</f>
        <v>3.9075596597787456E-5</v>
      </c>
      <c r="J23" s="7">
        <f t="shared" si="4"/>
        <v>3.9075596597787456E-5</v>
      </c>
      <c r="K23" s="11">
        <f t="shared" si="5"/>
        <v>0</v>
      </c>
      <c r="M23">
        <v>0.21</v>
      </c>
      <c r="N23" s="7">
        <f>_xll.acq_special_invnormalcdf(M23)</f>
        <v>-0.80642124701824036</v>
      </c>
      <c r="O23">
        <f t="shared" si="6"/>
        <v>-0.80642124701824058</v>
      </c>
      <c r="P23" s="11">
        <f t="shared" si="7"/>
        <v>2.2204460492503131E-16</v>
      </c>
    </row>
    <row r="24" spans="2:16" x14ac:dyDescent="0.25">
      <c r="B24">
        <v>-3.9</v>
      </c>
      <c r="C24" s="7">
        <f>_xll.acq_special_erf(B24)</f>
        <v>-0.99999996520775136</v>
      </c>
      <c r="D24" s="7">
        <f t="shared" si="1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2"/>
        <v>1.9999999652077514</v>
      </c>
      <c r="H24" s="11">
        <f t="shared" si="3"/>
        <v>0</v>
      </c>
      <c r="I24" s="7">
        <f>_xll.acq_special_normalcdf(B24)</f>
        <v>4.8096344017602614E-5</v>
      </c>
      <c r="J24" s="7">
        <f t="shared" si="4"/>
        <v>4.8096344017602614E-5</v>
      </c>
      <c r="K24" s="11">
        <f t="shared" si="5"/>
        <v>0</v>
      </c>
      <c r="M24">
        <v>0.22</v>
      </c>
      <c r="N24" s="7">
        <f>_xll.acq_special_invnormalcdf(M24)</f>
        <v>-0.77219321418868481</v>
      </c>
      <c r="O24">
        <f t="shared" si="6"/>
        <v>-0.77219321418868503</v>
      </c>
      <c r="P24" s="11">
        <f t="shared" si="7"/>
        <v>2.2204460492503131E-16</v>
      </c>
    </row>
    <row r="25" spans="2:16" x14ac:dyDescent="0.25">
      <c r="B25">
        <v>-3.85</v>
      </c>
      <c r="C25" s="7">
        <f>_xll.acq_special_erf(B25)</f>
        <v>-0.99999994811370652</v>
      </c>
      <c r="D25" s="7">
        <f t="shared" si="1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2"/>
        <v>1.9999999481137065</v>
      </c>
      <c r="H25" s="11">
        <f t="shared" si="3"/>
        <v>0</v>
      </c>
      <c r="I25" s="7">
        <f>_xll.acq_special_normalcdf(B25)</f>
        <v>5.9058912418922374E-5</v>
      </c>
      <c r="J25" s="7">
        <f t="shared" si="4"/>
        <v>5.9058912418922381E-5</v>
      </c>
      <c r="K25" s="11">
        <f t="shared" si="5"/>
        <v>6.7762635780344027E-21</v>
      </c>
      <c r="M25">
        <v>0.23</v>
      </c>
      <c r="N25" s="7">
        <f>_xll.acq_special_invnormalcdf(M25)</f>
        <v>-0.73884684918521371</v>
      </c>
      <c r="O25">
        <f t="shared" si="6"/>
        <v>-0.73884684918521393</v>
      </c>
      <c r="P25" s="11">
        <f t="shared" si="7"/>
        <v>2.2204460492503131E-16</v>
      </c>
    </row>
    <row r="26" spans="2:16" x14ac:dyDescent="0.25">
      <c r="B26">
        <v>-3.8</v>
      </c>
      <c r="C26" s="7">
        <f>_xll.acq_special_erf(B26)</f>
        <v>-0.99999992299607254</v>
      </c>
      <c r="D26" s="7">
        <f t="shared" si="1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2"/>
        <v>1.9999999229960725</v>
      </c>
      <c r="H26" s="11">
        <f t="shared" si="3"/>
        <v>0</v>
      </c>
      <c r="I26" s="7">
        <f>_xll.acq_special_normalcdf(B26)</f>
        <v>7.2348043925119976E-5</v>
      </c>
      <c r="J26" s="7">
        <f t="shared" si="4"/>
        <v>7.234804392511999E-5</v>
      </c>
      <c r="K26" s="11">
        <f t="shared" si="5"/>
        <v>1.3552527156068805E-20</v>
      </c>
      <c r="M26">
        <v>0.24</v>
      </c>
      <c r="N26" s="7">
        <f>_xll.acq_special_invnormalcdf(M26)</f>
        <v>-0.70630256284008741</v>
      </c>
      <c r="O26">
        <f t="shared" si="6"/>
        <v>-0.7063025628400873</v>
      </c>
      <c r="P26" s="11">
        <f t="shared" si="7"/>
        <v>1.1102230246251565E-16</v>
      </c>
    </row>
    <row r="27" spans="2:16" x14ac:dyDescent="0.25">
      <c r="B27">
        <v>-3.75</v>
      </c>
      <c r="C27" s="7">
        <f>_xll.acq_special_erf(B27)</f>
        <v>-0.9999998862727435</v>
      </c>
      <c r="D27" s="7">
        <f t="shared" si="1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2"/>
        <v>1.9999998862727435</v>
      </c>
      <c r="H27" s="11">
        <f t="shared" si="3"/>
        <v>0</v>
      </c>
      <c r="I27" s="7">
        <f>_xll.acq_special_normalcdf(B27)</f>
        <v>8.8417285200803773E-5</v>
      </c>
      <c r="J27" s="7">
        <f t="shared" si="4"/>
        <v>8.841728520080376E-5</v>
      </c>
      <c r="K27" s="11">
        <f t="shared" si="5"/>
        <v>1.3552527156068805E-20</v>
      </c>
      <c r="M27">
        <v>0.25</v>
      </c>
      <c r="N27" s="7">
        <f>_xll.acq_special_invnormalcdf(M27)</f>
        <v>-0.67448975019608171</v>
      </c>
      <c r="O27">
        <f t="shared" si="6"/>
        <v>-0.67448975019608193</v>
      </c>
      <c r="P27" s="11">
        <f t="shared" si="7"/>
        <v>2.2204460492503131E-16</v>
      </c>
    </row>
    <row r="28" spans="2:16" x14ac:dyDescent="0.25">
      <c r="B28">
        <v>-3.7</v>
      </c>
      <c r="C28" s="7">
        <f>_xll.acq_special_erf(B28)</f>
        <v>-0.99999983284894212</v>
      </c>
      <c r="D28" s="7">
        <f t="shared" si="1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2"/>
        <v>1.9999998328489421</v>
      </c>
      <c r="H28" s="11">
        <f t="shared" si="3"/>
        <v>0</v>
      </c>
      <c r="I28" s="7">
        <f>_xll.acq_special_normalcdf(B28)</f>
        <v>1.0779973347738823E-4</v>
      </c>
      <c r="J28" s="7">
        <f t="shared" si="4"/>
        <v>1.0779973347738824E-4</v>
      </c>
      <c r="K28" s="11">
        <f t="shared" si="5"/>
        <v>1.3552527156068805E-20</v>
      </c>
      <c r="M28">
        <v>0.26</v>
      </c>
      <c r="N28" s="7">
        <f>_xll.acq_special_invnormalcdf(M28)</f>
        <v>-0.64334540539291696</v>
      </c>
      <c r="O28">
        <f t="shared" si="6"/>
        <v>-0.64334540539291696</v>
      </c>
      <c r="P28" s="11">
        <f t="shared" si="7"/>
        <v>0</v>
      </c>
    </row>
    <row r="29" spans="2:16" x14ac:dyDescent="0.25">
      <c r="B29">
        <v>-3.65</v>
      </c>
      <c r="C29" s="7">
        <f>_xll.acq_special_erf(B29)</f>
        <v>-0.99999975551734943</v>
      </c>
      <c r="D29" s="7">
        <f t="shared" si="1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2"/>
        <v>1.9999997555173494</v>
      </c>
      <c r="H29" s="11">
        <f t="shared" si="3"/>
        <v>0</v>
      </c>
      <c r="I29" s="7">
        <f>_xll.acq_special_normalcdf(B29)</f>
        <v>1.3112015442048433E-4</v>
      </c>
      <c r="J29" s="7">
        <f t="shared" si="4"/>
        <v>1.3112015442048446E-4</v>
      </c>
      <c r="K29" s="11">
        <f t="shared" si="5"/>
        <v>1.3552527156068805E-19</v>
      </c>
      <c r="M29">
        <v>0.27</v>
      </c>
      <c r="N29" s="7">
        <f>_xll.acq_special_invnormalcdf(M29)</f>
        <v>-0.61281299101662723</v>
      </c>
      <c r="O29">
        <f t="shared" si="6"/>
        <v>-0.61281299101662734</v>
      </c>
      <c r="P29" s="11">
        <f t="shared" si="7"/>
        <v>1.1102230246251565E-16</v>
      </c>
    </row>
    <row r="30" spans="2:16" x14ac:dyDescent="0.25">
      <c r="B30">
        <v>-3.6</v>
      </c>
      <c r="C30" s="7">
        <f>_xll.acq_special_erf(B30)</f>
        <v>-0.99999964413700693</v>
      </c>
      <c r="D30" s="7">
        <f t="shared" si="1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2"/>
        <v>1.9999996441370069</v>
      </c>
      <c r="H30" s="11">
        <f t="shared" si="3"/>
        <v>0</v>
      </c>
      <c r="I30" s="7">
        <f>_xll.acq_special_normalcdf(B30)</f>
        <v>1.5910859015753364E-4</v>
      </c>
      <c r="J30" s="7">
        <f t="shared" si="4"/>
        <v>1.5910859015753364E-4</v>
      </c>
      <c r="K30" s="11">
        <f t="shared" si="5"/>
        <v>0</v>
      </c>
      <c r="M30">
        <v>0.28000000000000003</v>
      </c>
      <c r="N30" s="7">
        <f>_xll.acq_special_invnormalcdf(M30)</f>
        <v>-0.5828415072712162</v>
      </c>
      <c r="O30">
        <f t="shared" si="6"/>
        <v>-0.58284150727121631</v>
      </c>
      <c r="P30" s="11">
        <f t="shared" si="7"/>
        <v>1.1102230246251565E-16</v>
      </c>
    </row>
    <row r="31" spans="2:16" x14ac:dyDescent="0.25">
      <c r="B31">
        <v>-3.55000000000001</v>
      </c>
      <c r="C31" s="7">
        <f>_xll.acq_special_erf(B31)</f>
        <v>-0.99999948451617526</v>
      </c>
      <c r="D31" s="7">
        <f t="shared" si="1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2"/>
        <v>1.9999994845161753</v>
      </c>
      <c r="H31" s="11">
        <f t="shared" si="3"/>
        <v>0</v>
      </c>
      <c r="I31" s="7">
        <f>_xll.acq_special_normalcdf(B31)</f>
        <v>1.9261557563562544E-4</v>
      </c>
      <c r="J31" s="7">
        <f t="shared" si="4"/>
        <v>1.9261557563562541E-4</v>
      </c>
      <c r="K31" s="11">
        <f t="shared" si="5"/>
        <v>2.7105054312137611E-20</v>
      </c>
      <c r="M31">
        <v>0.28999999999999998</v>
      </c>
      <c r="N31" s="7">
        <f>_xll.acq_special_invnormalcdf(M31)</f>
        <v>-0.55338471955567292</v>
      </c>
      <c r="O31">
        <f t="shared" si="6"/>
        <v>-0.55338471955567303</v>
      </c>
      <c r="P31" s="11">
        <f t="shared" si="7"/>
        <v>1.1102230246251565E-16</v>
      </c>
    </row>
    <row r="32" spans="2:16" x14ac:dyDescent="0.25">
      <c r="B32">
        <v>-3.5000000000000102</v>
      </c>
      <c r="C32" s="7">
        <f>_xll.acq_special_erf(B32)</f>
        <v>-0.99999925690162761</v>
      </c>
      <c r="D32" s="7">
        <f t="shared" si="1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2"/>
        <v>1.9999992569016276</v>
      </c>
      <c r="H32" s="11">
        <f t="shared" si="3"/>
        <v>0</v>
      </c>
      <c r="I32" s="7">
        <f>_xll.acq_special_normalcdf(B32)</f>
        <v>2.3262907903551575E-4</v>
      </c>
      <c r="J32" s="7">
        <f t="shared" si="4"/>
        <v>2.3262907903551577E-4</v>
      </c>
      <c r="K32" s="11">
        <f t="shared" si="5"/>
        <v>2.7105054312137611E-20</v>
      </c>
      <c r="M32">
        <v>0.3</v>
      </c>
      <c r="N32" s="7">
        <f>_xll.acq_special_invnormalcdf(M32)</f>
        <v>-0.52440051270804089</v>
      </c>
      <c r="O32">
        <f t="shared" si="6"/>
        <v>-0.52440051270804089</v>
      </c>
      <c r="P32" s="11">
        <f t="shared" si="7"/>
        <v>0</v>
      </c>
    </row>
    <row r="33" spans="2:16" x14ac:dyDescent="0.25">
      <c r="B33">
        <v>-3.4500000000000099</v>
      </c>
      <c r="C33" s="7">
        <f>_xll.acq_special_erf(B33)</f>
        <v>-0.99999893394820649</v>
      </c>
      <c r="D33" s="7">
        <f t="shared" si="1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2"/>
        <v>1.9999989339482065</v>
      </c>
      <c r="H33" s="11">
        <f t="shared" si="3"/>
        <v>0</v>
      </c>
      <c r="I33" s="7">
        <f>_xll.acq_special_normalcdf(B33)</f>
        <v>2.8029327681616676E-4</v>
      </c>
      <c r="J33" s="7">
        <f t="shared" si="4"/>
        <v>2.8029327681616676E-4</v>
      </c>
      <c r="K33" s="11">
        <f t="shared" si="5"/>
        <v>0</v>
      </c>
      <c r="M33">
        <v>0.31</v>
      </c>
      <c r="N33" s="7">
        <f>_xll.acq_special_invnormalcdf(M33)</f>
        <v>-0.49585034734745331</v>
      </c>
      <c r="O33">
        <f t="shared" ref="O33:O96" si="8">_xlfn.NORM.S.INV(M33)</f>
        <v>-0.49585034734745354</v>
      </c>
      <c r="P33" s="11">
        <f t="shared" ref="P33:P96" si="9">ABS(N33-O33)</f>
        <v>2.2204460492503131E-16</v>
      </c>
    </row>
    <row r="34" spans="2:16" x14ac:dyDescent="0.25">
      <c r="B34">
        <v>-3.4000000000000101</v>
      </c>
      <c r="C34" s="7">
        <f>_xll.acq_special_erf(B34)</f>
        <v>-0.9999984780066371</v>
      </c>
      <c r="D34" s="7">
        <f t="shared" si="1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2"/>
        <v>1.9999984780066371</v>
      </c>
      <c r="H34" s="11">
        <f t="shared" si="3"/>
        <v>0</v>
      </c>
      <c r="I34" s="7">
        <f>_xll.acq_special_normalcdf(B34)</f>
        <v>3.3692926567686817E-4</v>
      </c>
      <c r="J34" s="7">
        <f t="shared" si="4"/>
        <v>3.3692926567686834E-4</v>
      </c>
      <c r="K34" s="11">
        <f t="shared" si="5"/>
        <v>1.6263032587282567E-19</v>
      </c>
      <c r="M34">
        <v>0.32</v>
      </c>
      <c r="N34" s="7">
        <f>_xll.acq_special_invnormalcdf(M34)</f>
        <v>-0.46769879911450823</v>
      </c>
      <c r="O34">
        <f t="shared" si="8"/>
        <v>-0.46769879911450829</v>
      </c>
      <c r="P34" s="11">
        <f t="shared" si="9"/>
        <v>5.5511151231257827E-17</v>
      </c>
    </row>
    <row r="35" spans="2:16" x14ac:dyDescent="0.25">
      <c r="B35">
        <v>-3.3500000000000099</v>
      </c>
      <c r="C35" s="7">
        <f>_xll.acq_special_erf(B35)</f>
        <v>-0.99999783752317994</v>
      </c>
      <c r="D35" s="7">
        <f t="shared" si="1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2"/>
        <v>1.9999978375231799</v>
      </c>
      <c r="H35" s="11">
        <f t="shared" si="3"/>
        <v>0</v>
      </c>
      <c r="I35" s="7">
        <f>_xll.acq_special_normalcdf(B35)</f>
        <v>4.0405780186400611E-4</v>
      </c>
      <c r="J35" s="7">
        <f t="shared" si="4"/>
        <v>4.0405780186400611E-4</v>
      </c>
      <c r="K35" s="11">
        <f t="shared" si="5"/>
        <v>0</v>
      </c>
      <c r="M35">
        <v>0.33</v>
      </c>
      <c r="N35" s="7">
        <f>_xll.acq_special_invnormalcdf(M35)</f>
        <v>-0.4399131656732338</v>
      </c>
      <c r="O35">
        <f t="shared" si="8"/>
        <v>-0.43991316567323374</v>
      </c>
      <c r="P35" s="11">
        <f t="shared" si="9"/>
        <v>5.5511151231257827E-17</v>
      </c>
    </row>
    <row r="36" spans="2:16" x14ac:dyDescent="0.25">
      <c r="B36">
        <v>-3.30000000000001</v>
      </c>
      <c r="C36" s="7">
        <f>_xll.acq_special_erf(B36)</f>
        <v>-0.99999694229020353</v>
      </c>
      <c r="D36" s="7">
        <f t="shared" si="1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2"/>
        <v>1.9999969422902035</v>
      </c>
      <c r="H36" s="11">
        <f t="shared" si="3"/>
        <v>0</v>
      </c>
      <c r="I36" s="7">
        <f>_xll.acq_special_normalcdf(B36)</f>
        <v>4.834241423837595E-4</v>
      </c>
      <c r="J36" s="7">
        <f t="shared" si="4"/>
        <v>4.834241423837595E-4</v>
      </c>
      <c r="K36" s="11">
        <f t="shared" si="5"/>
        <v>0</v>
      </c>
      <c r="M36">
        <v>0.34</v>
      </c>
      <c r="N36" s="7">
        <f>_xll.acq_special_invnormalcdf(M36)</f>
        <v>-0.41246312944140473</v>
      </c>
      <c r="O36">
        <f t="shared" si="8"/>
        <v>-0.41246312944140484</v>
      </c>
      <c r="P36" s="11">
        <f t="shared" si="9"/>
        <v>1.1102230246251565E-16</v>
      </c>
    </row>
    <row r="37" spans="2:16" x14ac:dyDescent="0.25">
      <c r="B37">
        <v>-3.2500000000000102</v>
      </c>
      <c r="C37" s="7">
        <f>_xll.acq_special_erf(B37)</f>
        <v>-0.99999569722053638</v>
      </c>
      <c r="D37" s="7">
        <f t="shared" si="1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2"/>
        <v>1.9999956972205364</v>
      </c>
      <c r="H37" s="11">
        <f t="shared" si="3"/>
        <v>0</v>
      </c>
      <c r="I37" s="7">
        <f>_xll.acq_special_normalcdf(B37)</f>
        <v>5.7702504239074554E-4</v>
      </c>
      <c r="J37" s="7">
        <f t="shared" si="4"/>
        <v>5.7702504239074554E-4</v>
      </c>
      <c r="K37" s="11">
        <f t="shared" si="5"/>
        <v>0</v>
      </c>
      <c r="M37">
        <v>0.35</v>
      </c>
      <c r="N37" s="7">
        <f>_xll.acq_special_invnormalcdf(M37)</f>
        <v>-0.38532046640756773</v>
      </c>
      <c r="O37">
        <f t="shared" si="8"/>
        <v>-0.38532046640756784</v>
      </c>
      <c r="P37" s="11">
        <f t="shared" si="9"/>
        <v>1.1102230246251565E-16</v>
      </c>
    </row>
    <row r="38" spans="2:16" x14ac:dyDescent="0.25">
      <c r="B38">
        <v>-3.2000000000000099</v>
      </c>
      <c r="C38" s="7">
        <f>_xll.acq_special_erf(B38)</f>
        <v>-0.99999397423884817</v>
      </c>
      <c r="D38" s="7">
        <f t="shared" si="1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2"/>
        <v>1.9999939742388482</v>
      </c>
      <c r="H38" s="11">
        <f t="shared" si="3"/>
        <v>0</v>
      </c>
      <c r="I38" s="7">
        <f>_xll.acq_special_normalcdf(B38)</f>
        <v>6.8713793791582453E-4</v>
      </c>
      <c r="J38" s="7">
        <f t="shared" si="4"/>
        <v>6.8713793791582453E-4</v>
      </c>
      <c r="K38" s="11">
        <f t="shared" si="5"/>
        <v>0</v>
      </c>
      <c r="M38">
        <v>0.36</v>
      </c>
      <c r="N38" s="7">
        <f>_xll.acq_special_invnormalcdf(M38)</f>
        <v>-0.35845879325119379</v>
      </c>
      <c r="O38">
        <f t="shared" si="8"/>
        <v>-0.35845879325119384</v>
      </c>
      <c r="P38" s="11">
        <f t="shared" si="9"/>
        <v>5.5511151231257827E-17</v>
      </c>
    </row>
    <row r="39" spans="2:16" x14ac:dyDescent="0.25">
      <c r="B39">
        <v>-3.1500000000000101</v>
      </c>
      <c r="C39" s="7">
        <f>_xll.acq_special_erf(B39)</f>
        <v>-0.99999160178868474</v>
      </c>
      <c r="D39" s="7">
        <f t="shared" si="1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2"/>
        <v>1.9999916017886847</v>
      </c>
      <c r="H39" s="11">
        <f t="shared" si="3"/>
        <v>0</v>
      </c>
      <c r="I39" s="7">
        <f>_xll.acq_special_normalcdf(B39)</f>
        <v>8.1635231282853413E-4</v>
      </c>
      <c r="J39" s="7">
        <f t="shared" si="4"/>
        <v>8.1635231282853413E-4</v>
      </c>
      <c r="K39" s="11">
        <f t="shared" si="5"/>
        <v>0</v>
      </c>
      <c r="M39">
        <v>0.37</v>
      </c>
      <c r="N39" s="7">
        <f>_xll.acq_special_invnormalcdf(M39)</f>
        <v>-0.33185334643681663</v>
      </c>
      <c r="O39">
        <f t="shared" si="8"/>
        <v>-0.33185334643681658</v>
      </c>
      <c r="P39" s="11">
        <f t="shared" si="9"/>
        <v>5.5511151231257827E-17</v>
      </c>
    </row>
    <row r="40" spans="2:16" x14ac:dyDescent="0.25">
      <c r="B40">
        <v>-3.1000000000000099</v>
      </c>
      <c r="C40" s="7">
        <f>_xll.acq_special_erf(B40)</f>
        <v>-0.99998835134263286</v>
      </c>
      <c r="D40" s="7">
        <f t="shared" si="1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2"/>
        <v>1.9999883513426329</v>
      </c>
      <c r="H40" s="11">
        <f t="shared" si="3"/>
        <v>0</v>
      </c>
      <c r="I40" s="7">
        <f>_xll.acq_special_normalcdf(B40)</f>
        <v>9.6760321321832357E-4</v>
      </c>
      <c r="J40" s="7">
        <f t="shared" si="4"/>
        <v>9.6760321321832314E-4</v>
      </c>
      <c r="K40" s="11">
        <f t="shared" si="5"/>
        <v>4.3368086899420177E-19</v>
      </c>
      <c r="M40">
        <v>0.38</v>
      </c>
      <c r="N40" s="7">
        <f>_xll.acq_special_invnormalcdf(M40)</f>
        <v>-0.30548078809939738</v>
      </c>
      <c r="O40">
        <f t="shared" si="8"/>
        <v>-0.30548078809939727</v>
      </c>
      <c r="P40" s="11">
        <f t="shared" si="9"/>
        <v>1.1102230246251565E-16</v>
      </c>
    </row>
    <row r="41" spans="2:16" x14ac:dyDescent="0.25">
      <c r="B41">
        <v>-3.05000000000001</v>
      </c>
      <c r="C41" s="7">
        <f>_xll.acq_special_erf(B41)</f>
        <v>-0.99998392017423976</v>
      </c>
      <c r="D41" s="7">
        <f t="shared" si="1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2"/>
        <v>1.9999839201742398</v>
      </c>
      <c r="H41" s="11">
        <f t="shared" si="3"/>
        <v>0</v>
      </c>
      <c r="I41" s="7">
        <f>_xll.acq_special_normalcdf(B41)</f>
        <v>1.1442068310226605E-3</v>
      </c>
      <c r="J41" s="7">
        <f t="shared" si="4"/>
        <v>1.14420683102266E-3</v>
      </c>
      <c r="K41" s="11">
        <f t="shared" si="5"/>
        <v>4.3368086899420177E-19</v>
      </c>
      <c r="M41">
        <v>0.39</v>
      </c>
      <c r="N41" s="7">
        <f>_xll.acq_special_invnormalcdf(M41)</f>
        <v>-0.27931903444745415</v>
      </c>
      <c r="O41">
        <f t="shared" si="8"/>
        <v>-0.27931903444745415</v>
      </c>
      <c r="P41" s="11">
        <f t="shared" si="9"/>
        <v>0</v>
      </c>
    </row>
    <row r="42" spans="2:16" x14ac:dyDescent="0.25">
      <c r="B42">
        <v>-3.0000000000000102</v>
      </c>
      <c r="C42" s="7">
        <f>_xll.acq_special_erf(B42)</f>
        <v>-0.99997790950300147</v>
      </c>
      <c r="D42" s="7">
        <f t="shared" si="1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2"/>
        <v>1.9999779095030015</v>
      </c>
      <c r="H42" s="11">
        <f t="shared" si="3"/>
        <v>0</v>
      </c>
      <c r="I42" s="7">
        <f>_xll.acq_special_normalcdf(B42)</f>
        <v>1.3498980316300486E-3</v>
      </c>
      <c r="J42" s="7">
        <f t="shared" si="4"/>
        <v>1.3498980316300484E-3</v>
      </c>
      <c r="K42" s="11">
        <f t="shared" si="5"/>
        <v>2.1684043449710089E-19</v>
      </c>
      <c r="M42">
        <v>0.4</v>
      </c>
      <c r="N42" s="7">
        <f>_xll.acq_special_invnormalcdf(M42)</f>
        <v>-0.25334710313579972</v>
      </c>
      <c r="O42">
        <f t="shared" si="8"/>
        <v>-0.25334710313579978</v>
      </c>
      <c r="P42" s="11">
        <f t="shared" si="9"/>
        <v>5.5511151231257827E-17</v>
      </c>
    </row>
    <row r="43" spans="2:16" x14ac:dyDescent="0.25">
      <c r="B43">
        <v>-2.9500000000000099</v>
      </c>
      <c r="C43" s="7">
        <f>_xll.acq_special_erf(B43)</f>
        <v>-0.99996979695793575</v>
      </c>
      <c r="D43" s="7">
        <f t="shared" si="1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2"/>
        <v>1.9999697969579358</v>
      </c>
      <c r="H43" s="11">
        <f t="shared" si="3"/>
        <v>0</v>
      </c>
      <c r="I43" s="7">
        <f>_xll.acq_special_normalcdf(B43)</f>
        <v>1.5888696473648184E-3</v>
      </c>
      <c r="J43" s="7">
        <f t="shared" si="4"/>
        <v>1.5888696473648186E-3</v>
      </c>
      <c r="K43" s="11">
        <f t="shared" si="5"/>
        <v>2.1684043449710089E-19</v>
      </c>
      <c r="M43">
        <v>0.41</v>
      </c>
      <c r="N43" s="7">
        <f>_xll.acq_special_invnormalcdf(M43)</f>
        <v>-0.22754497664114948</v>
      </c>
      <c r="O43">
        <f t="shared" si="8"/>
        <v>-0.2275449766411495</v>
      </c>
      <c r="P43" s="11">
        <f t="shared" si="9"/>
        <v>2.7755575615628914E-17</v>
      </c>
    </row>
    <row r="44" spans="2:16" x14ac:dyDescent="0.25">
      <c r="B44">
        <v>-2.9000000000000101</v>
      </c>
      <c r="C44" s="7">
        <f>_xll.acq_special_erf(B44)</f>
        <v>-0.99995890212190064</v>
      </c>
      <c r="D44" s="7">
        <f t="shared" si="1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2"/>
        <v>1.9999589021219006</v>
      </c>
      <c r="H44" s="11">
        <f t="shared" si="3"/>
        <v>0</v>
      </c>
      <c r="I44" s="7">
        <f>_xll.acq_special_normalcdf(B44)</f>
        <v>1.8658133003839744E-3</v>
      </c>
      <c r="J44" s="7">
        <f t="shared" si="4"/>
        <v>1.865813300383974E-3</v>
      </c>
      <c r="K44" s="11">
        <f t="shared" si="5"/>
        <v>4.3368086899420177E-19</v>
      </c>
      <c r="M44">
        <v>0.42</v>
      </c>
      <c r="N44" s="7">
        <f>_xll.acq_special_invnormalcdf(M44)</f>
        <v>-0.20189347914185088</v>
      </c>
      <c r="O44">
        <f t="shared" si="8"/>
        <v>-0.20189347914185088</v>
      </c>
      <c r="P44" s="11">
        <f t="shared" si="9"/>
        <v>0</v>
      </c>
    </row>
    <row r="45" spans="2:16" x14ac:dyDescent="0.25">
      <c r="B45">
        <v>-2.8500000000000099</v>
      </c>
      <c r="C45" s="7">
        <f>_xll.acq_special_erf(B45)</f>
        <v>-0.9999443437200386</v>
      </c>
      <c r="D45" s="7">
        <f t="shared" si="1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2"/>
        <v>1.9999443437200386</v>
      </c>
      <c r="H45" s="11">
        <f t="shared" si="3"/>
        <v>0</v>
      </c>
      <c r="I45" s="7">
        <f>_xll.acq_special_normalcdf(B45)</f>
        <v>2.1859614549131711E-3</v>
      </c>
      <c r="J45" s="7">
        <f t="shared" si="4"/>
        <v>2.1859614549131711E-3</v>
      </c>
      <c r="K45" s="11">
        <f t="shared" si="5"/>
        <v>0</v>
      </c>
      <c r="M45">
        <v>0.43</v>
      </c>
      <c r="N45" s="7">
        <f>_xll.acq_special_invnormalcdf(M45)</f>
        <v>-0.17637416478086135</v>
      </c>
      <c r="O45">
        <f t="shared" si="8"/>
        <v>-0.17637416478086138</v>
      </c>
      <c r="P45" s="11">
        <f t="shared" si="9"/>
        <v>2.7755575615628914E-17</v>
      </c>
    </row>
    <row r="46" spans="2:16" x14ac:dyDescent="0.25">
      <c r="B46">
        <v>-2.80000000000001</v>
      </c>
      <c r="C46" s="7">
        <f>_xll.acq_special_erf(B46)</f>
        <v>-0.99992498680533459</v>
      </c>
      <c r="D46" s="7">
        <f t="shared" si="1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2"/>
        <v>1.9999249868053346</v>
      </c>
      <c r="H46" s="11">
        <f t="shared" si="3"/>
        <v>0</v>
      </c>
      <c r="I46" s="7">
        <f>_xll.acq_special_normalcdf(B46)</f>
        <v>2.5551303304278531E-3</v>
      </c>
      <c r="J46" s="7">
        <f t="shared" si="4"/>
        <v>2.5551303304278523E-3</v>
      </c>
      <c r="K46" s="11">
        <f t="shared" si="5"/>
        <v>8.6736173798840355E-19</v>
      </c>
      <c r="M46">
        <v>0.44</v>
      </c>
      <c r="N46" s="7">
        <f>_xll.acq_special_invnormalcdf(M46)</f>
        <v>-0.15096921549677725</v>
      </c>
      <c r="O46">
        <f t="shared" si="8"/>
        <v>-0.15096921549677725</v>
      </c>
      <c r="P46" s="11">
        <f t="shared" si="9"/>
        <v>0</v>
      </c>
    </row>
    <row r="47" spans="2:16" x14ac:dyDescent="0.25">
      <c r="B47">
        <v>-2.7500000000000102</v>
      </c>
      <c r="C47" s="7">
        <f>_xll.acq_special_erf(B47)</f>
        <v>-0.99989937807788043</v>
      </c>
      <c r="D47" s="7">
        <f t="shared" si="1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2"/>
        <v>1.9998993780778804</v>
      </c>
      <c r="H47" s="11">
        <f t="shared" si="3"/>
        <v>0</v>
      </c>
      <c r="I47" s="7">
        <f>_xll.acq_special_normalcdf(B47)</f>
        <v>2.9797632350544627E-3</v>
      </c>
      <c r="J47" s="7">
        <f t="shared" si="4"/>
        <v>2.9797632350544627E-3</v>
      </c>
      <c r="K47" s="11">
        <f t="shared" si="5"/>
        <v>0</v>
      </c>
      <c r="M47">
        <v>0.45</v>
      </c>
      <c r="N47" s="7">
        <f>_xll.acq_special_invnormalcdf(M47)</f>
        <v>-0.12566134685507402</v>
      </c>
      <c r="O47">
        <f t="shared" si="8"/>
        <v>-0.12566134685507402</v>
      </c>
      <c r="P47" s="11">
        <f t="shared" si="9"/>
        <v>0</v>
      </c>
    </row>
    <row r="48" spans="2:16" x14ac:dyDescent="0.25">
      <c r="B48">
        <v>-2.7000000000000099</v>
      </c>
      <c r="C48" s="7">
        <f>_xll.acq_special_erf(B48)</f>
        <v>-0.99986566726005943</v>
      </c>
      <c r="D48" s="7">
        <f t="shared" si="1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2"/>
        <v>1.9998656672600594</v>
      </c>
      <c r="H48" s="11">
        <f t="shared" si="3"/>
        <v>0</v>
      </c>
      <c r="I48" s="7">
        <f>_xll.acq_special_normalcdf(B48)</f>
        <v>3.4669738030405641E-3</v>
      </c>
      <c r="J48" s="7">
        <f t="shared" si="4"/>
        <v>3.4669738030405624E-3</v>
      </c>
      <c r="K48" s="11">
        <f t="shared" si="5"/>
        <v>1.7347234759768071E-18</v>
      </c>
      <c r="M48">
        <v>0.46</v>
      </c>
      <c r="N48" s="7">
        <f>_xll.acq_special_invnormalcdf(M48)</f>
        <v>-0.10043372051146975</v>
      </c>
      <c r="O48">
        <f t="shared" si="8"/>
        <v>-0.10043372051146976</v>
      </c>
      <c r="P48" s="11">
        <f t="shared" si="9"/>
        <v>1.3877787807814457E-17</v>
      </c>
    </row>
    <row r="49" spans="2:16" x14ac:dyDescent="0.25">
      <c r="B49">
        <v>-2.6500000000000101</v>
      </c>
      <c r="C49" s="7">
        <f>_xll.acq_special_erf(B49)</f>
        <v>-0.99982151224797611</v>
      </c>
      <c r="D49" s="7">
        <f t="shared" si="1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2"/>
        <v>1.9998215122479761</v>
      </c>
      <c r="H49" s="11">
        <f t="shared" si="3"/>
        <v>0</v>
      </c>
      <c r="I49" s="7">
        <f>_xll.acq_special_normalcdf(B49)</f>
        <v>4.0245885427581856E-3</v>
      </c>
      <c r="J49" s="7">
        <f t="shared" si="4"/>
        <v>4.0245885427581838E-3</v>
      </c>
      <c r="K49" s="11">
        <f t="shared" si="5"/>
        <v>1.7347234759768071E-18</v>
      </c>
      <c r="M49">
        <v>0.47</v>
      </c>
      <c r="N49" s="7">
        <f>_xll.acq_special_invnormalcdf(M49)</f>
        <v>-7.5269862099829901E-2</v>
      </c>
      <c r="O49">
        <f t="shared" si="8"/>
        <v>-7.5269862099829901E-2</v>
      </c>
      <c r="P49" s="11">
        <f t="shared" si="9"/>
        <v>0</v>
      </c>
    </row>
    <row r="50" spans="2:16" x14ac:dyDescent="0.25">
      <c r="B50">
        <v>-2.6000000000000099</v>
      </c>
      <c r="C50" s="7">
        <f>_xll.acq_special_erf(B50)</f>
        <v>-0.99976396558347069</v>
      </c>
      <c r="D50" s="7">
        <f t="shared" si="1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2"/>
        <v>1.9997639655834707</v>
      </c>
      <c r="H50" s="11">
        <f t="shared" si="3"/>
        <v>0</v>
      </c>
      <c r="I50" s="7">
        <f>_xll.acq_special_normalcdf(B50)</f>
        <v>4.6611880237186157E-3</v>
      </c>
      <c r="J50" s="7">
        <f t="shared" si="4"/>
        <v>4.6611880237186157E-3</v>
      </c>
      <c r="K50" s="11">
        <f t="shared" si="5"/>
        <v>0</v>
      </c>
      <c r="M50">
        <v>0.48</v>
      </c>
      <c r="N50" s="7">
        <f>_xll.acq_special_invnormalcdf(M50)</f>
        <v>-5.015358346473367E-2</v>
      </c>
      <c r="O50">
        <f t="shared" si="8"/>
        <v>-5.0153583464733656E-2</v>
      </c>
      <c r="P50" s="11">
        <f t="shared" si="9"/>
        <v>1.3877787807814457E-17</v>
      </c>
    </row>
    <row r="51" spans="2:16" x14ac:dyDescent="0.25">
      <c r="B51">
        <v>-2.55000000000001</v>
      </c>
      <c r="C51" s="7">
        <f>_xll.acq_special_erf(B51)</f>
        <v>-0.99968933965736073</v>
      </c>
      <c r="D51" s="7">
        <f t="shared" si="1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2"/>
        <v>1.9996893396573607</v>
      </c>
      <c r="H51" s="11">
        <f t="shared" si="3"/>
        <v>0</v>
      </c>
      <c r="I51" s="7">
        <f>_xll.acq_special_normalcdf(B51)</f>
        <v>5.3861459540665291E-3</v>
      </c>
      <c r="J51" s="7">
        <f t="shared" si="4"/>
        <v>5.3861459540665282E-3</v>
      </c>
      <c r="K51" s="11">
        <f t="shared" si="5"/>
        <v>8.6736173798840355E-19</v>
      </c>
      <c r="M51">
        <v>0.49</v>
      </c>
      <c r="N51" s="7">
        <f>_xll.acq_special_invnormalcdf(M51)</f>
        <v>-2.506890825871106E-2</v>
      </c>
      <c r="O51">
        <f t="shared" si="8"/>
        <v>-2.506890825871106E-2</v>
      </c>
      <c r="P51" s="11">
        <f t="shared" si="9"/>
        <v>0</v>
      </c>
    </row>
    <row r="52" spans="2:16" x14ac:dyDescent="0.25">
      <c r="B52">
        <v>-2.5000000000000102</v>
      </c>
      <c r="C52" s="7">
        <f>_xll.acq_special_erf(B52)</f>
        <v>-0.99959304798255499</v>
      </c>
      <c r="D52" s="7">
        <f t="shared" si="1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2"/>
        <v>1.999593047982555</v>
      </c>
      <c r="H52" s="11">
        <f t="shared" si="3"/>
        <v>0</v>
      </c>
      <c r="I52" s="7">
        <f>_xll.acq_special_normalcdf(B52)</f>
        <v>6.2096653257759519E-3</v>
      </c>
      <c r="J52" s="7">
        <f t="shared" si="4"/>
        <v>6.2096653257759519E-3</v>
      </c>
      <c r="K52" s="11">
        <f t="shared" si="5"/>
        <v>0</v>
      </c>
      <c r="M52">
        <v>0.5</v>
      </c>
      <c r="N52" s="7">
        <f>_xll.acq_special_invnormalcdf(M52)</f>
        <v>0</v>
      </c>
      <c r="O52">
        <f t="shared" si="8"/>
        <v>0</v>
      </c>
      <c r="P52" s="11">
        <f t="shared" si="9"/>
        <v>0</v>
      </c>
    </row>
    <row r="53" spans="2:16" x14ac:dyDescent="0.25">
      <c r="B53">
        <v>-2.4500000000000099</v>
      </c>
      <c r="C53" s="7">
        <f>_xll.acq_special_erf(B53)</f>
        <v>-0.99946941988774896</v>
      </c>
      <c r="D53" s="7">
        <f t="shared" si="1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2"/>
        <v>1.999469419887749</v>
      </c>
      <c r="H53" s="11">
        <f t="shared" si="3"/>
        <v>0</v>
      </c>
      <c r="I53" s="7">
        <f>_xll.acq_special_normalcdf(B53)</f>
        <v>7.1428107352712183E-3</v>
      </c>
      <c r="J53" s="7">
        <f t="shared" si="4"/>
        <v>7.1428107352712157E-3</v>
      </c>
      <c r="K53" s="11">
        <f t="shared" si="5"/>
        <v>2.6020852139652106E-18</v>
      </c>
      <c r="M53">
        <v>0.51</v>
      </c>
      <c r="N53" s="7">
        <f>_xll.acq_special_invnormalcdf(M53)</f>
        <v>2.506890825871106E-2</v>
      </c>
      <c r="O53">
        <f t="shared" si="8"/>
        <v>2.506890825871106E-2</v>
      </c>
      <c r="P53" s="11">
        <f t="shared" si="9"/>
        <v>0</v>
      </c>
    </row>
    <row r="54" spans="2:16" x14ac:dyDescent="0.25">
      <c r="B54">
        <v>-2.4000000000000101</v>
      </c>
      <c r="C54" s="7">
        <f>_xll.acq_special_erf(B54)</f>
        <v>-0.99931148610335496</v>
      </c>
      <c r="D54" s="7">
        <f t="shared" si="1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2"/>
        <v>1.999311486103355</v>
      </c>
      <c r="H54" s="11">
        <f t="shared" si="3"/>
        <v>0</v>
      </c>
      <c r="I54" s="7">
        <f>_xll.acq_special_normalcdf(B54)</f>
        <v>8.1975359245958987E-3</v>
      </c>
      <c r="J54" s="7">
        <f t="shared" si="4"/>
        <v>8.1975359245958987E-3</v>
      </c>
      <c r="K54" s="11">
        <f t="shared" si="5"/>
        <v>0</v>
      </c>
      <c r="M54">
        <v>0.52</v>
      </c>
      <c r="N54" s="7">
        <f>_xll.acq_special_invnormalcdf(M54)</f>
        <v>5.015358346473367E-2</v>
      </c>
      <c r="O54">
        <f t="shared" si="8"/>
        <v>5.0153583464733656E-2</v>
      </c>
      <c r="P54" s="11">
        <f t="shared" si="9"/>
        <v>1.3877787807814457E-17</v>
      </c>
    </row>
    <row r="55" spans="2:16" x14ac:dyDescent="0.25">
      <c r="B55">
        <v>-2.3500000000000099</v>
      </c>
      <c r="C55" s="7">
        <f>_xll.acq_special_erf(B55)</f>
        <v>-0.99911073296786768</v>
      </c>
      <c r="D55" s="7">
        <f t="shared" si="1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2"/>
        <v>1.9991107329678677</v>
      </c>
      <c r="H55" s="11">
        <f t="shared" si="3"/>
        <v>0</v>
      </c>
      <c r="I55" s="7">
        <f>_xll.acq_special_normalcdf(B55)</f>
        <v>9.3867055348383199E-3</v>
      </c>
      <c r="J55" s="7">
        <f t="shared" si="4"/>
        <v>9.3867055348383199E-3</v>
      </c>
      <c r="K55" s="11">
        <f t="shared" si="5"/>
        <v>0</v>
      </c>
      <c r="M55">
        <v>0.53</v>
      </c>
      <c r="N55" s="7">
        <f>_xll.acq_special_invnormalcdf(M55)</f>
        <v>7.5269862099829901E-2</v>
      </c>
      <c r="O55">
        <f t="shared" si="8"/>
        <v>7.5269862099829901E-2</v>
      </c>
      <c r="P55" s="11">
        <f t="shared" si="9"/>
        <v>0</v>
      </c>
    </row>
    <row r="56" spans="2:16" x14ac:dyDescent="0.25">
      <c r="B56">
        <v>-2.30000000000001</v>
      </c>
      <c r="C56" s="7">
        <f>_xll.acq_special_erf(B56)</f>
        <v>-0.99885682340264337</v>
      </c>
      <c r="D56" s="7">
        <f t="shared" si="1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2"/>
        <v>1.9988568234026434</v>
      </c>
      <c r="H56" s="11">
        <f t="shared" si="3"/>
        <v>0</v>
      </c>
      <c r="I56" s="7">
        <f>_xll.acq_special_normalcdf(B56)</f>
        <v>1.0724110021675514E-2</v>
      </c>
      <c r="J56" s="7">
        <f t="shared" si="4"/>
        <v>1.0724110021675514E-2</v>
      </c>
      <c r="K56" s="11">
        <f t="shared" si="5"/>
        <v>0</v>
      </c>
      <c r="M56">
        <v>0.54</v>
      </c>
      <c r="N56" s="7">
        <f>_xll.acq_special_invnormalcdf(M56)</f>
        <v>0.10043372051146988</v>
      </c>
      <c r="O56">
        <f t="shared" si="8"/>
        <v>0.10043372051146988</v>
      </c>
      <c r="P56" s="11">
        <f t="shared" si="9"/>
        <v>0</v>
      </c>
    </row>
    <row r="57" spans="2:16" x14ac:dyDescent="0.25">
      <c r="B57">
        <v>-2.2500000000000102</v>
      </c>
      <c r="C57" s="7">
        <f>_xll.acq_special_erf(B57)</f>
        <v>-0.99853728341331882</v>
      </c>
      <c r="D57" s="7">
        <f t="shared" si="1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2"/>
        <v>1.9985372834133188</v>
      </c>
      <c r="H57" s="11">
        <f t="shared" si="3"/>
        <v>0</v>
      </c>
      <c r="I57" s="7">
        <f>_xll.acq_special_normalcdf(B57)</f>
        <v>1.2224472655044376E-2</v>
      </c>
      <c r="J57" s="7">
        <f t="shared" si="4"/>
        <v>1.2224472655044376E-2</v>
      </c>
      <c r="K57" s="11">
        <f t="shared" si="5"/>
        <v>0</v>
      </c>
      <c r="M57">
        <v>0.55000000000000004</v>
      </c>
      <c r="N57" s="7">
        <f>_xll.acq_special_invnormalcdf(M57)</f>
        <v>0.12566134685507416</v>
      </c>
      <c r="O57">
        <f t="shared" si="8"/>
        <v>0.12566134685507416</v>
      </c>
      <c r="P57" s="11">
        <f t="shared" si="9"/>
        <v>0</v>
      </c>
    </row>
    <row r="58" spans="2:16" x14ac:dyDescent="0.25">
      <c r="B58">
        <v>-2.2000000000000099</v>
      </c>
      <c r="C58" s="7">
        <f>_xll.acq_special_erf(B58)</f>
        <v>-0.99813715370201828</v>
      </c>
      <c r="D58" s="7">
        <f t="shared" si="1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2"/>
        <v>1.9981371537020183</v>
      </c>
      <c r="H58" s="11">
        <f t="shared" si="3"/>
        <v>0</v>
      </c>
      <c r="I58" s="7">
        <f>_xll.acq_special_normalcdf(B58)</f>
        <v>1.3903447513498259E-2</v>
      </c>
      <c r="J58" s="7">
        <f t="shared" si="4"/>
        <v>1.3903447513498252E-2</v>
      </c>
      <c r="K58" s="11">
        <f t="shared" si="5"/>
        <v>6.9388939039072284E-18</v>
      </c>
      <c r="M58">
        <v>0.56000000000000005</v>
      </c>
      <c r="N58" s="7">
        <f>_xll.acq_special_invnormalcdf(M58)</f>
        <v>0.15096921549677739</v>
      </c>
      <c r="O58">
        <f t="shared" si="8"/>
        <v>0.15096921549677741</v>
      </c>
      <c r="P58" s="11">
        <f t="shared" si="9"/>
        <v>2.7755575615628914E-17</v>
      </c>
    </row>
    <row r="59" spans="2:16" x14ac:dyDescent="0.25">
      <c r="B59">
        <v>-2.1500000000000101</v>
      </c>
      <c r="C59" s="7">
        <f>_xll.acq_special_erf(B59)</f>
        <v>-0.99763860703732554</v>
      </c>
      <c r="D59" s="7">
        <f t="shared" si="1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2"/>
        <v>1.9976386070373255</v>
      </c>
      <c r="H59" s="11">
        <f t="shared" si="3"/>
        <v>0</v>
      </c>
      <c r="I59" s="7">
        <f>_xll.acq_special_normalcdf(B59)</f>
        <v>1.5777607391090107E-2</v>
      </c>
      <c r="J59" s="7">
        <f t="shared" si="4"/>
        <v>1.5777607391090104E-2</v>
      </c>
      <c r="K59" s="11">
        <f t="shared" si="5"/>
        <v>3.4694469519536142E-18</v>
      </c>
      <c r="M59">
        <v>0.56999999999999995</v>
      </c>
      <c r="N59" s="7">
        <f>_xll.acq_special_invnormalcdf(M59)</f>
        <v>0.17637416478086121</v>
      </c>
      <c r="O59">
        <f t="shared" si="8"/>
        <v>0.17637416478086121</v>
      </c>
      <c r="P59" s="11">
        <f t="shared" si="9"/>
        <v>0</v>
      </c>
    </row>
    <row r="60" spans="2:16" x14ac:dyDescent="0.25">
      <c r="B60">
        <v>-2.1000000000000099</v>
      </c>
      <c r="C60" s="7">
        <f>_xll.acq_special_erf(B60)</f>
        <v>-0.99702053334366725</v>
      </c>
      <c r="D60" s="7">
        <f t="shared" si="1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2"/>
        <v>1.9970205333436672</v>
      </c>
      <c r="H60" s="11">
        <f t="shared" si="3"/>
        <v>0</v>
      </c>
      <c r="I60" s="7">
        <f>_xll.acq_special_normalcdf(B60)</f>
        <v>1.7864420562816119E-2</v>
      </c>
      <c r="J60" s="7">
        <f t="shared" si="4"/>
        <v>1.7864420562816112E-2</v>
      </c>
      <c r="K60" s="11">
        <f t="shared" si="5"/>
        <v>6.9388939039072284E-18</v>
      </c>
      <c r="M60">
        <v>0.57999999999999996</v>
      </c>
      <c r="N60" s="7">
        <f>_xll.acq_special_invnormalcdf(M60)</f>
        <v>0.20189347914185074</v>
      </c>
      <c r="O60">
        <f t="shared" si="8"/>
        <v>0.20189347914185077</v>
      </c>
      <c r="P60" s="11">
        <f t="shared" si="9"/>
        <v>2.7755575615628914E-17</v>
      </c>
    </row>
    <row r="61" spans="2:16" x14ac:dyDescent="0.25">
      <c r="B61">
        <v>-2.05000000000001</v>
      </c>
      <c r="C61" s="7">
        <f>_xll.acq_special_erf(B61)</f>
        <v>-0.99625809604445714</v>
      </c>
      <c r="D61" s="7">
        <f t="shared" si="1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2"/>
        <v>1.9962580960444571</v>
      </c>
      <c r="H61" s="11">
        <f t="shared" si="3"/>
        <v>0</v>
      </c>
      <c r="I61" s="7">
        <f>_xll.acq_special_normalcdf(B61)</f>
        <v>2.0182215405703908E-2</v>
      </c>
      <c r="J61" s="7">
        <f t="shared" si="4"/>
        <v>2.0182215405703908E-2</v>
      </c>
      <c r="K61" s="11">
        <f t="shared" si="5"/>
        <v>0</v>
      </c>
      <c r="M61">
        <v>0.59</v>
      </c>
      <c r="N61" s="7">
        <f>_xll.acq_special_invnormalcdf(M61)</f>
        <v>0.22754497664114934</v>
      </c>
      <c r="O61">
        <f t="shared" si="8"/>
        <v>0.22754497664114934</v>
      </c>
      <c r="P61" s="11">
        <f t="shared" si="9"/>
        <v>0</v>
      </c>
    </row>
    <row r="62" spans="2:16" x14ac:dyDescent="0.25">
      <c r="B62">
        <v>-2.0000000000000102</v>
      </c>
      <c r="C62" s="7">
        <f>_xll.acq_special_erf(B62)</f>
        <v>-0.99532226501895305</v>
      </c>
      <c r="D62" s="7">
        <f t="shared" si="1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2"/>
        <v>1.995322265018953</v>
      </c>
      <c r="H62" s="11">
        <f t="shared" si="3"/>
        <v>0</v>
      </c>
      <c r="I62" s="7">
        <f>_xll.acq_special_normalcdf(B62)</f>
        <v>2.275013194817864E-2</v>
      </c>
      <c r="J62" s="7">
        <f t="shared" si="4"/>
        <v>2.2750131948178647E-2</v>
      </c>
      <c r="K62" s="11">
        <f t="shared" si="5"/>
        <v>6.9388939039072284E-18</v>
      </c>
      <c r="M62">
        <v>0.6</v>
      </c>
      <c r="N62" s="7">
        <f>_xll.acq_special_invnormalcdf(M62)</f>
        <v>0.25334710313579972</v>
      </c>
      <c r="O62">
        <f t="shared" si="8"/>
        <v>0.25334710313579978</v>
      </c>
      <c r="P62" s="11">
        <f t="shared" si="9"/>
        <v>5.5511151231257827E-17</v>
      </c>
    </row>
    <row r="63" spans="2:16" x14ac:dyDescent="0.25">
      <c r="B63">
        <v>-1.9500000000000099</v>
      </c>
      <c r="C63" s="7">
        <f>_xll.acq_special_erf(B63)</f>
        <v>-0.99417933359218935</v>
      </c>
      <c r="D63" s="7">
        <f t="shared" si="1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2"/>
        <v>1.9941793335921894</v>
      </c>
      <c r="H63" s="11">
        <f t="shared" si="3"/>
        <v>0</v>
      </c>
      <c r="I63" s="7">
        <f>_xll.acq_special_normalcdf(B63)</f>
        <v>2.5588059521638031E-2</v>
      </c>
      <c r="J63" s="7">
        <f t="shared" si="4"/>
        <v>2.5588059521638038E-2</v>
      </c>
      <c r="K63" s="11">
        <f t="shared" si="5"/>
        <v>6.9388939039072284E-18</v>
      </c>
      <c r="M63">
        <v>0.61</v>
      </c>
      <c r="N63" s="7">
        <f>_xll.acq_special_invnormalcdf(M63)</f>
        <v>0.27931903444745415</v>
      </c>
      <c r="O63">
        <f t="shared" si="8"/>
        <v>0.27931903444745415</v>
      </c>
      <c r="P63" s="11">
        <f t="shared" si="9"/>
        <v>0</v>
      </c>
    </row>
    <row r="64" spans="2:16" x14ac:dyDescent="0.25">
      <c r="B64">
        <v>-1.9000000000000099</v>
      </c>
      <c r="C64" s="7">
        <f>_xll.acq_special_erf(B64)</f>
        <v>-0.99279042923525784</v>
      </c>
      <c r="D64" s="7">
        <f t="shared" si="1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2"/>
        <v>1.9927904292352578</v>
      </c>
      <c r="H64" s="11">
        <f t="shared" si="3"/>
        <v>0</v>
      </c>
      <c r="I64" s="7">
        <f>_xll.acq_special_normalcdf(B64)</f>
        <v>2.8716559816001137E-2</v>
      </c>
      <c r="J64" s="7">
        <f t="shared" si="4"/>
        <v>2.8716559816001137E-2</v>
      </c>
      <c r="K64" s="11">
        <f t="shared" si="5"/>
        <v>0</v>
      </c>
      <c r="M64">
        <v>0.62</v>
      </c>
      <c r="N64" s="7">
        <f>_xll.acq_special_invnormalcdf(M64)</f>
        <v>0.30548078809939738</v>
      </c>
      <c r="O64">
        <f t="shared" si="8"/>
        <v>0.30548078809939727</v>
      </c>
      <c r="P64" s="11">
        <f t="shared" si="9"/>
        <v>1.1102230246251565E-16</v>
      </c>
    </row>
    <row r="65" spans="2:16" x14ac:dyDescent="0.25">
      <c r="B65">
        <v>-1.8500000000000101</v>
      </c>
      <c r="C65" s="7">
        <f>_xll.acq_special_erf(B65)</f>
        <v>-0.99111103005608614</v>
      </c>
      <c r="D65" s="7">
        <f t="shared" si="1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2"/>
        <v>1.9911110300560861</v>
      </c>
      <c r="H65" s="11">
        <f t="shared" si="3"/>
        <v>0</v>
      </c>
      <c r="I65" s="7">
        <f>_xll.acq_special_normalcdf(B65)</f>
        <v>3.2156774795612977E-2</v>
      </c>
      <c r="J65" s="7">
        <f t="shared" si="4"/>
        <v>3.2156774795612984E-2</v>
      </c>
      <c r="K65" s="11">
        <f t="shared" si="5"/>
        <v>6.9388939039072284E-18</v>
      </c>
      <c r="M65">
        <v>0.63</v>
      </c>
      <c r="N65" s="7">
        <f>_xll.acq_special_invnormalcdf(M65)</f>
        <v>0.33185334643681663</v>
      </c>
      <c r="O65">
        <f t="shared" si="8"/>
        <v>0.33185334643681658</v>
      </c>
      <c r="P65" s="11">
        <f t="shared" si="9"/>
        <v>5.5511151231257827E-17</v>
      </c>
    </row>
    <row r="66" spans="2:16" x14ac:dyDescent="0.25">
      <c r="B66">
        <v>-1.80000000000001</v>
      </c>
      <c r="C66" s="7">
        <f>_xll.acq_special_erf(B66)</f>
        <v>-0.9890905016357312</v>
      </c>
      <c r="D66" s="7">
        <f t="shared" si="1"/>
        <v>-0.9890905016357312</v>
      </c>
      <c r="E66">
        <f t="shared" ref="E66:E129" si="10">ABS(C66-D66)</f>
        <v>0</v>
      </c>
      <c r="F66" s="7">
        <f>_xll.acq_special_erfc(B66)</f>
        <v>1.9890905016357312</v>
      </c>
      <c r="G66" s="7">
        <f t="shared" si="2"/>
        <v>1.9890905016357312</v>
      </c>
      <c r="H66" s="11">
        <f t="shared" si="3"/>
        <v>0</v>
      </c>
      <c r="I66" s="7">
        <f>_xll.acq_special_normalcdf(B66)</f>
        <v>3.5930319112924998E-2</v>
      </c>
      <c r="J66" s="7">
        <f t="shared" si="4"/>
        <v>3.5930319112924998E-2</v>
      </c>
      <c r="K66" s="11">
        <f t="shared" si="5"/>
        <v>0</v>
      </c>
      <c r="M66">
        <v>0.64</v>
      </c>
      <c r="N66" s="7">
        <f>_xll.acq_special_invnormalcdf(M66)</f>
        <v>0.35845879325119379</v>
      </c>
      <c r="O66">
        <f t="shared" si="8"/>
        <v>0.35845879325119384</v>
      </c>
      <c r="P66" s="11">
        <f t="shared" si="9"/>
        <v>5.5511151231257827E-17</v>
      </c>
    </row>
    <row r="67" spans="2:16" x14ac:dyDescent="0.25">
      <c r="B67">
        <v>-1.75000000000001</v>
      </c>
      <c r="C67" s="7">
        <f>_xll.acq_special_erf(B67)</f>
        <v>-0.98667167121918298</v>
      </c>
      <c r="D67" s="7">
        <f t="shared" ref="D67:D130" si="11">_xlfn.ERF.PRECISE(B67)</f>
        <v>-0.98667167121918298</v>
      </c>
      <c r="E67">
        <f t="shared" si="10"/>
        <v>0</v>
      </c>
      <c r="F67" s="7">
        <f>_xll.acq_special_erfc(B67)</f>
        <v>1.986671671219183</v>
      </c>
      <c r="G67" s="7">
        <f t="shared" ref="G67:G130" si="12">_xlfn.ERFC.PRECISE(B67)</f>
        <v>1.986671671219183</v>
      </c>
      <c r="H67" s="11">
        <f t="shared" ref="H67:H130" si="13">ABS(F67-G67)</f>
        <v>0</v>
      </c>
      <c r="I67" s="7">
        <f>_xll.acq_special_normalcdf(B67)</f>
        <v>4.0059156863816218E-2</v>
      </c>
      <c r="J67" s="7">
        <f t="shared" ref="J67:J130" si="14">_xlfn.NORM.S.DIST(B67,TRUE)</f>
        <v>4.0059156863816225E-2</v>
      </c>
      <c r="K67" s="11">
        <f t="shared" ref="K67:K130" si="15">ABS(I67-J67)</f>
        <v>6.9388939039072284E-18</v>
      </c>
      <c r="M67">
        <v>0.65</v>
      </c>
      <c r="N67" s="7">
        <f>_xll.acq_special_invnormalcdf(M67)</f>
        <v>0.38532046640756773</v>
      </c>
      <c r="O67">
        <f t="shared" si="8"/>
        <v>0.38532046640756784</v>
      </c>
      <c r="P67" s="11">
        <f t="shared" si="9"/>
        <v>1.1102230246251565E-16</v>
      </c>
    </row>
    <row r="68" spans="2:16" x14ac:dyDescent="0.25">
      <c r="B68">
        <v>-1.7000000000000099</v>
      </c>
      <c r="C68" s="7">
        <f>_xll.acq_special_erf(B68)</f>
        <v>-0.9837904585907753</v>
      </c>
      <c r="D68" s="7">
        <f t="shared" si="11"/>
        <v>-0.98379045859077519</v>
      </c>
      <c r="E68">
        <f t="shared" si="10"/>
        <v>1.1102230246251565E-16</v>
      </c>
      <c r="F68" s="7">
        <f>_xll.acq_special_erfc(B68)</f>
        <v>1.9837904585907753</v>
      </c>
      <c r="G68" s="7">
        <f t="shared" si="12"/>
        <v>1.9837904585907753</v>
      </c>
      <c r="H68" s="11">
        <f t="shared" si="13"/>
        <v>0</v>
      </c>
      <c r="I68" s="7">
        <f>_xll.acq_special_normalcdf(B68)</f>
        <v>4.456546275854209E-2</v>
      </c>
      <c r="J68" s="7">
        <f t="shared" si="14"/>
        <v>4.4565462758542097E-2</v>
      </c>
      <c r="K68" s="11">
        <f t="shared" si="15"/>
        <v>6.9388939039072284E-18</v>
      </c>
      <c r="M68">
        <v>0.66</v>
      </c>
      <c r="N68" s="7">
        <f>_xll.acq_special_invnormalcdf(M68)</f>
        <v>0.41246312944140495</v>
      </c>
      <c r="O68">
        <f t="shared" si="8"/>
        <v>0.41246312944140473</v>
      </c>
      <c r="P68" s="11">
        <f t="shared" si="9"/>
        <v>2.2204460492503131E-16</v>
      </c>
    </row>
    <row r="69" spans="2:16" x14ac:dyDescent="0.25">
      <c r="B69">
        <v>-1.6500000000000099</v>
      </c>
      <c r="C69" s="7">
        <f>_xll.acq_special_erf(B69)</f>
        <v>-0.98037558502336108</v>
      </c>
      <c r="D69" s="7">
        <f t="shared" si="11"/>
        <v>-0.98037558502336097</v>
      </c>
      <c r="E69">
        <f t="shared" si="10"/>
        <v>1.1102230246251565E-16</v>
      </c>
      <c r="F69" s="7">
        <f>_xll.acq_special_erfc(B69)</f>
        <v>1.9803755850233611</v>
      </c>
      <c r="G69" s="7">
        <f t="shared" si="12"/>
        <v>1.9803755850233611</v>
      </c>
      <c r="H69" s="11">
        <f t="shared" si="13"/>
        <v>0</v>
      </c>
      <c r="I69" s="7">
        <f>_xll.acq_special_normalcdf(B69)</f>
        <v>4.947146803364709E-2</v>
      </c>
      <c r="J69" s="7">
        <f t="shared" si="14"/>
        <v>4.947146803364709E-2</v>
      </c>
      <c r="K69" s="11">
        <f t="shared" si="15"/>
        <v>0</v>
      </c>
      <c r="M69">
        <v>0.67</v>
      </c>
      <c r="N69" s="7">
        <f>_xll.acq_special_invnormalcdf(M69)</f>
        <v>0.43991316567323391</v>
      </c>
      <c r="O69">
        <f t="shared" si="8"/>
        <v>0.43991316567323396</v>
      </c>
      <c r="P69" s="11">
        <f t="shared" si="9"/>
        <v>5.5511151231257827E-17</v>
      </c>
    </row>
    <row r="70" spans="2:16" x14ac:dyDescent="0.25">
      <c r="B70">
        <v>-1.6000000000000101</v>
      </c>
      <c r="C70" s="7">
        <f>_xll.acq_special_erf(B70)</f>
        <v>-0.97634838334464491</v>
      </c>
      <c r="D70" s="7">
        <f t="shared" si="11"/>
        <v>-0.97634838334464491</v>
      </c>
      <c r="E70">
        <f t="shared" si="10"/>
        <v>0</v>
      </c>
      <c r="F70" s="7">
        <f>_xll.acq_special_erfc(B70)</f>
        <v>1.9763483833446449</v>
      </c>
      <c r="G70" s="7">
        <f t="shared" si="12"/>
        <v>1.9763483833446449</v>
      </c>
      <c r="H70" s="11">
        <f t="shared" si="13"/>
        <v>0</v>
      </c>
      <c r="I70" s="7">
        <f>_xll.acq_special_normalcdf(B70)</f>
        <v>5.4799291699556843E-2</v>
      </c>
      <c r="J70" s="7">
        <f t="shared" si="14"/>
        <v>5.479929169955685E-2</v>
      </c>
      <c r="K70" s="11">
        <f t="shared" si="15"/>
        <v>6.9388939039072284E-18</v>
      </c>
      <c r="M70">
        <v>0.68</v>
      </c>
      <c r="N70" s="7">
        <f>_xll.acq_special_invnormalcdf(M70)</f>
        <v>0.4676987991145084</v>
      </c>
      <c r="O70">
        <f t="shared" si="8"/>
        <v>0.46769879911450835</v>
      </c>
      <c r="P70" s="11">
        <f t="shared" si="9"/>
        <v>5.5511151231257827E-17</v>
      </c>
    </row>
    <row r="71" spans="2:16" x14ac:dyDescent="0.25">
      <c r="B71">
        <v>-1.55000000000001</v>
      </c>
      <c r="C71" s="7">
        <f>_xll.acq_special_erf(B71)</f>
        <v>-0.97162273326201354</v>
      </c>
      <c r="D71" s="7">
        <f t="shared" si="11"/>
        <v>-0.97162273326201354</v>
      </c>
      <c r="E71">
        <f t="shared" si="10"/>
        <v>0</v>
      </c>
      <c r="F71" s="7">
        <f>_xll.acq_special_erfc(B71)</f>
        <v>1.9716227332620135</v>
      </c>
      <c r="G71" s="7">
        <f t="shared" si="12"/>
        <v>1.9716227332620135</v>
      </c>
      <c r="H71" s="11">
        <f t="shared" si="13"/>
        <v>0</v>
      </c>
      <c r="I71" s="7">
        <f>_xll.acq_special_normalcdf(B71)</f>
        <v>6.0570758002057801E-2</v>
      </c>
      <c r="J71" s="7">
        <f t="shared" si="14"/>
        <v>6.0570758002057801E-2</v>
      </c>
      <c r="K71" s="11">
        <f t="shared" si="15"/>
        <v>0</v>
      </c>
      <c r="M71">
        <v>0.69</v>
      </c>
      <c r="N71" s="7">
        <f>_xll.acq_special_invnormalcdf(M71)</f>
        <v>0.4958503473474532</v>
      </c>
      <c r="O71">
        <f t="shared" si="8"/>
        <v>0.49585034734745331</v>
      </c>
      <c r="P71" s="11">
        <f t="shared" si="9"/>
        <v>1.1102230246251565E-16</v>
      </c>
    </row>
    <row r="72" spans="2:16" x14ac:dyDescent="0.25">
      <c r="B72">
        <v>-1.50000000000001</v>
      </c>
      <c r="C72" s="7">
        <f>_xll.acq_special_erf(B72)</f>
        <v>-0.96610514647531187</v>
      </c>
      <c r="D72" s="7">
        <f t="shared" si="11"/>
        <v>-0.96610514647531187</v>
      </c>
      <c r="E72">
        <f t="shared" si="10"/>
        <v>0</v>
      </c>
      <c r="F72" s="7">
        <f>_xll.acq_special_erfc(B72)</f>
        <v>1.9661051464753119</v>
      </c>
      <c r="G72" s="7">
        <f t="shared" si="12"/>
        <v>1.9661051464753119</v>
      </c>
      <c r="H72" s="11">
        <f t="shared" si="13"/>
        <v>0</v>
      </c>
      <c r="I72" s="7">
        <f>_xll.acq_special_normalcdf(B72)</f>
        <v>6.6807201268856753E-2</v>
      </c>
      <c r="J72" s="7">
        <f t="shared" si="14"/>
        <v>6.6807201268856753E-2</v>
      </c>
      <c r="K72" s="11">
        <f t="shared" si="15"/>
        <v>0</v>
      </c>
      <c r="M72">
        <v>0.7</v>
      </c>
      <c r="N72" s="7">
        <f>_xll.acq_special_invnormalcdf(M72)</f>
        <v>0.52440051270804067</v>
      </c>
      <c r="O72">
        <f t="shared" si="8"/>
        <v>0.52440051270804078</v>
      </c>
      <c r="P72" s="11">
        <f t="shared" si="9"/>
        <v>1.1102230246251565E-16</v>
      </c>
    </row>
    <row r="73" spans="2:16" x14ac:dyDescent="0.25">
      <c r="B73">
        <v>-1.4500000000000099</v>
      </c>
      <c r="C73" s="7">
        <f>_xll.acq_special_erf(B73)</f>
        <v>-0.95969502563746056</v>
      </c>
      <c r="D73" s="7">
        <f t="shared" si="11"/>
        <v>-0.95969502563746056</v>
      </c>
      <c r="E73">
        <f t="shared" si="10"/>
        <v>0</v>
      </c>
      <c r="F73" s="7">
        <f>_xll.acq_special_erfc(B73)</f>
        <v>1.9596950256374606</v>
      </c>
      <c r="G73" s="7">
        <f t="shared" si="12"/>
        <v>1.9596950256374606</v>
      </c>
      <c r="H73" s="11">
        <f t="shared" si="13"/>
        <v>0</v>
      </c>
      <c r="I73" s="7">
        <f>_xll.acq_special_normalcdf(B73)</f>
        <v>7.3529259609646971E-2</v>
      </c>
      <c r="J73" s="7">
        <f t="shared" si="14"/>
        <v>7.3529259609646958E-2</v>
      </c>
      <c r="K73" s="11">
        <f t="shared" si="15"/>
        <v>1.3877787807814457E-17</v>
      </c>
      <c r="M73">
        <v>0.71</v>
      </c>
      <c r="N73" s="7">
        <f>_xll.acq_special_invnormalcdf(M73)</f>
        <v>0.5533847195556727</v>
      </c>
      <c r="O73">
        <f t="shared" si="8"/>
        <v>0.5533847195556727</v>
      </c>
      <c r="P73" s="11">
        <f t="shared" si="9"/>
        <v>0</v>
      </c>
    </row>
    <row r="74" spans="2:16" x14ac:dyDescent="0.25">
      <c r="B74">
        <v>-1.4000000000000099</v>
      </c>
      <c r="C74" s="7">
        <f>_xll.acq_special_erf(B74)</f>
        <v>-0.95228511976265029</v>
      </c>
      <c r="D74" s="7">
        <f t="shared" si="11"/>
        <v>-0.9522851197626504</v>
      </c>
      <c r="E74">
        <f t="shared" si="10"/>
        <v>1.1102230246251565E-16</v>
      </c>
      <c r="F74" s="7">
        <f>_xll.acq_special_erfc(B74)</f>
        <v>1.9522851197626503</v>
      </c>
      <c r="G74" s="7">
        <f t="shared" si="12"/>
        <v>1.9522851197626503</v>
      </c>
      <c r="H74" s="11">
        <f t="shared" si="13"/>
        <v>0</v>
      </c>
      <c r="I74" s="7">
        <f>_xll.acq_special_normalcdf(B74)</f>
        <v>8.0756659233769623E-2</v>
      </c>
      <c r="J74" s="7">
        <f t="shared" si="14"/>
        <v>8.0756659233769554E-2</v>
      </c>
      <c r="K74" s="11">
        <f t="shared" si="15"/>
        <v>6.9388939039072284E-17</v>
      </c>
      <c r="M74">
        <v>0.72</v>
      </c>
      <c r="N74" s="7">
        <f>_xll.acq_special_invnormalcdf(M74)</f>
        <v>0.5828415072712162</v>
      </c>
      <c r="O74">
        <f t="shared" si="8"/>
        <v>0.58284150727121631</v>
      </c>
      <c r="P74" s="11">
        <f t="shared" si="9"/>
        <v>1.1102230246251565E-16</v>
      </c>
    </row>
    <row r="75" spans="2:16" x14ac:dyDescent="0.25">
      <c r="B75">
        <v>-1.3500000000000101</v>
      </c>
      <c r="C75" s="7">
        <f>_xll.acq_special_erf(B75)</f>
        <v>-0.94376219612272583</v>
      </c>
      <c r="D75" s="7">
        <f t="shared" si="11"/>
        <v>-0.94376219612272594</v>
      </c>
      <c r="E75">
        <f t="shared" si="10"/>
        <v>1.1102230246251565E-16</v>
      </c>
      <c r="F75" s="7">
        <f>_xll.acq_special_erfc(B75)</f>
        <v>1.9437621961227258</v>
      </c>
      <c r="G75" s="7">
        <f t="shared" si="12"/>
        <v>1.9437621961227258</v>
      </c>
      <c r="H75" s="11">
        <f t="shared" si="13"/>
        <v>0</v>
      </c>
      <c r="I75" s="7">
        <f>_xll.acq_special_normalcdf(B75)</f>
        <v>8.8507991437400457E-2</v>
      </c>
      <c r="J75" s="7">
        <f t="shared" si="14"/>
        <v>8.8507991437400374E-2</v>
      </c>
      <c r="K75" s="11">
        <f t="shared" si="15"/>
        <v>8.3266726846886741E-17</v>
      </c>
      <c r="M75">
        <v>0.73</v>
      </c>
      <c r="N75" s="7">
        <f>_xll.acq_special_invnormalcdf(M75)</f>
        <v>0.61281299101662723</v>
      </c>
      <c r="O75">
        <f t="shared" si="8"/>
        <v>0.61281299101662734</v>
      </c>
      <c r="P75" s="11">
        <f t="shared" si="9"/>
        <v>1.1102230246251565E-16</v>
      </c>
    </row>
    <row r="76" spans="2:16" x14ac:dyDescent="0.25">
      <c r="B76">
        <v>-1.30000000000001</v>
      </c>
      <c r="C76" s="7">
        <f>_xll.acq_special_erf(B76)</f>
        <v>-0.93400794494065442</v>
      </c>
      <c r="D76" s="7">
        <f t="shared" si="11"/>
        <v>-0.93400794494065453</v>
      </c>
      <c r="E76">
        <f t="shared" si="10"/>
        <v>1.1102230246251565E-16</v>
      </c>
      <c r="F76" s="7">
        <f>_xll.acq_special_erfc(B76)</f>
        <v>1.9340079449406544</v>
      </c>
      <c r="G76" s="7">
        <f t="shared" si="12"/>
        <v>1.9340079449406544</v>
      </c>
      <c r="H76" s="11">
        <f t="shared" si="13"/>
        <v>0</v>
      </c>
      <c r="I76" s="7">
        <f>_xll.acq_special_normalcdf(B76)</f>
        <v>9.6800484585608582E-2</v>
      </c>
      <c r="J76" s="7">
        <f t="shared" si="14"/>
        <v>9.6800484585608582E-2</v>
      </c>
      <c r="K76" s="11">
        <f t="shared" si="15"/>
        <v>0</v>
      </c>
      <c r="M76">
        <v>0.74</v>
      </c>
      <c r="N76" s="7">
        <f>_xll.acq_special_invnormalcdf(M76)</f>
        <v>0.64334540539291696</v>
      </c>
      <c r="O76">
        <f t="shared" si="8"/>
        <v>0.64334540539291696</v>
      </c>
      <c r="P76" s="11">
        <f t="shared" si="9"/>
        <v>0</v>
      </c>
    </row>
    <row r="77" spans="2:16" x14ac:dyDescent="0.25">
      <c r="B77">
        <v>-1.25000000000001</v>
      </c>
      <c r="C77" s="7">
        <f>_xll.acq_special_erf(B77)</f>
        <v>-0.92290012825646062</v>
      </c>
      <c r="D77" s="7">
        <f t="shared" si="11"/>
        <v>-0.92290012825646062</v>
      </c>
      <c r="E77">
        <f t="shared" si="10"/>
        <v>0</v>
      </c>
      <c r="F77" s="7">
        <f>_xll.acq_special_erfc(B77)</f>
        <v>1.9229001282564606</v>
      </c>
      <c r="G77" s="7">
        <f t="shared" si="12"/>
        <v>1.9229001282564606</v>
      </c>
      <c r="H77" s="11">
        <f t="shared" si="13"/>
        <v>0</v>
      </c>
      <c r="I77" s="7">
        <f>_xll.acq_special_normalcdf(B77)</f>
        <v>0.10564977366685341</v>
      </c>
      <c r="J77" s="7">
        <f t="shared" si="14"/>
        <v>0.10564977366685342</v>
      </c>
      <c r="K77" s="11">
        <f t="shared" si="15"/>
        <v>1.3877787807814457E-17</v>
      </c>
      <c r="M77">
        <v>0.75</v>
      </c>
      <c r="N77" s="7">
        <f>_xll.acq_special_invnormalcdf(M77)</f>
        <v>0.67448975019608171</v>
      </c>
      <c r="O77">
        <f t="shared" si="8"/>
        <v>0.67448975019608193</v>
      </c>
      <c r="P77" s="11">
        <f t="shared" si="9"/>
        <v>2.2204460492503131E-16</v>
      </c>
    </row>
    <row r="78" spans="2:16" x14ac:dyDescent="0.25">
      <c r="B78">
        <v>-1.2000000000000099</v>
      </c>
      <c r="C78" s="7">
        <f>_xll.acq_special_erf(B78)</f>
        <v>-0.91031397822963811</v>
      </c>
      <c r="D78" s="7">
        <f t="shared" si="11"/>
        <v>-0.91031397822963811</v>
      </c>
      <c r="E78">
        <f t="shared" si="10"/>
        <v>0</v>
      </c>
      <c r="F78" s="7">
        <f>_xll.acq_special_erfc(B78)</f>
        <v>1.9103139782296381</v>
      </c>
      <c r="G78" s="7">
        <f t="shared" si="12"/>
        <v>1.9103139782296381</v>
      </c>
      <c r="H78" s="11">
        <f t="shared" si="13"/>
        <v>0</v>
      </c>
      <c r="I78" s="7">
        <f>_xll.acq_special_normalcdf(B78)</f>
        <v>0.11506967022170633</v>
      </c>
      <c r="J78" s="7">
        <f t="shared" si="14"/>
        <v>0.11506967022170632</v>
      </c>
      <c r="K78" s="11">
        <f t="shared" si="15"/>
        <v>1.3877787807814457E-17</v>
      </c>
      <c r="M78">
        <v>0.76</v>
      </c>
      <c r="N78" s="7">
        <f>_xll.acq_special_invnormalcdf(M78)</f>
        <v>0.70630256284008741</v>
      </c>
      <c r="O78">
        <f t="shared" si="8"/>
        <v>0.7063025628400873</v>
      </c>
      <c r="P78" s="11">
        <f t="shared" si="9"/>
        <v>1.1102230246251565E-16</v>
      </c>
    </row>
    <row r="79" spans="2:16" x14ac:dyDescent="0.25">
      <c r="B79">
        <v>-1.1500000000000099</v>
      </c>
      <c r="C79" s="7">
        <f>_xll.acq_special_erf(B79)</f>
        <v>-0.89612384293691805</v>
      </c>
      <c r="D79" s="7">
        <f t="shared" si="11"/>
        <v>-0.89612384293691805</v>
      </c>
      <c r="E79">
        <f t="shared" si="10"/>
        <v>0</v>
      </c>
      <c r="F79" s="7">
        <f>_xll.acq_special_erfc(B79)</f>
        <v>1.896123842936918</v>
      </c>
      <c r="G79" s="7">
        <f t="shared" si="12"/>
        <v>1.896123842936918</v>
      </c>
      <c r="H79" s="11">
        <f t="shared" si="13"/>
        <v>0</v>
      </c>
      <c r="I79" s="7">
        <f>_xll.acq_special_normalcdf(B79)</f>
        <v>0.12507193563714825</v>
      </c>
      <c r="J79" s="7">
        <f t="shared" si="14"/>
        <v>0.12507193563714819</v>
      </c>
      <c r="K79" s="11">
        <f t="shared" si="15"/>
        <v>5.5511151231257827E-17</v>
      </c>
      <c r="M79">
        <v>0.77</v>
      </c>
      <c r="N79" s="7">
        <f>_xll.acq_special_invnormalcdf(M79)</f>
        <v>0.73884684918521371</v>
      </c>
      <c r="O79">
        <f t="shared" si="8"/>
        <v>0.73884684918521393</v>
      </c>
      <c r="P79" s="11">
        <f t="shared" si="9"/>
        <v>2.2204460492503131E-16</v>
      </c>
    </row>
    <row r="80" spans="2:16" x14ac:dyDescent="0.25">
      <c r="B80">
        <v>-1.1000000000000101</v>
      </c>
      <c r="C80" s="7">
        <f>_xll.acq_special_erf(B80)</f>
        <v>-0.88020506957408506</v>
      </c>
      <c r="D80" s="7">
        <f t="shared" si="11"/>
        <v>-0.88020506957408506</v>
      </c>
      <c r="E80">
        <f t="shared" si="10"/>
        <v>0</v>
      </c>
      <c r="F80" s="7">
        <f>_xll.acq_special_erfc(B80)</f>
        <v>1.8802050695740851</v>
      </c>
      <c r="G80" s="7">
        <f t="shared" si="12"/>
        <v>1.8802050695740851</v>
      </c>
      <c r="H80" s="11">
        <f t="shared" si="13"/>
        <v>0</v>
      </c>
      <c r="I80" s="7">
        <f>_xll.acq_special_normalcdf(B80)</f>
        <v>0.13566606094638051</v>
      </c>
      <c r="J80" s="7">
        <f t="shared" si="14"/>
        <v>0.13566606094638042</v>
      </c>
      <c r="K80" s="11">
        <f t="shared" si="15"/>
        <v>8.3266726846886741E-17</v>
      </c>
      <c r="M80">
        <v>0.78</v>
      </c>
      <c r="N80" s="7">
        <f>_xll.acq_special_invnormalcdf(M80)</f>
        <v>0.77219321418868481</v>
      </c>
      <c r="O80">
        <f t="shared" si="8"/>
        <v>0.77219321418868503</v>
      </c>
      <c r="P80" s="11">
        <f t="shared" si="9"/>
        <v>2.2204460492503131E-16</v>
      </c>
    </row>
    <row r="81" spans="2:16" x14ac:dyDescent="0.25">
      <c r="B81">
        <v>-1.05000000000001</v>
      </c>
      <c r="C81" s="7">
        <f>_xll.acq_special_erf(B81)</f>
        <v>-0.86243610609010046</v>
      </c>
      <c r="D81" s="7">
        <f t="shared" si="11"/>
        <v>-0.86243610609010046</v>
      </c>
      <c r="E81">
        <f t="shared" si="10"/>
        <v>0</v>
      </c>
      <c r="F81" s="7">
        <f>_xll.acq_special_erfc(B81)</f>
        <v>1.8624361060901005</v>
      </c>
      <c r="G81" s="7">
        <f t="shared" si="12"/>
        <v>1.8624361060901005</v>
      </c>
      <c r="H81" s="11">
        <f t="shared" si="13"/>
        <v>0</v>
      </c>
      <c r="I81" s="7">
        <f>_xll.acq_special_normalcdf(B81)</f>
        <v>0.14685905637589358</v>
      </c>
      <c r="J81" s="7">
        <f t="shared" si="14"/>
        <v>0.14685905637589361</v>
      </c>
      <c r="K81" s="11">
        <f t="shared" si="15"/>
        <v>2.7755575615628914E-17</v>
      </c>
      <c r="M81">
        <v>0.79</v>
      </c>
      <c r="N81" s="7">
        <f>_xll.acq_special_invnormalcdf(M81)</f>
        <v>0.80642124701824036</v>
      </c>
      <c r="O81">
        <f t="shared" si="8"/>
        <v>0.80642124701824058</v>
      </c>
      <c r="P81" s="11">
        <f t="shared" si="9"/>
        <v>2.2204460492503131E-16</v>
      </c>
    </row>
    <row r="82" spans="2:16" x14ac:dyDescent="0.25">
      <c r="B82">
        <v>-1.00000000000001</v>
      </c>
      <c r="C82" s="7">
        <f>_xll.acq_special_erf(B82)</f>
        <v>-0.842700792949719</v>
      </c>
      <c r="D82" s="7">
        <f t="shared" si="11"/>
        <v>-0.842700792949719</v>
      </c>
      <c r="E82">
        <f t="shared" si="10"/>
        <v>0</v>
      </c>
      <c r="F82" s="7">
        <f>_xll.acq_special_erfc(B82)</f>
        <v>1.842700792949719</v>
      </c>
      <c r="G82" s="7">
        <f t="shared" si="12"/>
        <v>1.842700792949719</v>
      </c>
      <c r="H82" s="11">
        <f t="shared" si="13"/>
        <v>0</v>
      </c>
      <c r="I82" s="7">
        <f>_xll.acq_special_normalcdf(B82)</f>
        <v>0.15865525393145458</v>
      </c>
      <c r="J82" s="7">
        <f t="shared" si="14"/>
        <v>0.15865525393145458</v>
      </c>
      <c r="K82" s="11">
        <f t="shared" si="15"/>
        <v>0</v>
      </c>
      <c r="M82">
        <v>0.8</v>
      </c>
      <c r="N82" s="7">
        <f>_xll.acq_special_invnormalcdf(M82)</f>
        <v>0.8416212335729143</v>
      </c>
      <c r="O82">
        <f t="shared" si="8"/>
        <v>0.84162123357291474</v>
      </c>
      <c r="P82" s="11">
        <f t="shared" si="9"/>
        <v>4.4408920985006262E-16</v>
      </c>
    </row>
    <row r="83" spans="2:16" x14ac:dyDescent="0.25">
      <c r="B83">
        <v>-0.95000000000000995</v>
      </c>
      <c r="C83" s="7">
        <f>_xll.acq_special_erf(B83)</f>
        <v>-0.82089080727328234</v>
      </c>
      <c r="D83" s="7">
        <f t="shared" si="11"/>
        <v>-0.82089080727328256</v>
      </c>
      <c r="E83">
        <f t="shared" si="10"/>
        <v>2.2204460492503131E-16</v>
      </c>
      <c r="F83" s="7">
        <f>_xll.acq_special_erfc(B83)</f>
        <v>1.8208908072732823</v>
      </c>
      <c r="G83" s="7">
        <f t="shared" si="12"/>
        <v>1.8208908072732826</v>
      </c>
      <c r="H83" s="11">
        <f t="shared" si="13"/>
        <v>2.2204460492503131E-16</v>
      </c>
      <c r="I83" s="7">
        <f>_xll.acq_special_normalcdf(B83)</f>
        <v>0.17105612630847927</v>
      </c>
      <c r="J83" s="7">
        <f t="shared" si="14"/>
        <v>0.17105612630847924</v>
      </c>
      <c r="K83" s="11">
        <f t="shared" si="15"/>
        <v>2.7755575615628914E-17</v>
      </c>
      <c r="M83">
        <v>0.81</v>
      </c>
      <c r="N83" s="7">
        <f>_xll.acq_special_invnormalcdf(M83)</f>
        <v>0.8778962950512289</v>
      </c>
      <c r="O83">
        <f t="shared" si="8"/>
        <v>0.87789629505122857</v>
      </c>
      <c r="P83" s="11">
        <f t="shared" si="9"/>
        <v>3.3306690738754696E-16</v>
      </c>
    </row>
    <row r="84" spans="2:16" x14ac:dyDescent="0.25">
      <c r="B84">
        <v>-0.90000000000001001</v>
      </c>
      <c r="C84" s="7">
        <f>_xll.acq_special_erf(B84)</f>
        <v>-0.79690821242283716</v>
      </c>
      <c r="D84" s="7">
        <f t="shared" si="11"/>
        <v>-0.79690821242283716</v>
      </c>
      <c r="E84">
        <f t="shared" si="10"/>
        <v>0</v>
      </c>
      <c r="F84" s="7">
        <f>_xll.acq_special_erfc(B84)</f>
        <v>1.7969082124228373</v>
      </c>
      <c r="G84" s="7">
        <f t="shared" si="12"/>
        <v>1.796908212422837</v>
      </c>
      <c r="H84" s="11">
        <f t="shared" si="13"/>
        <v>2.2204460492503131E-16</v>
      </c>
      <c r="I84" s="7">
        <f>_xll.acq_special_normalcdf(B84)</f>
        <v>0.18406012534675686</v>
      </c>
      <c r="J84" s="7">
        <f t="shared" si="14"/>
        <v>0.18406012534675684</v>
      </c>
      <c r="K84" s="11">
        <f t="shared" si="15"/>
        <v>2.7755575615628914E-17</v>
      </c>
      <c r="M84">
        <v>0.82</v>
      </c>
      <c r="N84" s="7">
        <f>_xll.acq_special_invnormalcdf(M84)</f>
        <v>0.91536508784281378</v>
      </c>
      <c r="O84">
        <f t="shared" si="8"/>
        <v>0.91536508784281256</v>
      </c>
      <c r="P84" s="11">
        <f t="shared" si="9"/>
        <v>1.2212453270876722E-15</v>
      </c>
    </row>
    <row r="85" spans="2:16" x14ac:dyDescent="0.25">
      <c r="B85">
        <v>-0.85000000000000997</v>
      </c>
      <c r="C85" s="7">
        <f>_xll.acq_special_erf(B85)</f>
        <v>-0.77066805760835788</v>
      </c>
      <c r="D85" s="7">
        <f t="shared" si="11"/>
        <v>-0.77066805760835799</v>
      </c>
      <c r="E85">
        <f t="shared" si="10"/>
        <v>1.1102230246251565E-16</v>
      </c>
      <c r="F85" s="7">
        <f>_xll.acq_special_erfc(B85)</f>
        <v>1.7706680576083578</v>
      </c>
      <c r="G85" s="7">
        <f t="shared" si="12"/>
        <v>1.770668057608358</v>
      </c>
      <c r="H85" s="11">
        <f t="shared" si="13"/>
        <v>2.2204460492503131E-16</v>
      </c>
      <c r="I85" s="7">
        <f>_xll.acq_special_normalcdf(B85)</f>
        <v>0.19766254312268955</v>
      </c>
      <c r="J85" s="7">
        <f t="shared" si="14"/>
        <v>0.1976625431226896</v>
      </c>
      <c r="K85" s="11">
        <f t="shared" si="15"/>
        <v>5.5511151231257827E-17</v>
      </c>
      <c r="M85">
        <v>0.83</v>
      </c>
      <c r="N85" s="7">
        <f>_xll.acq_special_invnormalcdf(M85)</f>
        <v>0.95416525314619427</v>
      </c>
      <c r="O85">
        <f t="shared" si="8"/>
        <v>0.95416525314619549</v>
      </c>
      <c r="P85" s="11">
        <f t="shared" si="9"/>
        <v>1.2212453270876722E-15</v>
      </c>
    </row>
    <row r="86" spans="2:16" x14ac:dyDescent="0.25">
      <c r="B86">
        <v>-0.80000000000001004</v>
      </c>
      <c r="C86" s="7">
        <f>_xll.acq_special_erf(B86)</f>
        <v>-0.7421009647076664</v>
      </c>
      <c r="D86" s="7">
        <f t="shared" si="11"/>
        <v>-0.74210096470766651</v>
      </c>
      <c r="E86">
        <f t="shared" si="10"/>
        <v>1.1102230246251565E-16</v>
      </c>
      <c r="F86" s="7">
        <f>_xll.acq_special_erfc(B86)</f>
        <v>1.7421009647076664</v>
      </c>
      <c r="G86" s="7">
        <f t="shared" si="12"/>
        <v>1.7421009647076664</v>
      </c>
      <c r="H86" s="11">
        <f t="shared" si="13"/>
        <v>0</v>
      </c>
      <c r="I86" s="7">
        <f>_xll.acq_special_normalcdf(B86)</f>
        <v>0.21185539858339381</v>
      </c>
      <c r="J86" s="7">
        <f t="shared" si="14"/>
        <v>0.21185539858339378</v>
      </c>
      <c r="K86" s="11">
        <f t="shared" si="15"/>
        <v>2.7755575615628914E-17</v>
      </c>
      <c r="M86">
        <v>0.84</v>
      </c>
      <c r="N86" s="7">
        <f>_xll.acq_special_invnormalcdf(M86)</f>
        <v>0.99445788320975304</v>
      </c>
      <c r="O86">
        <f t="shared" si="8"/>
        <v>0.9944578832097497</v>
      </c>
      <c r="P86" s="11">
        <f t="shared" si="9"/>
        <v>3.3306690738754696E-15</v>
      </c>
    </row>
    <row r="87" spans="2:16" x14ac:dyDescent="0.25">
      <c r="B87">
        <v>-0.75000000000001998</v>
      </c>
      <c r="C87" s="7">
        <f>_xll.acq_special_erf(B87)</f>
        <v>-0.71115563365352785</v>
      </c>
      <c r="D87" s="7">
        <f t="shared" si="11"/>
        <v>-0.71115563365352807</v>
      </c>
      <c r="E87">
        <f t="shared" si="10"/>
        <v>2.2204460492503131E-16</v>
      </c>
      <c r="F87" s="7">
        <f>_xll.acq_special_erfc(B87)</f>
        <v>1.7111556336535279</v>
      </c>
      <c r="G87" s="7">
        <f t="shared" si="12"/>
        <v>1.7111556336535281</v>
      </c>
      <c r="H87" s="11">
        <f t="shared" si="13"/>
        <v>2.2204460492503131E-16</v>
      </c>
      <c r="I87" s="7">
        <f>_xll.acq_special_normalcdf(B87)</f>
        <v>0.22662735237686216</v>
      </c>
      <c r="J87" s="7">
        <f t="shared" si="14"/>
        <v>0.22662735237686216</v>
      </c>
      <c r="K87" s="11">
        <f t="shared" si="15"/>
        <v>0</v>
      </c>
      <c r="M87">
        <v>0.85</v>
      </c>
      <c r="N87" s="7">
        <f>_xll.acq_special_invnormalcdf(M87)</f>
        <v>1.0364333894937898</v>
      </c>
      <c r="O87">
        <f t="shared" si="8"/>
        <v>1.0364333894937898</v>
      </c>
      <c r="P87" s="11">
        <f t="shared" si="9"/>
        <v>0</v>
      </c>
    </row>
    <row r="88" spans="2:16" x14ac:dyDescent="0.25">
      <c r="B88">
        <v>-0.70000000000002005</v>
      </c>
      <c r="C88" s="7">
        <f>_xll.acq_special_erf(B88)</f>
        <v>-0.67780119383743231</v>
      </c>
      <c r="D88" s="7">
        <f t="shared" si="11"/>
        <v>-0.67780119383743243</v>
      </c>
      <c r="E88">
        <f t="shared" si="10"/>
        <v>1.1102230246251565E-16</v>
      </c>
      <c r="F88" s="7">
        <f>_xll.acq_special_erfc(B88)</f>
        <v>1.6778011938374324</v>
      </c>
      <c r="G88" s="7">
        <f t="shared" si="12"/>
        <v>1.6778011938374324</v>
      </c>
      <c r="H88" s="11">
        <f t="shared" si="13"/>
        <v>0</v>
      </c>
      <c r="I88" s="7">
        <f>_xll.acq_special_normalcdf(B88)</f>
        <v>0.24196365222306676</v>
      </c>
      <c r="J88" s="7">
        <f t="shared" si="14"/>
        <v>0.24196365222306665</v>
      </c>
      <c r="K88" s="11">
        <f t="shared" si="15"/>
        <v>1.1102230246251565E-16</v>
      </c>
      <c r="M88">
        <v>0.86000000000000099</v>
      </c>
      <c r="N88" s="7">
        <f>_xll.acq_special_invnormalcdf(M88)</f>
        <v>1.0803193408149605</v>
      </c>
      <c r="O88">
        <f t="shared" si="8"/>
        <v>1.0803193408149609</v>
      </c>
      <c r="P88" s="11">
        <f t="shared" si="9"/>
        <v>4.4408920985006262E-16</v>
      </c>
    </row>
    <row r="89" spans="2:16" x14ac:dyDescent="0.25">
      <c r="B89">
        <v>-0.65000000000002001</v>
      </c>
      <c r="C89" s="7">
        <f>_xll.acq_special_erf(B89)</f>
        <v>-0.64202932735568652</v>
      </c>
      <c r="D89" s="7">
        <f t="shared" si="11"/>
        <v>-0.64202932735568674</v>
      </c>
      <c r="E89">
        <f t="shared" si="10"/>
        <v>2.2204460492503131E-16</v>
      </c>
      <c r="F89" s="7">
        <f>_xll.acq_special_erfc(B89)</f>
        <v>1.6420293273556865</v>
      </c>
      <c r="G89" s="7">
        <f t="shared" si="12"/>
        <v>1.6420293273556867</v>
      </c>
      <c r="H89" s="11">
        <f t="shared" si="13"/>
        <v>2.2204460492503131E-16</v>
      </c>
      <c r="I89" s="7">
        <f>_xll.acq_special_normalcdf(B89)</f>
        <v>0.25784611080585823</v>
      </c>
      <c r="J89" s="7">
        <f t="shared" si="14"/>
        <v>0.25784611080585818</v>
      </c>
      <c r="K89" s="11">
        <f t="shared" si="15"/>
        <v>5.5511151231257827E-17</v>
      </c>
      <c r="M89">
        <v>0.87000000000000099</v>
      </c>
      <c r="N89" s="7">
        <f>_xll.acq_special_invnormalcdf(M89)</f>
        <v>1.1263911290388053</v>
      </c>
      <c r="O89">
        <f t="shared" si="8"/>
        <v>1.1263911290388056</v>
      </c>
      <c r="P89" s="11">
        <f t="shared" si="9"/>
        <v>2.2204460492503131E-16</v>
      </c>
    </row>
    <row r="90" spans="2:16" x14ac:dyDescent="0.25">
      <c r="B90">
        <v>-0.60000000000001996</v>
      </c>
      <c r="C90" s="7">
        <f>_xll.acq_special_erf(B90)</f>
        <v>-0.60385609084794156</v>
      </c>
      <c r="D90" s="7">
        <f t="shared" si="11"/>
        <v>-0.60385609084794156</v>
      </c>
      <c r="E90">
        <f t="shared" si="10"/>
        <v>0</v>
      </c>
      <c r="F90" s="7">
        <f>_xll.acq_special_erfc(B90)</f>
        <v>1.6038560908479416</v>
      </c>
      <c r="G90" s="7">
        <f t="shared" si="12"/>
        <v>1.6038560908479416</v>
      </c>
      <c r="H90" s="11">
        <f t="shared" si="13"/>
        <v>0</v>
      </c>
      <c r="I90" s="7">
        <f>_xll.acq_special_normalcdf(B90)</f>
        <v>0.27425311775006689</v>
      </c>
      <c r="J90" s="7">
        <f t="shared" si="14"/>
        <v>0.27425311775006689</v>
      </c>
      <c r="K90" s="11">
        <f t="shared" si="15"/>
        <v>0</v>
      </c>
      <c r="M90">
        <v>0.880000000000001</v>
      </c>
      <c r="N90" s="7">
        <f>_xll.acq_special_invnormalcdf(M90)</f>
        <v>1.174986792066095</v>
      </c>
      <c r="O90">
        <f t="shared" si="8"/>
        <v>1.1749867920660955</v>
      </c>
      <c r="P90" s="11">
        <f t="shared" si="9"/>
        <v>4.4408920985006262E-16</v>
      </c>
    </row>
    <row r="91" spans="2:16" x14ac:dyDescent="0.25">
      <c r="B91">
        <v>-0.55000000000002003</v>
      </c>
      <c r="C91" s="7">
        <f>_xll.acq_special_erf(B91)</f>
        <v>-0.56332336632512559</v>
      </c>
      <c r="D91" s="7">
        <f t="shared" si="11"/>
        <v>-0.56332336632512559</v>
      </c>
      <c r="E91">
        <f t="shared" si="10"/>
        <v>0</v>
      </c>
      <c r="F91" s="7">
        <f>_xll.acq_special_erfc(B91)</f>
        <v>1.5633233663251256</v>
      </c>
      <c r="G91" s="7">
        <f t="shared" si="12"/>
        <v>1.5633233663251256</v>
      </c>
      <c r="H91" s="11">
        <f t="shared" si="13"/>
        <v>0</v>
      </c>
      <c r="I91" s="7">
        <f>_xll.acq_special_normalcdf(B91)</f>
        <v>0.29115968678833948</v>
      </c>
      <c r="J91" s="7">
        <f t="shared" si="14"/>
        <v>0.29115968678833948</v>
      </c>
      <c r="K91" s="11">
        <f t="shared" si="15"/>
        <v>0</v>
      </c>
      <c r="M91">
        <v>0.89000000000000101</v>
      </c>
      <c r="N91" s="7">
        <f>_xll.acq_special_invnormalcdf(M91)</f>
        <v>1.2265281200366154</v>
      </c>
      <c r="O91">
        <f t="shared" si="8"/>
        <v>1.2265281200366163</v>
      </c>
      <c r="P91" s="11">
        <f t="shared" si="9"/>
        <v>8.8817841970012523E-16</v>
      </c>
    </row>
    <row r="92" spans="2:16" x14ac:dyDescent="0.25">
      <c r="B92">
        <v>-0.50000000000001998</v>
      </c>
      <c r="C92" s="7">
        <f>_xll.acq_special_erf(B92)</f>
        <v>-0.52049987781306406</v>
      </c>
      <c r="D92" s="7">
        <f t="shared" si="11"/>
        <v>-0.52049987781306406</v>
      </c>
      <c r="E92">
        <f t="shared" si="10"/>
        <v>0</v>
      </c>
      <c r="F92" s="7">
        <f>_xll.acq_special_erfc(B92)</f>
        <v>1.5204998778130641</v>
      </c>
      <c r="G92" s="7">
        <f t="shared" si="12"/>
        <v>1.5204998778130641</v>
      </c>
      <c r="H92" s="11">
        <f t="shared" si="13"/>
        <v>0</v>
      </c>
      <c r="I92" s="7">
        <f>_xll.acq_special_normalcdf(B92)</f>
        <v>0.30853753872597983</v>
      </c>
      <c r="J92" s="7">
        <f t="shared" si="14"/>
        <v>0.30853753872597978</v>
      </c>
      <c r="K92" s="11">
        <f t="shared" si="15"/>
        <v>5.5511151231257827E-17</v>
      </c>
      <c r="M92">
        <v>0.90000000000000102</v>
      </c>
      <c r="N92" s="7">
        <f>_xll.acq_special_invnormalcdf(M92)</f>
        <v>1.2815515655446066</v>
      </c>
      <c r="O92">
        <f t="shared" si="8"/>
        <v>1.2815515655446061</v>
      </c>
      <c r="P92" s="11">
        <f t="shared" si="9"/>
        <v>4.4408920985006262E-16</v>
      </c>
    </row>
    <row r="93" spans="2:16" x14ac:dyDescent="0.25">
      <c r="B93">
        <v>-0.45000000000002</v>
      </c>
      <c r="C93" s="7">
        <f>_xll.acq_special_erf(B93)</f>
        <v>-0.47548171978694204</v>
      </c>
      <c r="D93" s="7">
        <f t="shared" si="11"/>
        <v>-0.47548171978694209</v>
      </c>
      <c r="E93">
        <f t="shared" si="10"/>
        <v>5.5511151231257827E-17</v>
      </c>
      <c r="F93" s="7">
        <f>_xll.acq_special_erfc(B93)</f>
        <v>1.4754817197869421</v>
      </c>
      <c r="G93" s="7">
        <f t="shared" si="12"/>
        <v>1.4754817197869421</v>
      </c>
      <c r="H93" s="11">
        <f t="shared" si="13"/>
        <v>0</v>
      </c>
      <c r="I93" s="7">
        <f>_xll.acq_special_normalcdf(B93)</f>
        <v>0.32635522028791286</v>
      </c>
      <c r="J93" s="7">
        <f t="shared" si="14"/>
        <v>0.32635522028791286</v>
      </c>
      <c r="K93" s="11">
        <f t="shared" si="15"/>
        <v>0</v>
      </c>
      <c r="M93">
        <v>0.91000000000000103</v>
      </c>
      <c r="N93" s="7">
        <f>_xll.acq_special_invnormalcdf(M93)</f>
        <v>1.3407550336902228</v>
      </c>
      <c r="O93">
        <f t="shared" si="8"/>
        <v>1.3407550336902219</v>
      </c>
      <c r="P93" s="11">
        <f t="shared" si="9"/>
        <v>8.8817841970012523E-16</v>
      </c>
    </row>
    <row r="94" spans="2:16" x14ac:dyDescent="0.25">
      <c r="B94">
        <v>-0.40000000000002001</v>
      </c>
      <c r="C94" s="7">
        <f>_xll.acq_special_erf(B94)</f>
        <v>-0.42839235504668771</v>
      </c>
      <c r="D94" s="7">
        <f t="shared" si="11"/>
        <v>-0.42839235504668777</v>
      </c>
      <c r="E94">
        <f t="shared" si="10"/>
        <v>5.5511151231257827E-17</v>
      </c>
      <c r="F94" s="7">
        <f>_xll.acq_special_erfc(B94)</f>
        <v>1.4283923550466877</v>
      </c>
      <c r="G94" s="7">
        <f t="shared" si="12"/>
        <v>1.4283923550466877</v>
      </c>
      <c r="H94" s="11">
        <f t="shared" si="13"/>
        <v>0</v>
      </c>
      <c r="I94" s="7">
        <f>_xll.acq_special_normalcdf(B94)</f>
        <v>0.34457825838966849</v>
      </c>
      <c r="J94" s="7">
        <f t="shared" si="14"/>
        <v>0.34457825838966843</v>
      </c>
      <c r="K94" s="11">
        <f t="shared" si="15"/>
        <v>5.5511151231257827E-17</v>
      </c>
      <c r="M94">
        <v>0.92000000000000104</v>
      </c>
      <c r="N94" s="7">
        <f>_xll.acq_special_invnormalcdf(M94)</f>
        <v>1.4050715603096391</v>
      </c>
      <c r="O94">
        <f t="shared" si="8"/>
        <v>1.4050715603096398</v>
      </c>
      <c r="P94" s="11">
        <f t="shared" si="9"/>
        <v>6.6613381477509392E-16</v>
      </c>
    </row>
    <row r="95" spans="2:16" x14ac:dyDescent="0.25">
      <c r="B95">
        <v>-0.35000000000002002</v>
      </c>
      <c r="C95" s="7">
        <f>_xll.acq_special_erf(B95)</f>
        <v>-0.37938205356233029</v>
      </c>
      <c r="D95" s="7">
        <f t="shared" si="11"/>
        <v>-0.37938205356233035</v>
      </c>
      <c r="E95">
        <f t="shared" si="10"/>
        <v>5.5511151231257827E-17</v>
      </c>
      <c r="F95" s="7">
        <f>_xll.acq_special_erfc(B95)</f>
        <v>1.3793820535623302</v>
      </c>
      <c r="G95" s="7">
        <f t="shared" si="12"/>
        <v>1.3793820535623302</v>
      </c>
      <c r="H95" s="11">
        <f t="shared" si="13"/>
        <v>0</v>
      </c>
      <c r="I95" s="7">
        <f>_xll.acq_special_normalcdf(B95)</f>
        <v>0.36316934882437341</v>
      </c>
      <c r="J95" s="7">
        <f t="shared" si="14"/>
        <v>0.36316934882437341</v>
      </c>
      <c r="K95" s="11">
        <f t="shared" si="15"/>
        <v>0</v>
      </c>
      <c r="M95">
        <v>0.93000000000000105</v>
      </c>
      <c r="N95" s="7">
        <f>_xll.acq_special_invnormalcdf(M95)</f>
        <v>1.4757910281791786</v>
      </c>
      <c r="O95">
        <f t="shared" si="8"/>
        <v>1.4757910281791788</v>
      </c>
      <c r="P95" s="11">
        <f t="shared" si="9"/>
        <v>2.2204460492503131E-16</v>
      </c>
    </row>
    <row r="96" spans="2:16" x14ac:dyDescent="0.25">
      <c r="B96">
        <v>-0.30000000000001997</v>
      </c>
      <c r="C96" s="7">
        <f>_xll.acq_special_erf(B96)</f>
        <v>-0.32862675945914793</v>
      </c>
      <c r="D96" s="7">
        <f t="shared" si="11"/>
        <v>-0.3286267594591481</v>
      </c>
      <c r="E96">
        <f t="shared" si="10"/>
        <v>1.6653345369377348E-16</v>
      </c>
      <c r="F96" s="7">
        <f>_xll.acq_special_erfc(B96)</f>
        <v>1.3286267594591479</v>
      </c>
      <c r="G96" s="7">
        <f t="shared" si="12"/>
        <v>1.3286267594591481</v>
      </c>
      <c r="H96" s="11">
        <f t="shared" si="13"/>
        <v>2.2204460492503131E-16</v>
      </c>
      <c r="I96" s="7">
        <f>_xll.acq_special_normalcdf(B96)</f>
        <v>0.38208857781103978</v>
      </c>
      <c r="J96" s="7">
        <f t="shared" si="14"/>
        <v>0.38208857781103972</v>
      </c>
      <c r="K96" s="11">
        <f t="shared" si="15"/>
        <v>5.5511151231257827E-17</v>
      </c>
      <c r="M96">
        <v>0.94000000000000095</v>
      </c>
      <c r="N96" s="7">
        <f>_xll.acq_special_invnormalcdf(M96)</f>
        <v>1.554773594596861</v>
      </c>
      <c r="O96">
        <f t="shared" si="8"/>
        <v>1.5547735945968613</v>
      </c>
      <c r="P96" s="11">
        <f t="shared" si="9"/>
        <v>2.2204460492503131E-16</v>
      </c>
    </row>
    <row r="97" spans="2:16" x14ac:dyDescent="0.25">
      <c r="B97">
        <v>-0.25000000000001998</v>
      </c>
      <c r="C97" s="7">
        <f>_xll.acq_special_erf(B97)</f>
        <v>-0.27632639016825811</v>
      </c>
      <c r="D97" s="7">
        <f t="shared" si="11"/>
        <v>-0.27632639016825811</v>
      </c>
      <c r="E97">
        <f t="shared" si="10"/>
        <v>0</v>
      </c>
      <c r="F97" s="7">
        <f>_xll.acq_special_erfc(B97)</f>
        <v>1.2763263901682582</v>
      </c>
      <c r="G97" s="7">
        <f t="shared" si="12"/>
        <v>1.2763263901682582</v>
      </c>
      <c r="H97" s="11">
        <f t="shared" si="13"/>
        <v>0</v>
      </c>
      <c r="I97" s="7">
        <f>_xll.acq_special_normalcdf(B97)</f>
        <v>0.40129367431706853</v>
      </c>
      <c r="J97" s="7">
        <f t="shared" si="14"/>
        <v>0.40129367431706853</v>
      </c>
      <c r="K97" s="11">
        <f t="shared" si="15"/>
        <v>0</v>
      </c>
      <c r="M97">
        <v>0.95000000000000095</v>
      </c>
      <c r="N97" s="7">
        <f>_xll.acq_special_invnormalcdf(M97)</f>
        <v>1.6448536269514817</v>
      </c>
      <c r="O97">
        <f t="shared" ref="O97:O102" si="16">_xlfn.NORM.S.INV(M97)</f>
        <v>1.6448536269514813</v>
      </c>
      <c r="P97" s="11">
        <f t="shared" ref="P97:P102" si="17">ABS(N97-O97)</f>
        <v>4.4408920985006262E-16</v>
      </c>
    </row>
    <row r="98" spans="2:16" x14ac:dyDescent="0.25">
      <c r="B98">
        <v>-0.20000000000002</v>
      </c>
      <c r="C98" s="7">
        <f>_xll.acq_special_erf(B98)</f>
        <v>-0.2227025892105001</v>
      </c>
      <c r="D98" s="7">
        <f t="shared" si="11"/>
        <v>-0.22270258921050015</v>
      </c>
      <c r="E98">
        <f t="shared" si="10"/>
        <v>5.5511151231257827E-17</v>
      </c>
      <c r="F98" s="7">
        <f>_xll.acq_special_erfc(B98)</f>
        <v>1.2227025892105001</v>
      </c>
      <c r="G98" s="7">
        <f t="shared" si="12"/>
        <v>1.2227025892105001</v>
      </c>
      <c r="H98" s="11">
        <f t="shared" si="13"/>
        <v>0</v>
      </c>
      <c r="I98" s="7">
        <f>_xll.acq_special_normalcdf(B98)</f>
        <v>0.42074029056088913</v>
      </c>
      <c r="J98" s="7">
        <f t="shared" si="14"/>
        <v>0.42074029056088913</v>
      </c>
      <c r="K98" s="11">
        <f t="shared" si="15"/>
        <v>0</v>
      </c>
      <c r="M98">
        <v>0.96000000000000096</v>
      </c>
      <c r="N98" s="7">
        <f>_xll.acq_special_invnormalcdf(M98)</f>
        <v>1.7506860712521815</v>
      </c>
      <c r="O98">
        <f t="shared" si="16"/>
        <v>1.7506860712521808</v>
      </c>
      <c r="P98" s="11">
        <f t="shared" si="17"/>
        <v>6.6613381477509392E-16</v>
      </c>
    </row>
    <row r="99" spans="2:16" x14ac:dyDescent="0.25">
      <c r="B99">
        <v>-0.15000000000002001</v>
      </c>
      <c r="C99" s="7">
        <f>_xll.acq_special_erf(B99)</f>
        <v>-0.16799597142738554</v>
      </c>
      <c r="D99" s="7">
        <f t="shared" si="11"/>
        <v>-0.16799597142738559</v>
      </c>
      <c r="E99">
        <f t="shared" si="10"/>
        <v>5.5511151231257827E-17</v>
      </c>
      <c r="F99" s="7">
        <f>_xll.acq_special_erfc(B99)</f>
        <v>1.1679959714273855</v>
      </c>
      <c r="G99" s="7">
        <f t="shared" si="12"/>
        <v>1.1679959714273855</v>
      </c>
      <c r="H99" s="11">
        <f t="shared" si="13"/>
        <v>0</v>
      </c>
      <c r="I99" s="7">
        <f>_xll.acq_special_normalcdf(B99)</f>
        <v>0.44038230762974961</v>
      </c>
      <c r="J99" s="7">
        <f t="shared" si="14"/>
        <v>0.44038230762974956</v>
      </c>
      <c r="K99" s="11">
        <f t="shared" si="15"/>
        <v>5.5511151231257827E-17</v>
      </c>
      <c r="M99">
        <v>0.97000000000000097</v>
      </c>
      <c r="N99" s="7">
        <f>_xll.acq_special_invnormalcdf(M99)</f>
        <v>1.8807936081512651</v>
      </c>
      <c r="O99">
        <f t="shared" si="16"/>
        <v>1.8807936081512653</v>
      </c>
      <c r="P99" s="11">
        <f t="shared" si="17"/>
        <v>2.2204460492503131E-16</v>
      </c>
    </row>
    <row r="100" spans="2:16" x14ac:dyDescent="0.25">
      <c r="B100">
        <v>-0.10000000000002</v>
      </c>
      <c r="C100" s="7">
        <f>_xll.acq_special_erf(B100)</f>
        <v>-0.11246291601830724</v>
      </c>
      <c r="D100" s="7">
        <f t="shared" si="11"/>
        <v>-0.11246291601830724</v>
      </c>
      <c r="E100">
        <f t="shared" si="10"/>
        <v>0</v>
      </c>
      <c r="F100" s="7">
        <f>_xll.acq_special_erfc(B100)</f>
        <v>1.1124629160183073</v>
      </c>
      <c r="G100" s="7">
        <f t="shared" si="12"/>
        <v>1.1124629160183073</v>
      </c>
      <c r="H100" s="11">
        <f t="shared" si="13"/>
        <v>0</v>
      </c>
      <c r="I100" s="7">
        <f>_xll.acq_special_normalcdf(B100)</f>
        <v>0.46017216272296307</v>
      </c>
      <c r="J100" s="7">
        <f t="shared" si="14"/>
        <v>0.46017216272296307</v>
      </c>
      <c r="K100" s="11">
        <f t="shared" si="15"/>
        <v>0</v>
      </c>
      <c r="M100">
        <v>0.98000000000000098</v>
      </c>
      <c r="N100" s="7">
        <f>_xll.acq_special_invnormalcdf(M100)</f>
        <v>2.0537489106318434</v>
      </c>
      <c r="O100">
        <f t="shared" si="16"/>
        <v>2.0537489106318438</v>
      </c>
      <c r="P100" s="11">
        <f t="shared" si="17"/>
        <v>4.4408920985006262E-16</v>
      </c>
    </row>
    <row r="101" spans="2:16" x14ac:dyDescent="0.25">
      <c r="B101">
        <v>-5.0000000000020299E-2</v>
      </c>
      <c r="C101" s="7">
        <f>_xll.acq_special_erf(B101)</f>
        <v>-5.6371977797039466E-2</v>
      </c>
      <c r="D101" s="7">
        <f t="shared" si="11"/>
        <v>-5.6371977797039487E-2</v>
      </c>
      <c r="E101">
        <f t="shared" si="10"/>
        <v>2.0816681711721685E-17</v>
      </c>
      <c r="F101" s="7">
        <f>_xll.acq_special_erfc(B101)</f>
        <v>1.0563719777970395</v>
      </c>
      <c r="G101" s="7">
        <f t="shared" si="12"/>
        <v>1.0563719777970395</v>
      </c>
      <c r="H101" s="11">
        <f t="shared" si="13"/>
        <v>0</v>
      </c>
      <c r="I101" s="7">
        <f>_xll.acq_special_normalcdf(B101)</f>
        <v>0.48006119416161946</v>
      </c>
      <c r="J101" s="7">
        <f t="shared" si="14"/>
        <v>0.48006119416161946</v>
      </c>
      <c r="K101" s="11">
        <f t="shared" si="15"/>
        <v>0</v>
      </c>
      <c r="M101">
        <v>0.99000000000000099</v>
      </c>
      <c r="N101" s="7">
        <f>_xll.acq_special_invnormalcdf(M101)</f>
        <v>2.3263478740408785</v>
      </c>
      <c r="O101">
        <f t="shared" si="16"/>
        <v>2.3263478740408781</v>
      </c>
      <c r="P101" s="11">
        <f t="shared" si="17"/>
        <v>4.4408920985006262E-16</v>
      </c>
    </row>
    <row r="102" spans="2:16" x14ac:dyDescent="0.25">
      <c r="B102">
        <v>-2.0428103653102899E-14</v>
      </c>
      <c r="C102" s="7">
        <f>_xll.acq_special_erf(B102)</f>
        <v>-2.3050646585429045E-14</v>
      </c>
      <c r="D102" s="7">
        <f t="shared" si="11"/>
        <v>-2.3050646585429052E-14</v>
      </c>
      <c r="E102">
        <f t="shared" si="10"/>
        <v>6.3108872417680944E-30</v>
      </c>
      <c r="F102" s="7">
        <f>_xll.acq_special_erfc(B102)</f>
        <v>1.0000000000000231</v>
      </c>
      <c r="G102" s="7">
        <f t="shared" si="12"/>
        <v>1.0000000000000231</v>
      </c>
      <c r="H102" s="11">
        <f t="shared" si="13"/>
        <v>0</v>
      </c>
      <c r="I102" s="7">
        <f>_xll.acq_special_normalcdf(B102)</f>
        <v>0.49999999999999184</v>
      </c>
      <c r="J102" s="7">
        <f t="shared" si="14"/>
        <v>0.49999999999999184</v>
      </c>
      <c r="K102" s="11">
        <f t="shared" si="15"/>
        <v>0</v>
      </c>
      <c r="M102">
        <v>1</v>
      </c>
      <c r="N102" s="7" t="e">
        <f>_xll.acq_special_invnormalcdf(M102)</f>
        <v>#N/A</v>
      </c>
      <c r="O102" t="e">
        <f t="shared" si="16"/>
        <v>#NUM!</v>
      </c>
      <c r="P102" s="11" t="e">
        <f t="shared" si="17"/>
        <v>#N/A</v>
      </c>
    </row>
    <row r="103" spans="2:16" x14ac:dyDescent="0.25">
      <c r="B103">
        <v>4.9999999999980303E-2</v>
      </c>
      <c r="C103" s="7">
        <f>_xll.acq_special_erf(B103)</f>
        <v>5.6371977796994446E-2</v>
      </c>
      <c r="D103" s="7">
        <f t="shared" si="11"/>
        <v>5.637197779699446E-2</v>
      </c>
      <c r="E103">
        <f t="shared" si="10"/>
        <v>1.3877787807814457E-17</v>
      </c>
      <c r="F103" s="7">
        <f>_xll.acq_special_erfc(B103)</f>
        <v>0.94362802220300557</v>
      </c>
      <c r="G103" s="7">
        <f t="shared" si="12"/>
        <v>0.94362802220300557</v>
      </c>
      <c r="H103" s="11">
        <f t="shared" si="13"/>
        <v>0</v>
      </c>
      <c r="I103" s="7">
        <f>_xll.acq_special_normalcdf(B103)</f>
        <v>0.5199388058383646</v>
      </c>
      <c r="J103" s="7">
        <f t="shared" si="14"/>
        <v>0.5199388058383646</v>
      </c>
      <c r="K103" s="11">
        <f t="shared" si="15"/>
        <v>0</v>
      </c>
      <c r="N103" s="7"/>
      <c r="P103" s="11"/>
    </row>
    <row r="104" spans="2:16" x14ac:dyDescent="0.25">
      <c r="B104">
        <v>9.9999999999980105E-2</v>
      </c>
      <c r="C104" s="7">
        <f>_xll.acq_special_erf(B104)</f>
        <v>0.11246291601826267</v>
      </c>
      <c r="D104" s="7">
        <f t="shared" si="11"/>
        <v>0.11246291601826267</v>
      </c>
      <c r="E104">
        <f t="shared" si="10"/>
        <v>0</v>
      </c>
      <c r="F104" s="7">
        <f>_xll.acq_special_erfc(B104)</f>
        <v>0.88753708398173736</v>
      </c>
      <c r="G104" s="7">
        <f t="shared" si="12"/>
        <v>0.88753708398173736</v>
      </c>
      <c r="H104" s="11">
        <f t="shared" si="13"/>
        <v>0</v>
      </c>
      <c r="I104" s="7">
        <f>_xll.acq_special_normalcdf(B104)</f>
        <v>0.53982783727702111</v>
      </c>
      <c r="J104" s="7">
        <f t="shared" si="14"/>
        <v>0.53982783727702111</v>
      </c>
      <c r="K104" s="11">
        <f t="shared" si="15"/>
        <v>0</v>
      </c>
      <c r="N104" s="7"/>
      <c r="P104" s="11"/>
    </row>
    <row r="105" spans="2:16" x14ac:dyDescent="0.25">
      <c r="B105">
        <v>0.14999999999998001</v>
      </c>
      <c r="C105" s="7">
        <f>_xll.acq_special_erf(B105)</f>
        <v>0.16799597142734141</v>
      </c>
      <c r="D105" s="7">
        <f t="shared" si="11"/>
        <v>0.16799597142734146</v>
      </c>
      <c r="E105">
        <f t="shared" si="10"/>
        <v>5.5511151231257827E-17</v>
      </c>
      <c r="F105" s="7">
        <f>_xll.acq_special_erfc(B105)</f>
        <v>0.83200402857265865</v>
      </c>
      <c r="G105" s="7">
        <f t="shared" si="12"/>
        <v>0.83200402857265854</v>
      </c>
      <c r="H105" s="11">
        <f t="shared" si="13"/>
        <v>1.1102230246251565E-16</v>
      </c>
      <c r="I105" s="7">
        <f>_xll.acq_special_normalcdf(B105)</f>
        <v>0.55961769237023462</v>
      </c>
      <c r="J105" s="7">
        <f t="shared" si="14"/>
        <v>0.55961769237023462</v>
      </c>
      <c r="K105" s="11">
        <f t="shared" si="15"/>
        <v>0</v>
      </c>
      <c r="N105" s="7"/>
      <c r="P105" s="11"/>
    </row>
    <row r="106" spans="2:16" x14ac:dyDescent="0.25">
      <c r="B106">
        <v>0.19999999999998</v>
      </c>
      <c r="C106" s="7">
        <f>_xll.acq_special_erf(B106)</f>
        <v>0.22270258921045677</v>
      </c>
      <c r="D106" s="7">
        <f t="shared" si="11"/>
        <v>0.22270258921045677</v>
      </c>
      <c r="E106">
        <f t="shared" si="10"/>
        <v>0</v>
      </c>
      <c r="F106" s="7">
        <f>_xll.acq_special_erfc(B106)</f>
        <v>0.77729741078954318</v>
      </c>
      <c r="G106" s="7">
        <f t="shared" si="12"/>
        <v>0.77729741078954318</v>
      </c>
      <c r="H106" s="11">
        <f t="shared" si="13"/>
        <v>0</v>
      </c>
      <c r="I106" s="7">
        <f>_xll.acq_special_normalcdf(B106)</f>
        <v>0.57925970943909522</v>
      </c>
      <c r="J106" s="7">
        <f t="shared" si="14"/>
        <v>0.57925970943909522</v>
      </c>
      <c r="K106" s="11">
        <f t="shared" si="15"/>
        <v>0</v>
      </c>
      <c r="N106" s="7"/>
      <c r="P106" s="11"/>
    </row>
    <row r="107" spans="2:16" x14ac:dyDescent="0.25">
      <c r="B107">
        <v>0.24999999999997999</v>
      </c>
      <c r="C107" s="7">
        <f>_xll.acq_special_erf(B107)</f>
        <v>0.27632639016821564</v>
      </c>
      <c r="D107" s="7">
        <f t="shared" si="11"/>
        <v>0.27632639016821575</v>
      </c>
      <c r="E107">
        <f t="shared" si="10"/>
        <v>1.1102230246251565E-16</v>
      </c>
      <c r="F107" s="7">
        <f>_xll.acq_special_erfc(B107)</f>
        <v>0.72367360983178441</v>
      </c>
      <c r="G107" s="7">
        <f t="shared" si="12"/>
        <v>0.72367360983178419</v>
      </c>
      <c r="H107" s="11">
        <f t="shared" si="13"/>
        <v>2.2204460492503131E-16</v>
      </c>
      <c r="I107" s="7">
        <f>_xll.acq_special_normalcdf(B107)</f>
        <v>0.59870632568291593</v>
      </c>
      <c r="J107" s="7">
        <f t="shared" si="14"/>
        <v>0.59870632568291593</v>
      </c>
      <c r="K107" s="11">
        <f t="shared" si="15"/>
        <v>0</v>
      </c>
      <c r="N107" s="7"/>
      <c r="P107" s="11"/>
    </row>
    <row r="108" spans="2:16" x14ac:dyDescent="0.25">
      <c r="B108">
        <v>0.29999999999998</v>
      </c>
      <c r="C108" s="7">
        <f>_xll.acq_special_erf(B108)</f>
        <v>0.3286267594591068</v>
      </c>
      <c r="D108" s="7">
        <f t="shared" si="11"/>
        <v>0.32862675945910685</v>
      </c>
      <c r="E108">
        <f t="shared" si="10"/>
        <v>5.5511151231257827E-17</v>
      </c>
      <c r="F108" s="7">
        <f>_xll.acq_special_erfc(B108)</f>
        <v>0.6713732405408932</v>
      </c>
      <c r="G108" s="7">
        <f t="shared" si="12"/>
        <v>0.6713732405408932</v>
      </c>
      <c r="H108" s="11">
        <f t="shared" si="13"/>
        <v>0</v>
      </c>
      <c r="I108" s="7">
        <f>_xll.acq_special_normalcdf(B108)</f>
        <v>0.61791142218894501</v>
      </c>
      <c r="J108" s="7">
        <f t="shared" si="14"/>
        <v>0.61791142218894501</v>
      </c>
      <c r="K108" s="11">
        <f t="shared" si="15"/>
        <v>0</v>
      </c>
      <c r="N108" s="7"/>
      <c r="P108" s="11"/>
    </row>
    <row r="109" spans="2:16" x14ac:dyDescent="0.25">
      <c r="B109">
        <v>0.34999999999997999</v>
      </c>
      <c r="C109" s="7">
        <f>_xll.acq_special_erf(B109)</f>
        <v>0.37938205356229027</v>
      </c>
      <c r="D109" s="7">
        <f t="shared" si="11"/>
        <v>0.37938205356229032</v>
      </c>
      <c r="E109">
        <f t="shared" si="10"/>
        <v>5.5511151231257827E-17</v>
      </c>
      <c r="F109" s="7">
        <f>_xll.acq_special_erfc(B109)</f>
        <v>0.62061794643770973</v>
      </c>
      <c r="G109" s="7">
        <f t="shared" si="12"/>
        <v>0.62061794643770973</v>
      </c>
      <c r="H109" s="11">
        <f t="shared" si="13"/>
        <v>0</v>
      </c>
      <c r="I109" s="7">
        <f>_xll.acq_special_normalcdf(B109)</f>
        <v>0.63683065117561166</v>
      </c>
      <c r="J109" s="7">
        <f t="shared" si="14"/>
        <v>0.63683065117561155</v>
      </c>
      <c r="K109" s="11">
        <f t="shared" si="15"/>
        <v>1.1102230246251565E-16</v>
      </c>
      <c r="N109" s="7"/>
      <c r="P109" s="11"/>
    </row>
    <row r="110" spans="2:16" x14ac:dyDescent="0.25">
      <c r="B110">
        <v>0.39999999999997998</v>
      </c>
      <c r="C110" s="7">
        <f>_xll.acq_special_erf(B110)</f>
        <v>0.42839235504664919</v>
      </c>
      <c r="D110" s="7">
        <f t="shared" si="11"/>
        <v>0.42839235504664919</v>
      </c>
      <c r="E110">
        <f t="shared" si="10"/>
        <v>0</v>
      </c>
      <c r="F110" s="7">
        <f>_xll.acq_special_erfc(B110)</f>
        <v>0.57160764495335081</v>
      </c>
      <c r="G110" s="7">
        <f t="shared" si="12"/>
        <v>0.57160764495335081</v>
      </c>
      <c r="H110" s="11">
        <f t="shared" si="13"/>
        <v>0</v>
      </c>
      <c r="I110" s="7">
        <f>_xll.acq_special_normalcdf(B110)</f>
        <v>0.65542174161031674</v>
      </c>
      <c r="J110" s="7">
        <f t="shared" si="14"/>
        <v>0.65542174161031674</v>
      </c>
      <c r="K110" s="11">
        <f t="shared" si="15"/>
        <v>0</v>
      </c>
      <c r="N110" s="7"/>
      <c r="P110" s="11"/>
    </row>
    <row r="111" spans="2:16" x14ac:dyDescent="0.25">
      <c r="B111">
        <v>0.44999999999998003</v>
      </c>
      <c r="C111" s="7">
        <f>_xll.acq_special_erf(B111)</f>
        <v>0.47548171978690529</v>
      </c>
      <c r="D111" s="7">
        <f t="shared" si="11"/>
        <v>0.47548171978690529</v>
      </c>
      <c r="E111">
        <f t="shared" si="10"/>
        <v>0</v>
      </c>
      <c r="F111" s="7">
        <f>_xll.acq_special_erfc(B111)</f>
        <v>0.52451828021309477</v>
      </c>
      <c r="G111" s="7">
        <f t="shared" si="12"/>
        <v>0.52451828021309477</v>
      </c>
      <c r="H111" s="11">
        <f t="shared" si="13"/>
        <v>0</v>
      </c>
      <c r="I111" s="7">
        <f>_xll.acq_special_normalcdf(B111)</f>
        <v>0.67364477971207282</v>
      </c>
      <c r="J111" s="7">
        <f t="shared" si="14"/>
        <v>0.67364477971207282</v>
      </c>
      <c r="K111" s="11">
        <f t="shared" si="15"/>
        <v>0</v>
      </c>
      <c r="N111" s="7"/>
      <c r="P111" s="11"/>
    </row>
    <row r="112" spans="2:16" x14ac:dyDescent="0.25">
      <c r="B112">
        <v>0.49999999999998002</v>
      </c>
      <c r="C112" s="7">
        <f>_xll.acq_special_erf(B112)</f>
        <v>0.52049987781302898</v>
      </c>
      <c r="D112" s="7">
        <f t="shared" si="11"/>
        <v>0.52049987781302909</v>
      </c>
      <c r="E112">
        <f t="shared" si="10"/>
        <v>1.1102230246251565E-16</v>
      </c>
      <c r="F112" s="7">
        <f>_xll.acq_special_erfc(B112)</f>
        <v>0.47950012218697102</v>
      </c>
      <c r="G112" s="7">
        <f t="shared" si="12"/>
        <v>0.47950012218697091</v>
      </c>
      <c r="H112" s="11">
        <f t="shared" si="13"/>
        <v>1.1102230246251565E-16</v>
      </c>
      <c r="I112" s="7">
        <f>_xll.acq_special_normalcdf(B112)</f>
        <v>0.69146246127400601</v>
      </c>
      <c r="J112" s="7">
        <f t="shared" si="14"/>
        <v>0.69146246127400612</v>
      </c>
      <c r="K112" s="11">
        <f t="shared" si="15"/>
        <v>1.1102230246251565E-16</v>
      </c>
      <c r="N112" s="7"/>
      <c r="P112" s="11"/>
    </row>
    <row r="113" spans="2:16" x14ac:dyDescent="0.25">
      <c r="B113">
        <v>0.54999999999997995</v>
      </c>
      <c r="C113" s="7">
        <f>_xll.acq_special_erf(B113)</f>
        <v>0.56332336632509217</v>
      </c>
      <c r="D113" s="7">
        <f t="shared" si="11"/>
        <v>0.56332336632509217</v>
      </c>
      <c r="E113">
        <f t="shared" si="10"/>
        <v>0</v>
      </c>
      <c r="F113" s="7">
        <f>_xll.acq_special_erfc(B113)</f>
        <v>0.43667663367490783</v>
      </c>
      <c r="G113" s="7">
        <f t="shared" si="12"/>
        <v>0.43667663367490783</v>
      </c>
      <c r="H113" s="11">
        <f t="shared" si="13"/>
        <v>0</v>
      </c>
      <c r="I113" s="7">
        <f>_xll.acq_special_normalcdf(B113)</f>
        <v>0.70884031321164676</v>
      </c>
      <c r="J113" s="7">
        <f t="shared" si="14"/>
        <v>0.70884031321164676</v>
      </c>
      <c r="K113" s="11">
        <f t="shared" si="15"/>
        <v>0</v>
      </c>
      <c r="N113" s="7"/>
      <c r="P113" s="11"/>
    </row>
    <row r="114" spans="2:16" x14ac:dyDescent="0.25">
      <c r="B114">
        <v>0.59999999999997999</v>
      </c>
      <c r="C114" s="7">
        <f>_xll.acq_special_erf(B114)</f>
        <v>0.60385609084791014</v>
      </c>
      <c r="D114" s="7">
        <f t="shared" si="11"/>
        <v>0.60385609084791025</v>
      </c>
      <c r="E114">
        <f t="shared" si="10"/>
        <v>1.1102230246251565E-16</v>
      </c>
      <c r="F114" s="7">
        <f>_xll.acq_special_erfc(B114)</f>
        <v>0.39614390915208986</v>
      </c>
      <c r="G114" s="7">
        <f t="shared" si="12"/>
        <v>0.3961439091520898</v>
      </c>
      <c r="H114" s="11">
        <f t="shared" si="13"/>
        <v>5.5511151231257827E-17</v>
      </c>
      <c r="I114" s="7">
        <f>_xll.acq_special_normalcdf(B114)</f>
        <v>0.72574688224991979</v>
      </c>
      <c r="J114" s="7">
        <f t="shared" si="14"/>
        <v>0.72574688224991979</v>
      </c>
      <c r="K114" s="11">
        <f t="shared" si="15"/>
        <v>0</v>
      </c>
      <c r="N114" s="7"/>
      <c r="P114" s="11"/>
    </row>
    <row r="115" spans="2:16" x14ac:dyDescent="0.25">
      <c r="B115">
        <v>0.64999999999998004</v>
      </c>
      <c r="C115" s="7">
        <f>_xll.acq_special_erf(B115)</f>
        <v>0.6420293273556571</v>
      </c>
      <c r="D115" s="7">
        <f t="shared" si="11"/>
        <v>0.6420293273556571</v>
      </c>
      <c r="E115">
        <f t="shared" si="10"/>
        <v>0</v>
      </c>
      <c r="F115" s="7">
        <f>_xll.acq_special_erfc(B115)</f>
        <v>0.3579706726443429</v>
      </c>
      <c r="G115" s="7">
        <f t="shared" si="12"/>
        <v>0.3579706726443429</v>
      </c>
      <c r="H115" s="11">
        <f t="shared" si="13"/>
        <v>0</v>
      </c>
      <c r="I115" s="7">
        <f>_xll.acq_special_normalcdf(B115)</f>
        <v>0.74215388919412884</v>
      </c>
      <c r="J115" s="7">
        <f t="shared" si="14"/>
        <v>0.74215388919412884</v>
      </c>
      <c r="K115" s="11">
        <f t="shared" si="15"/>
        <v>0</v>
      </c>
      <c r="N115" s="7"/>
      <c r="P115" s="11"/>
    </row>
    <row r="116" spans="2:16" x14ac:dyDescent="0.25">
      <c r="B116">
        <v>0.69999999999997997</v>
      </c>
      <c r="C116" s="7">
        <f>_xll.acq_special_erf(B116)</f>
        <v>0.67780119383740456</v>
      </c>
      <c r="D116" s="7">
        <f t="shared" si="11"/>
        <v>0.67780119383740467</v>
      </c>
      <c r="E116">
        <f t="shared" si="10"/>
        <v>1.1102230246251565E-16</v>
      </c>
      <c r="F116" s="7">
        <f>_xll.acq_special_erfc(B116)</f>
        <v>0.32219880616259544</v>
      </c>
      <c r="G116" s="7">
        <f t="shared" si="12"/>
        <v>0.32219880616259533</v>
      </c>
      <c r="H116" s="11">
        <f t="shared" si="13"/>
        <v>1.1102230246251565E-16</v>
      </c>
      <c r="I116" s="7">
        <f>_xll.acq_special_normalcdf(B116)</f>
        <v>0.75803634777692075</v>
      </c>
      <c r="J116" s="7">
        <f t="shared" si="14"/>
        <v>0.75803634777692075</v>
      </c>
      <c r="K116" s="11">
        <f t="shared" si="15"/>
        <v>0</v>
      </c>
      <c r="N116" s="7"/>
      <c r="P116" s="11"/>
    </row>
    <row r="117" spans="2:16" x14ac:dyDescent="0.25">
      <c r="B117">
        <v>0.74999999999998002</v>
      </c>
      <c r="C117" s="7">
        <f>_xll.acq_special_erf(B117)</f>
        <v>0.71115563365350232</v>
      </c>
      <c r="D117" s="7">
        <f t="shared" si="11"/>
        <v>0.71115563365350232</v>
      </c>
      <c r="E117">
        <f t="shared" si="10"/>
        <v>0</v>
      </c>
      <c r="F117" s="7">
        <f>_xll.acq_special_erfc(B117)</f>
        <v>0.28884436634649768</v>
      </c>
      <c r="G117" s="7">
        <f t="shared" si="12"/>
        <v>0.28884436634649774</v>
      </c>
      <c r="H117" s="11">
        <f t="shared" si="13"/>
        <v>5.5511151231257827E-17</v>
      </c>
      <c r="I117" s="7">
        <f>_xll.acq_special_normalcdf(B117)</f>
        <v>0.77337264762312574</v>
      </c>
      <c r="J117" s="7">
        <f t="shared" si="14"/>
        <v>0.77337264762312574</v>
      </c>
      <c r="K117" s="11">
        <f t="shared" si="15"/>
        <v>0</v>
      </c>
      <c r="N117" s="7"/>
      <c r="P117" s="11"/>
    </row>
    <row r="118" spans="2:16" x14ac:dyDescent="0.25">
      <c r="B118">
        <v>0.79999999999997995</v>
      </c>
      <c r="C118" s="7">
        <f>_xll.acq_special_erf(B118)</f>
        <v>0.74210096470764852</v>
      </c>
      <c r="D118" s="7">
        <f t="shared" si="11"/>
        <v>0.74210096470764852</v>
      </c>
      <c r="E118">
        <f t="shared" si="10"/>
        <v>0</v>
      </c>
      <c r="F118" s="7">
        <f>_xll.acq_special_erfc(B118)</f>
        <v>0.25789903529235148</v>
      </c>
      <c r="G118" s="7">
        <f t="shared" si="12"/>
        <v>0.25789903529235148</v>
      </c>
      <c r="H118" s="11">
        <f t="shared" si="13"/>
        <v>0</v>
      </c>
      <c r="I118" s="7">
        <f>_xll.acq_special_normalcdf(B118)</f>
        <v>0.78814460141659759</v>
      </c>
      <c r="J118" s="7">
        <f t="shared" si="14"/>
        <v>0.78814460141659759</v>
      </c>
      <c r="K118" s="11">
        <f t="shared" si="15"/>
        <v>0</v>
      </c>
      <c r="N118" s="7"/>
      <c r="P118" s="11"/>
    </row>
    <row r="119" spans="2:16" x14ac:dyDescent="0.25">
      <c r="B119">
        <v>0.84999999999997999</v>
      </c>
      <c r="C119" s="7">
        <f>_xll.acq_special_erf(B119)</f>
        <v>0.77066805760834156</v>
      </c>
      <c r="D119" s="7">
        <f t="shared" si="11"/>
        <v>0.77066805760834156</v>
      </c>
      <c r="E119">
        <f t="shared" si="10"/>
        <v>0</v>
      </c>
      <c r="F119" s="7">
        <f>_xll.acq_special_erfc(B119)</f>
        <v>0.22933194239165844</v>
      </c>
      <c r="G119" s="7">
        <f t="shared" si="12"/>
        <v>0.22933194239165841</v>
      </c>
      <c r="H119" s="11">
        <f t="shared" si="13"/>
        <v>2.7755575615628914E-17</v>
      </c>
      <c r="I119" s="7">
        <f>_xll.acq_special_normalcdf(B119)</f>
        <v>0.80233745687730207</v>
      </c>
      <c r="J119" s="7">
        <f t="shared" si="14"/>
        <v>0.80233745687730207</v>
      </c>
      <c r="K119" s="11">
        <f t="shared" si="15"/>
        <v>0</v>
      </c>
      <c r="N119" s="7"/>
      <c r="P119" s="11"/>
    </row>
    <row r="120" spans="2:16" x14ac:dyDescent="0.25">
      <c r="B120">
        <v>0.89999999999998004</v>
      </c>
      <c r="C120" s="7">
        <f>_xll.acq_special_erf(B120)</f>
        <v>0.79690821242282195</v>
      </c>
      <c r="D120" s="7">
        <f t="shared" si="11"/>
        <v>0.79690821242282217</v>
      </c>
      <c r="E120">
        <f t="shared" si="10"/>
        <v>2.2204460492503131E-16</v>
      </c>
      <c r="F120" s="7">
        <f>_xll.acq_special_erfc(B120)</f>
        <v>0.20309178757717805</v>
      </c>
      <c r="G120" s="7">
        <f t="shared" si="12"/>
        <v>0.20309178757717788</v>
      </c>
      <c r="H120" s="11">
        <f t="shared" si="13"/>
        <v>1.6653345369377348E-16</v>
      </c>
      <c r="I120" s="7">
        <f>_xll.acq_special_normalcdf(B120)</f>
        <v>0.81593987465323514</v>
      </c>
      <c r="J120" s="7">
        <f t="shared" si="14"/>
        <v>0.81593987465323525</v>
      </c>
      <c r="K120" s="11">
        <f t="shared" si="15"/>
        <v>1.1102230246251565E-16</v>
      </c>
      <c r="N120" s="7"/>
      <c r="P120" s="11"/>
    </row>
    <row r="121" spans="2:16" x14ac:dyDescent="0.25">
      <c r="B121">
        <v>0.94999999999997997</v>
      </c>
      <c r="C121" s="7">
        <f>_xll.acq_special_erf(B121)</f>
        <v>0.82089080727326869</v>
      </c>
      <c r="D121" s="7">
        <f t="shared" si="11"/>
        <v>0.8208908072732688</v>
      </c>
      <c r="E121">
        <f t="shared" si="10"/>
        <v>1.1102230246251565E-16</v>
      </c>
      <c r="F121" s="7">
        <f>_xll.acq_special_erfc(B121)</f>
        <v>0.17910919272673131</v>
      </c>
      <c r="G121" s="7">
        <f t="shared" si="12"/>
        <v>0.1791091927267312</v>
      </c>
      <c r="H121" s="11">
        <f t="shared" si="13"/>
        <v>1.1102230246251565E-16</v>
      </c>
      <c r="I121" s="7">
        <f>_xll.acq_special_normalcdf(B121)</f>
        <v>0.82894387369151312</v>
      </c>
      <c r="J121" s="7">
        <f t="shared" si="14"/>
        <v>0.82894387369151312</v>
      </c>
      <c r="K121" s="11">
        <f t="shared" si="15"/>
        <v>0</v>
      </c>
      <c r="N121" s="7"/>
      <c r="P121" s="11"/>
    </row>
    <row r="122" spans="2:16" x14ac:dyDescent="0.25">
      <c r="B122">
        <v>0.99999999999998002</v>
      </c>
      <c r="C122" s="7">
        <f>_xll.acq_special_erf(B122)</f>
        <v>0.84270079294970657</v>
      </c>
      <c r="D122" s="7">
        <f t="shared" si="11"/>
        <v>0.84270079294970657</v>
      </c>
      <c r="E122">
        <f t="shared" si="10"/>
        <v>0</v>
      </c>
      <c r="F122" s="7">
        <f>_xll.acq_special_erfc(B122)</f>
        <v>0.15729920705029343</v>
      </c>
      <c r="G122" s="7">
        <f t="shared" si="12"/>
        <v>0.15729920705029343</v>
      </c>
      <c r="H122" s="11">
        <f t="shared" si="13"/>
        <v>0</v>
      </c>
      <c r="I122" s="7">
        <f>_xll.acq_special_normalcdf(B122)</f>
        <v>0.84134474606853815</v>
      </c>
      <c r="J122" s="7">
        <f t="shared" si="14"/>
        <v>0.84134474606853815</v>
      </c>
      <c r="K122" s="11">
        <f t="shared" si="15"/>
        <v>0</v>
      </c>
      <c r="N122" s="7"/>
      <c r="P122" s="11"/>
    </row>
    <row r="123" spans="2:16" x14ac:dyDescent="0.25">
      <c r="B123">
        <v>1.0499999999999801</v>
      </c>
      <c r="C123" s="7">
        <f>_xll.acq_special_erf(B123)</f>
        <v>0.86243610609008914</v>
      </c>
      <c r="D123" s="7">
        <f t="shared" si="11"/>
        <v>0.86243610609008925</v>
      </c>
      <c r="E123">
        <f t="shared" si="10"/>
        <v>1.1102230246251565E-16</v>
      </c>
      <c r="F123" s="7">
        <f>_xll.acq_special_erfc(B123)</f>
        <v>0.13756389390991083</v>
      </c>
      <c r="G123" s="7">
        <f t="shared" si="12"/>
        <v>0.13756389390991078</v>
      </c>
      <c r="H123" s="11">
        <f t="shared" si="13"/>
        <v>5.5511151231257827E-17</v>
      </c>
      <c r="I123" s="7">
        <f>_xll.acq_special_normalcdf(B123)</f>
        <v>0.85314094362409953</v>
      </c>
      <c r="J123" s="7">
        <f t="shared" si="14"/>
        <v>0.85314094362409953</v>
      </c>
      <c r="K123" s="11">
        <f t="shared" si="15"/>
        <v>0</v>
      </c>
      <c r="N123" s="7"/>
      <c r="P123" s="11"/>
    </row>
    <row r="124" spans="2:16" x14ac:dyDescent="0.25">
      <c r="B124">
        <v>1.0999999999999801</v>
      </c>
      <c r="C124" s="7">
        <f>_xll.acq_special_erf(B124)</f>
        <v>0.88020506957407496</v>
      </c>
      <c r="D124" s="7">
        <f t="shared" si="11"/>
        <v>0.88020506957407496</v>
      </c>
      <c r="E124">
        <f t="shared" si="10"/>
        <v>0</v>
      </c>
      <c r="F124" s="7">
        <f>_xll.acq_special_erfc(B124)</f>
        <v>0.11979493042592501</v>
      </c>
      <c r="G124" s="7">
        <f t="shared" si="12"/>
        <v>0.119794930425925</v>
      </c>
      <c r="H124" s="11">
        <f t="shared" si="13"/>
        <v>1.3877787807814457E-17</v>
      </c>
      <c r="I124" s="7">
        <f>_xll.acq_special_normalcdf(B124)</f>
        <v>0.864333939053613</v>
      </c>
      <c r="J124" s="7">
        <f t="shared" si="14"/>
        <v>0.864333939053613</v>
      </c>
      <c r="K124" s="11">
        <f t="shared" si="15"/>
        <v>0</v>
      </c>
      <c r="N124" s="7"/>
      <c r="P124" s="11"/>
    </row>
    <row r="125" spans="2:16" x14ac:dyDescent="0.25">
      <c r="B125">
        <v>1.1499999999999799</v>
      </c>
      <c r="C125" s="7">
        <f>_xll.acq_special_erf(B125)</f>
        <v>0.89612384293690894</v>
      </c>
      <c r="D125" s="7">
        <f t="shared" si="11"/>
        <v>0.89612384293690894</v>
      </c>
      <c r="E125">
        <f t="shared" si="10"/>
        <v>0</v>
      </c>
      <c r="F125" s="7">
        <f>_xll.acq_special_erfc(B125)</f>
        <v>0.10387615706309104</v>
      </c>
      <c r="G125" s="7">
        <f t="shared" si="12"/>
        <v>0.10387615706309103</v>
      </c>
      <c r="H125" s="11">
        <f t="shared" si="13"/>
        <v>1.3877787807814457E-17</v>
      </c>
      <c r="I125" s="7">
        <f>_xll.acq_special_normalcdf(B125)</f>
        <v>0.87492806436284565</v>
      </c>
      <c r="J125" s="7">
        <f t="shared" si="14"/>
        <v>0.87492806436284565</v>
      </c>
      <c r="K125" s="11">
        <f t="shared" si="15"/>
        <v>0</v>
      </c>
      <c r="N125" s="7"/>
      <c r="P125" s="11"/>
    </row>
    <row r="126" spans="2:16" x14ac:dyDescent="0.25">
      <c r="B126">
        <v>1.19999999999998</v>
      </c>
      <c r="C126" s="7">
        <f>_xll.acq_special_erf(B126)</f>
        <v>0.91031397822963012</v>
      </c>
      <c r="D126" s="7">
        <f t="shared" si="11"/>
        <v>0.91031397822963001</v>
      </c>
      <c r="E126">
        <f t="shared" si="10"/>
        <v>1.1102230246251565E-16</v>
      </c>
      <c r="F126" s="7">
        <f>_xll.acq_special_erfc(B126)</f>
        <v>8.9686021770369939E-2</v>
      </c>
      <c r="G126" s="7">
        <f t="shared" si="12"/>
        <v>8.9686021770369981E-2</v>
      </c>
      <c r="H126" s="11">
        <f t="shared" si="13"/>
        <v>4.163336342344337E-17</v>
      </c>
      <c r="I126" s="7">
        <f>_xll.acq_special_normalcdf(B126)</f>
        <v>0.88493032977828778</v>
      </c>
      <c r="J126" s="7">
        <f t="shared" si="14"/>
        <v>0.88493032977828789</v>
      </c>
      <c r="K126" s="11">
        <f t="shared" si="15"/>
        <v>1.1102230246251565E-16</v>
      </c>
      <c r="N126" s="7"/>
      <c r="P126" s="11"/>
    </row>
    <row r="127" spans="2:16" x14ac:dyDescent="0.25">
      <c r="B127">
        <v>1.24999999999998</v>
      </c>
      <c r="C127" s="7">
        <f>_xll.acq_special_erf(B127)</f>
        <v>0.92290012825645351</v>
      </c>
      <c r="D127" s="7">
        <f t="shared" si="11"/>
        <v>0.92290012825645351</v>
      </c>
      <c r="E127">
        <f t="shared" si="10"/>
        <v>0</v>
      </c>
      <c r="F127" s="7">
        <f>_xll.acq_special_erfc(B127)</f>
        <v>7.7099871743546516E-2</v>
      </c>
      <c r="G127" s="7">
        <f t="shared" si="12"/>
        <v>7.7099871743546503E-2</v>
      </c>
      <c r="H127" s="11">
        <f t="shared" si="13"/>
        <v>1.3877787807814457E-17</v>
      </c>
      <c r="I127" s="7">
        <f>_xll.acq_special_normalcdf(B127)</f>
        <v>0.8943502263331411</v>
      </c>
      <c r="J127" s="7">
        <f t="shared" si="14"/>
        <v>0.8943502263331411</v>
      </c>
      <c r="K127" s="11">
        <f t="shared" si="15"/>
        <v>0</v>
      </c>
      <c r="N127" s="7"/>
      <c r="P127" s="11"/>
    </row>
    <row r="128" spans="2:16" x14ac:dyDescent="0.25">
      <c r="B128">
        <v>1.2999999999999801</v>
      </c>
      <c r="C128" s="7">
        <f>_xll.acq_special_erf(B128)</f>
        <v>0.93400794494064832</v>
      </c>
      <c r="D128" s="7">
        <f t="shared" si="11"/>
        <v>0.93400794494064832</v>
      </c>
      <c r="E128">
        <f t="shared" si="10"/>
        <v>0</v>
      </c>
      <c r="F128" s="7">
        <f>_xll.acq_special_erfc(B128)</f>
        <v>6.5992055059351726E-2</v>
      </c>
      <c r="G128" s="7">
        <f t="shared" si="12"/>
        <v>6.5992055059351712E-2</v>
      </c>
      <c r="H128" s="11">
        <f t="shared" si="13"/>
        <v>1.3877787807814457E-17</v>
      </c>
      <c r="I128" s="7">
        <f>_xll.acq_special_normalcdf(B128)</f>
        <v>0.90319951541438614</v>
      </c>
      <c r="J128" s="7">
        <f t="shared" si="14"/>
        <v>0.90319951541438626</v>
      </c>
      <c r="K128" s="11">
        <f t="shared" si="15"/>
        <v>1.1102230246251565E-16</v>
      </c>
      <c r="N128" s="7"/>
      <c r="P128" s="11"/>
    </row>
    <row r="129" spans="2:16" x14ac:dyDescent="0.25">
      <c r="B129">
        <v>1.3499999999999801</v>
      </c>
      <c r="C129" s="7">
        <f>_xll.acq_special_erf(B129)</f>
        <v>0.94376219612272039</v>
      </c>
      <c r="D129" s="7">
        <f t="shared" si="11"/>
        <v>0.94376219612272039</v>
      </c>
      <c r="E129">
        <f t="shared" si="10"/>
        <v>0</v>
      </c>
      <c r="F129" s="7">
        <f>_xll.acq_special_erfc(B129)</f>
        <v>5.6237803877279571E-2</v>
      </c>
      <c r="G129" s="7">
        <f t="shared" si="12"/>
        <v>5.6237803877279571E-2</v>
      </c>
      <c r="H129" s="11">
        <f t="shared" si="13"/>
        <v>0</v>
      </c>
      <c r="I129" s="7">
        <f>_xll.acq_special_normalcdf(B129)</f>
        <v>0.91149200856259482</v>
      </c>
      <c r="J129" s="7">
        <f t="shared" si="14"/>
        <v>0.91149200856259482</v>
      </c>
      <c r="K129" s="11">
        <f t="shared" si="15"/>
        <v>0</v>
      </c>
      <c r="N129" s="7"/>
      <c r="P129" s="11"/>
    </row>
    <row r="130" spans="2:16" x14ac:dyDescent="0.25">
      <c r="B130">
        <v>1.3999999999999799</v>
      </c>
      <c r="C130" s="7">
        <f>_xll.acq_special_erf(B130)</f>
        <v>0.95228511976264563</v>
      </c>
      <c r="D130" s="7">
        <f t="shared" si="11"/>
        <v>0.95228511976264563</v>
      </c>
      <c r="E130">
        <f t="shared" ref="E130:E193" si="18">ABS(C130-D130)</f>
        <v>0</v>
      </c>
      <c r="F130" s="7">
        <f>_xll.acq_special_erfc(B130)</f>
        <v>4.7714880237354373E-2</v>
      </c>
      <c r="G130" s="7">
        <f t="shared" si="12"/>
        <v>4.7714880237354373E-2</v>
      </c>
      <c r="H130" s="11">
        <f t="shared" si="13"/>
        <v>0</v>
      </c>
      <c r="I130" s="7">
        <f>_xll.acq_special_normalcdf(B130)</f>
        <v>0.91924334076622594</v>
      </c>
      <c r="J130" s="7">
        <f t="shared" si="14"/>
        <v>0.91924334076622594</v>
      </c>
      <c r="K130" s="11">
        <f t="shared" si="15"/>
        <v>0</v>
      </c>
      <c r="N130" s="7"/>
      <c r="P130" s="11"/>
    </row>
    <row r="131" spans="2:16" x14ac:dyDescent="0.25">
      <c r="B131">
        <v>1.44999999999998</v>
      </c>
      <c r="C131" s="7">
        <f>_xll.acq_special_erf(B131)</f>
        <v>0.95969502563745646</v>
      </c>
      <c r="D131" s="7">
        <f t="shared" ref="D131:D194" si="19">_xlfn.ERF.PRECISE(B131)</f>
        <v>0.95969502563745646</v>
      </c>
      <c r="E131">
        <f t="shared" si="18"/>
        <v>0</v>
      </c>
      <c r="F131" s="7">
        <f>_xll.acq_special_erfc(B131)</f>
        <v>4.030497436254353E-2</v>
      </c>
      <c r="G131" s="7">
        <f t="shared" ref="G131:G194" si="20">_xlfn.ERFC.PRECISE(B131)</f>
        <v>4.030497436254353E-2</v>
      </c>
      <c r="H131" s="11">
        <f t="shared" ref="H131:H194" si="21">ABS(F131-G131)</f>
        <v>0</v>
      </c>
      <c r="I131" s="7">
        <f>_xll.acq_special_normalcdf(B131)</f>
        <v>0.92647074039034893</v>
      </c>
      <c r="J131" s="7">
        <f t="shared" ref="J131:J194" si="22">_xlfn.NORM.S.DIST(B131,TRUE)</f>
        <v>0.92647074039034893</v>
      </c>
      <c r="K131" s="11">
        <f t="shared" ref="K131:K194" si="23">ABS(I131-J131)</f>
        <v>0</v>
      </c>
      <c r="N131" s="7"/>
      <c r="P131" s="11"/>
    </row>
    <row r="132" spans="2:16" x14ac:dyDescent="0.25">
      <c r="B132">
        <v>1.49999999999998</v>
      </c>
      <c r="C132" s="7">
        <f>_xll.acq_special_erf(B132)</f>
        <v>0.96610514647530832</v>
      </c>
      <c r="D132" s="7">
        <f t="shared" si="19"/>
        <v>0.96610514647530832</v>
      </c>
      <c r="E132">
        <f t="shared" si="18"/>
        <v>0</v>
      </c>
      <c r="F132" s="7">
        <f>_xll.acq_special_erfc(B132)</f>
        <v>3.3894853524691647E-2</v>
      </c>
      <c r="G132" s="7">
        <f t="shared" si="20"/>
        <v>3.3894853524691654E-2</v>
      </c>
      <c r="H132" s="11">
        <f t="shared" si="21"/>
        <v>6.9388939039072284E-18</v>
      </c>
      <c r="I132" s="7">
        <f>_xll.acq_special_normalcdf(B132)</f>
        <v>0.93319279873113936</v>
      </c>
      <c r="J132" s="7">
        <f t="shared" si="22"/>
        <v>0.93319279873113936</v>
      </c>
      <c r="K132" s="11">
        <f t="shared" si="23"/>
        <v>0</v>
      </c>
      <c r="N132" s="7"/>
      <c r="P132" s="11"/>
    </row>
    <row r="133" spans="2:16" x14ac:dyDescent="0.25">
      <c r="B133">
        <v>1.5499999999999801</v>
      </c>
      <c r="C133" s="7">
        <f>_xll.acq_special_erf(B133)</f>
        <v>0.97162273326201054</v>
      </c>
      <c r="D133" s="7">
        <f t="shared" si="19"/>
        <v>0.97162273326201054</v>
      </c>
      <c r="E133">
        <f t="shared" si="18"/>
        <v>0</v>
      </c>
      <c r="F133" s="7">
        <f>_xll.acq_special_erfc(B133)</f>
        <v>2.8377266737989501E-2</v>
      </c>
      <c r="G133" s="7">
        <f t="shared" si="20"/>
        <v>2.8377266737989505E-2</v>
      </c>
      <c r="H133" s="11">
        <f t="shared" si="21"/>
        <v>3.4694469519536142E-18</v>
      </c>
      <c r="I133" s="7">
        <f>_xll.acq_special_normalcdf(B133)</f>
        <v>0.93942924199793865</v>
      </c>
      <c r="J133" s="7">
        <f t="shared" si="22"/>
        <v>0.93942924199793865</v>
      </c>
      <c r="K133" s="11">
        <f t="shared" si="23"/>
        <v>0</v>
      </c>
      <c r="N133" s="7"/>
      <c r="P133" s="11"/>
    </row>
    <row r="134" spans="2:16" x14ac:dyDescent="0.25">
      <c r="B134">
        <v>1.5999999999999801</v>
      </c>
      <c r="C134" s="7">
        <f>_xll.acq_special_erf(B134)</f>
        <v>0.97634838334464225</v>
      </c>
      <c r="D134" s="7">
        <f t="shared" si="19"/>
        <v>0.97634838334464225</v>
      </c>
      <c r="E134">
        <f t="shared" si="18"/>
        <v>0</v>
      </c>
      <c r="F134" s="7">
        <f>_xll.acq_special_erfc(B134)</f>
        <v>2.3651616655357723E-2</v>
      </c>
      <c r="G134" s="7">
        <f t="shared" si="20"/>
        <v>2.3651616655357727E-2</v>
      </c>
      <c r="H134" s="11">
        <f t="shared" si="21"/>
        <v>3.4694469519536142E-18</v>
      </c>
      <c r="I134" s="7">
        <f>_xll.acq_special_normalcdf(B134)</f>
        <v>0.94520070830043978</v>
      </c>
      <c r="J134" s="7">
        <f t="shared" si="22"/>
        <v>0.94520070830043978</v>
      </c>
      <c r="K134" s="11">
        <f t="shared" si="23"/>
        <v>0</v>
      </c>
      <c r="N134" s="7"/>
      <c r="P134" s="11"/>
    </row>
    <row r="135" spans="2:16" x14ac:dyDescent="0.25">
      <c r="B135">
        <v>1.6499999999999799</v>
      </c>
      <c r="C135" s="7">
        <f>_xll.acq_special_erf(B135)</f>
        <v>0.98037558502335886</v>
      </c>
      <c r="D135" s="7">
        <f t="shared" si="19"/>
        <v>0.98037558502335886</v>
      </c>
      <c r="E135">
        <f t="shared" si="18"/>
        <v>0</v>
      </c>
      <c r="F135" s="7">
        <f>_xll.acq_special_erfc(B135)</f>
        <v>1.9624414976641191E-2</v>
      </c>
      <c r="G135" s="7">
        <f t="shared" si="20"/>
        <v>1.9624414976641184E-2</v>
      </c>
      <c r="H135" s="11">
        <f t="shared" si="21"/>
        <v>6.9388939039072284E-18</v>
      </c>
      <c r="I135" s="7">
        <f>_xll.acq_special_normalcdf(B135)</f>
        <v>0.9505285319663499</v>
      </c>
      <c r="J135" s="7">
        <f t="shared" si="22"/>
        <v>0.9505285319663499</v>
      </c>
      <c r="K135" s="11">
        <f t="shared" si="23"/>
        <v>0</v>
      </c>
      <c r="N135" s="7"/>
      <c r="P135" s="11"/>
    </row>
    <row r="136" spans="2:16" x14ac:dyDescent="0.25">
      <c r="B136">
        <v>1.69999999999998</v>
      </c>
      <c r="C136" s="7">
        <f>_xll.acq_special_erf(B136)</f>
        <v>0.9837904585907733</v>
      </c>
      <c r="D136" s="7">
        <f t="shared" si="19"/>
        <v>0.9837904585907733</v>
      </c>
      <c r="E136">
        <f t="shared" si="18"/>
        <v>0</v>
      </c>
      <c r="F136" s="7">
        <f>_xll.acq_special_erfc(B136)</f>
        <v>1.6209541409226695E-2</v>
      </c>
      <c r="G136" s="7">
        <f t="shared" si="20"/>
        <v>1.6209541409226695E-2</v>
      </c>
      <c r="H136" s="11">
        <f t="shared" si="21"/>
        <v>0</v>
      </c>
      <c r="I136" s="7">
        <f>_xll.acq_special_normalcdf(B136)</f>
        <v>0.95543453724145511</v>
      </c>
      <c r="J136" s="7">
        <f t="shared" si="22"/>
        <v>0.95543453724145511</v>
      </c>
      <c r="K136" s="11">
        <f t="shared" si="23"/>
        <v>0</v>
      </c>
      <c r="N136" s="7"/>
      <c r="P136" s="11"/>
    </row>
    <row r="137" spans="2:16" x14ac:dyDescent="0.25">
      <c r="B137">
        <v>1.74999999999998</v>
      </c>
      <c r="C137" s="7">
        <f>_xll.acq_special_erf(B137)</f>
        <v>0.98667167121918142</v>
      </c>
      <c r="D137" s="7">
        <f t="shared" si="19"/>
        <v>0.98667167121918142</v>
      </c>
      <c r="E137">
        <f t="shared" si="18"/>
        <v>0</v>
      </c>
      <c r="F137" s="7">
        <f>_xll.acq_special_erfc(B137)</f>
        <v>1.3328328780818608E-2</v>
      </c>
      <c r="G137" s="7">
        <f t="shared" si="20"/>
        <v>1.3328328780818612E-2</v>
      </c>
      <c r="H137" s="11">
        <f t="shared" si="21"/>
        <v>3.4694469519536142E-18</v>
      </c>
      <c r="I137" s="7">
        <f>_xll.acq_special_normalcdf(B137)</f>
        <v>0.95994084313618122</v>
      </c>
      <c r="J137" s="7">
        <f t="shared" si="22"/>
        <v>0.95994084313618122</v>
      </c>
      <c r="K137" s="11">
        <f t="shared" si="23"/>
        <v>0</v>
      </c>
      <c r="N137" s="7"/>
      <c r="P137" s="11"/>
    </row>
    <row r="138" spans="2:16" x14ac:dyDescent="0.25">
      <c r="B138">
        <v>1.7999999999999801</v>
      </c>
      <c r="C138" s="7">
        <f>_xll.acq_special_erf(B138)</f>
        <v>0.98909050163572987</v>
      </c>
      <c r="D138" s="7">
        <f t="shared" si="19"/>
        <v>0.98909050163572987</v>
      </c>
      <c r="E138">
        <f t="shared" si="18"/>
        <v>0</v>
      </c>
      <c r="F138" s="7">
        <f>_xll.acq_special_erfc(B138)</f>
        <v>1.0909498364270166E-2</v>
      </c>
      <c r="G138" s="7">
        <f t="shared" si="20"/>
        <v>1.0909498364270163E-2</v>
      </c>
      <c r="H138" s="11">
        <f t="shared" si="21"/>
        <v>3.4694469519536142E-18</v>
      </c>
      <c r="I138" s="7">
        <f>_xll.acq_special_normalcdf(B138)</f>
        <v>0.96406968088707257</v>
      </c>
      <c r="J138" s="7">
        <f t="shared" si="22"/>
        <v>0.96406968088707268</v>
      </c>
      <c r="K138" s="11">
        <f t="shared" si="23"/>
        <v>1.1102230246251565E-16</v>
      </c>
      <c r="N138" s="7"/>
      <c r="P138" s="11"/>
    </row>
    <row r="139" spans="2:16" x14ac:dyDescent="0.25">
      <c r="B139">
        <v>1.8499999999999801</v>
      </c>
      <c r="C139" s="7">
        <f>_xll.acq_special_erf(B139)</f>
        <v>0.99111103005608503</v>
      </c>
      <c r="D139" s="7">
        <f t="shared" si="19"/>
        <v>0.99111103005608503</v>
      </c>
      <c r="E139">
        <f t="shared" si="18"/>
        <v>0</v>
      </c>
      <c r="F139" s="7">
        <f>_xll.acq_special_erfc(B139)</f>
        <v>8.888969943915026E-3</v>
      </c>
      <c r="G139" s="7">
        <f t="shared" si="20"/>
        <v>8.888969943915026E-3</v>
      </c>
      <c r="H139" s="11">
        <f t="shared" si="21"/>
        <v>0</v>
      </c>
      <c r="I139" s="7">
        <f>_xll.acq_special_normalcdf(B139)</f>
        <v>0.96784322520438482</v>
      </c>
      <c r="J139" s="7">
        <f t="shared" si="22"/>
        <v>0.96784322520438493</v>
      </c>
      <c r="K139" s="11">
        <f t="shared" si="23"/>
        <v>1.1102230246251565E-16</v>
      </c>
      <c r="N139" s="7"/>
      <c r="P139" s="11"/>
    </row>
    <row r="140" spans="2:16" x14ac:dyDescent="0.25">
      <c r="B140">
        <v>1.8999999999999799</v>
      </c>
      <c r="C140" s="7">
        <f>_xll.acq_special_erf(B140)</f>
        <v>0.99279042923525684</v>
      </c>
      <c r="D140" s="7">
        <f t="shared" si="19"/>
        <v>0.99279042923525684</v>
      </c>
      <c r="E140">
        <f t="shared" si="18"/>
        <v>0</v>
      </c>
      <c r="F140" s="7">
        <f>_xll.acq_special_erfc(B140)</f>
        <v>7.2095707647431406E-3</v>
      </c>
      <c r="G140" s="7">
        <f t="shared" si="20"/>
        <v>7.2095707647431388E-3</v>
      </c>
      <c r="H140" s="11">
        <f t="shared" si="21"/>
        <v>1.7347234759768071E-18</v>
      </c>
      <c r="I140" s="7">
        <f>_xll.acq_special_normalcdf(B140)</f>
        <v>0.97128344018399693</v>
      </c>
      <c r="J140" s="7">
        <f t="shared" si="22"/>
        <v>0.97128344018399693</v>
      </c>
      <c r="K140" s="11">
        <f t="shared" si="23"/>
        <v>0</v>
      </c>
      <c r="N140" s="7"/>
      <c r="P140" s="11"/>
    </row>
    <row r="141" spans="2:16" x14ac:dyDescent="0.25">
      <c r="B141">
        <v>1.94999999999998</v>
      </c>
      <c r="C141" s="7">
        <f>_xll.acq_special_erf(B141)</f>
        <v>0.99417933359218857</v>
      </c>
      <c r="D141" s="7">
        <f t="shared" si="19"/>
        <v>0.99417933359218857</v>
      </c>
      <c r="E141">
        <f t="shared" si="18"/>
        <v>0</v>
      </c>
      <c r="F141" s="7">
        <f>_xll.acq_special_erfc(B141)</f>
        <v>5.820666407811384E-3</v>
      </c>
      <c r="G141" s="7">
        <f t="shared" si="20"/>
        <v>5.820666407811384E-3</v>
      </c>
      <c r="H141" s="11">
        <f t="shared" si="21"/>
        <v>0</v>
      </c>
      <c r="I141" s="7">
        <f>_xll.acq_special_normalcdf(B141)</f>
        <v>0.97441194047836022</v>
      </c>
      <c r="J141" s="7">
        <f t="shared" si="22"/>
        <v>0.97441194047836022</v>
      </c>
      <c r="K141" s="11">
        <f t="shared" si="23"/>
        <v>0</v>
      </c>
      <c r="N141" s="7"/>
      <c r="P141" s="11"/>
    </row>
    <row r="142" spans="2:16" x14ac:dyDescent="0.25">
      <c r="B142">
        <v>1.99999999999998</v>
      </c>
      <c r="C142" s="7">
        <f>_xll.acq_special_erf(B142)</f>
        <v>0.99532226501895227</v>
      </c>
      <c r="D142" s="7">
        <f t="shared" si="19"/>
        <v>0.99532226501895227</v>
      </c>
      <c r="E142">
        <f t="shared" si="18"/>
        <v>0</v>
      </c>
      <c r="F142" s="7">
        <f>_xll.acq_special_erfc(B142)</f>
        <v>4.6777349810476774E-3</v>
      </c>
      <c r="G142" s="7">
        <f t="shared" si="20"/>
        <v>4.6777349810476782E-3</v>
      </c>
      <c r="H142" s="11">
        <f t="shared" si="21"/>
        <v>8.6736173798840355E-19</v>
      </c>
      <c r="I142" s="7">
        <f>_xll.acq_special_normalcdf(B142)</f>
        <v>0.97724986805181968</v>
      </c>
      <c r="J142" s="7">
        <f t="shared" si="22"/>
        <v>0.97724986805181968</v>
      </c>
      <c r="K142" s="11">
        <f t="shared" si="23"/>
        <v>0</v>
      </c>
      <c r="N142" s="7"/>
      <c r="P142" s="11"/>
    </row>
    <row r="143" spans="2:16" x14ac:dyDescent="0.25">
      <c r="B143">
        <v>2.0499999999999701</v>
      </c>
      <c r="C143" s="7">
        <f>_xll.acq_special_erf(B143)</f>
        <v>0.99625809604445636</v>
      </c>
      <c r="D143" s="7">
        <f t="shared" si="19"/>
        <v>0.99625809604445636</v>
      </c>
      <c r="E143">
        <f t="shared" si="18"/>
        <v>0</v>
      </c>
      <c r="F143" s="7">
        <f>_xll.acq_special_erfc(B143)</f>
        <v>3.741903955543632E-3</v>
      </c>
      <c r="G143" s="7">
        <f t="shared" si="20"/>
        <v>3.7419039555436316E-3</v>
      </c>
      <c r="H143" s="11">
        <f t="shared" si="21"/>
        <v>4.3368086899420177E-19</v>
      </c>
      <c r="I143" s="7">
        <f>_xll.acq_special_normalcdf(B143)</f>
        <v>0.97981778459429414</v>
      </c>
      <c r="J143" s="7">
        <f t="shared" si="22"/>
        <v>0.97981778459429414</v>
      </c>
      <c r="K143" s="11">
        <f t="shared" si="23"/>
        <v>0</v>
      </c>
      <c r="N143" s="7"/>
      <c r="P143" s="11"/>
    </row>
    <row r="144" spans="2:16" x14ac:dyDescent="0.25">
      <c r="B144">
        <v>2.0999999999999699</v>
      </c>
      <c r="C144" s="7">
        <f>_xll.acq_special_erf(B144)</f>
        <v>0.99702053334366658</v>
      </c>
      <c r="D144" s="7">
        <f t="shared" si="19"/>
        <v>0.99702053334366658</v>
      </c>
      <c r="E144">
        <f t="shared" si="18"/>
        <v>0</v>
      </c>
      <c r="F144" s="7">
        <f>_xll.acq_special_erfc(B144)</f>
        <v>2.9794666563333996E-3</v>
      </c>
      <c r="G144" s="7">
        <f t="shared" si="20"/>
        <v>2.9794666563333987E-3</v>
      </c>
      <c r="H144" s="11">
        <f t="shared" si="21"/>
        <v>8.6736173798840355E-19</v>
      </c>
      <c r="I144" s="7">
        <f>_xll.acq_special_normalcdf(B144)</f>
        <v>0.9821355794371821</v>
      </c>
      <c r="J144" s="7">
        <f t="shared" si="22"/>
        <v>0.9821355794371821</v>
      </c>
      <c r="K144" s="11">
        <f t="shared" si="23"/>
        <v>0</v>
      </c>
      <c r="N144" s="7"/>
      <c r="P144" s="11"/>
    </row>
    <row r="145" spans="2:16" x14ac:dyDescent="0.25">
      <c r="B145">
        <v>2.1499999999999702</v>
      </c>
      <c r="C145" s="7">
        <f>_xll.acq_special_erf(B145)</f>
        <v>0.99763860703732499</v>
      </c>
      <c r="D145" s="7">
        <f t="shared" si="19"/>
        <v>0.99763860703732499</v>
      </c>
      <c r="E145">
        <f t="shared" si="18"/>
        <v>0</v>
      </c>
      <c r="F145" s="7">
        <f>_xll.acq_special_erfc(B145)</f>
        <v>2.3613929626749861E-3</v>
      </c>
      <c r="G145" s="7">
        <f t="shared" si="20"/>
        <v>2.3613929626749857E-3</v>
      </c>
      <c r="H145" s="11">
        <f t="shared" si="21"/>
        <v>4.3368086899420177E-19</v>
      </c>
      <c r="I145" s="7">
        <f>_xll.acq_special_normalcdf(B145)</f>
        <v>0.98422239260890831</v>
      </c>
      <c r="J145" s="7">
        <f t="shared" si="22"/>
        <v>0.98422239260890831</v>
      </c>
      <c r="K145" s="11">
        <f t="shared" si="23"/>
        <v>0</v>
      </c>
      <c r="N145" s="7"/>
      <c r="P145" s="11"/>
    </row>
    <row r="146" spans="2:16" x14ac:dyDescent="0.25">
      <c r="B146">
        <v>2.19999999999997</v>
      </c>
      <c r="C146" s="7">
        <f>_xll.acq_special_erf(B146)</f>
        <v>0.99813715370201783</v>
      </c>
      <c r="D146" s="7">
        <f t="shared" si="19"/>
        <v>0.99813715370201783</v>
      </c>
      <c r="E146">
        <f t="shared" si="18"/>
        <v>0</v>
      </c>
      <c r="F146" s="7">
        <f>_xll.acq_special_erfc(B146)</f>
        <v>1.86284629798216E-3</v>
      </c>
      <c r="G146" s="7">
        <f t="shared" si="20"/>
        <v>1.8628462979821602E-3</v>
      </c>
      <c r="H146" s="11">
        <f t="shared" si="21"/>
        <v>2.1684043449710089E-19</v>
      </c>
      <c r="I146" s="7">
        <f>_xll.acq_special_normalcdf(B146)</f>
        <v>0.9860965524865003</v>
      </c>
      <c r="J146" s="7">
        <f t="shared" si="22"/>
        <v>0.9860965524865003</v>
      </c>
      <c r="K146" s="11">
        <f t="shared" si="23"/>
        <v>0</v>
      </c>
      <c r="N146" s="7"/>
      <c r="P146" s="11"/>
    </row>
    <row r="147" spans="2:16" x14ac:dyDescent="0.25">
      <c r="B147">
        <v>2.2499999999999698</v>
      </c>
      <c r="C147" s="7">
        <f>_xll.acq_special_erf(B147)</f>
        <v>0.9985372834133186</v>
      </c>
      <c r="D147" s="7">
        <f t="shared" si="19"/>
        <v>0.9985372834133186</v>
      </c>
      <c r="E147">
        <f t="shared" si="18"/>
        <v>0</v>
      </c>
      <c r="F147" s="7">
        <f>_xll.acq_special_erfc(B147)</f>
        <v>1.4627165866813675E-3</v>
      </c>
      <c r="G147" s="7">
        <f t="shared" si="20"/>
        <v>1.4627165866813675E-3</v>
      </c>
      <c r="H147" s="11">
        <f t="shared" si="21"/>
        <v>0</v>
      </c>
      <c r="I147" s="7">
        <f>_xll.acq_special_normalcdf(B147)</f>
        <v>0.98777552734495433</v>
      </c>
      <c r="J147" s="7">
        <f t="shared" si="22"/>
        <v>0.98777552734495433</v>
      </c>
      <c r="K147" s="11">
        <f t="shared" si="23"/>
        <v>0</v>
      </c>
      <c r="N147" s="7"/>
      <c r="P147" s="11"/>
    </row>
    <row r="148" spans="2:16" x14ac:dyDescent="0.25">
      <c r="B148">
        <v>2.2999999999999701</v>
      </c>
      <c r="C148" s="7">
        <f>_xll.acq_special_erf(B148)</f>
        <v>0.99885682340264315</v>
      </c>
      <c r="D148" s="7">
        <f t="shared" si="19"/>
        <v>0.99885682340264315</v>
      </c>
      <c r="E148">
        <f t="shared" si="18"/>
        <v>0</v>
      </c>
      <c r="F148" s="7">
        <f>_xll.acq_special_erfc(B148)</f>
        <v>1.1431765973568216E-3</v>
      </c>
      <c r="G148" s="7">
        <f t="shared" si="20"/>
        <v>1.1431765973568219E-3</v>
      </c>
      <c r="H148" s="11">
        <f t="shared" si="21"/>
        <v>2.1684043449710089E-19</v>
      </c>
      <c r="I148" s="7">
        <f>_xll.acq_special_normalcdf(B148)</f>
        <v>0.98927588997832339</v>
      </c>
      <c r="J148" s="7">
        <f t="shared" si="22"/>
        <v>0.98927588997832339</v>
      </c>
      <c r="K148" s="11">
        <f t="shared" si="23"/>
        <v>0</v>
      </c>
      <c r="N148" s="7"/>
      <c r="P148" s="11"/>
    </row>
    <row r="149" spans="2:16" x14ac:dyDescent="0.25">
      <c r="B149">
        <v>2.3499999999999699</v>
      </c>
      <c r="C149" s="7">
        <f>_xll.acq_special_erf(B149)</f>
        <v>0.99911073296786745</v>
      </c>
      <c r="D149" s="7">
        <f t="shared" si="19"/>
        <v>0.99911073296786745</v>
      </c>
      <c r="E149">
        <f t="shared" si="18"/>
        <v>0</v>
      </c>
      <c r="F149" s="7">
        <f>_xll.acq_special_erfc(B149)</f>
        <v>8.8926703213259065E-4</v>
      </c>
      <c r="G149" s="7">
        <f t="shared" si="20"/>
        <v>8.8926703213259065E-4</v>
      </c>
      <c r="H149" s="11">
        <f t="shared" si="21"/>
        <v>0</v>
      </c>
      <c r="I149" s="7">
        <f>_xll.acq_special_normalcdf(B149)</f>
        <v>0.99061329446516067</v>
      </c>
      <c r="J149" s="7">
        <f t="shared" si="22"/>
        <v>0.99061329446516067</v>
      </c>
      <c r="K149" s="11">
        <f t="shared" si="23"/>
        <v>0</v>
      </c>
      <c r="N149" s="7"/>
      <c r="P149" s="11"/>
    </row>
    <row r="150" spans="2:16" x14ac:dyDescent="0.25">
      <c r="B150">
        <v>2.3999999999999702</v>
      </c>
      <c r="C150" s="7">
        <f>_xll.acq_special_erf(B150)</f>
        <v>0.99931148610335485</v>
      </c>
      <c r="D150" s="7">
        <f t="shared" si="19"/>
        <v>0.99931148610335485</v>
      </c>
      <c r="E150">
        <f t="shared" si="18"/>
        <v>0</v>
      </c>
      <c r="F150" s="7">
        <f>_xll.acq_special_erfc(B150)</f>
        <v>6.8851389664518461E-4</v>
      </c>
      <c r="G150" s="7">
        <f t="shared" si="20"/>
        <v>6.8851389664518461E-4</v>
      </c>
      <c r="H150" s="11">
        <f t="shared" si="21"/>
        <v>0</v>
      </c>
      <c r="I150" s="7">
        <f>_xll.acq_special_normalcdf(B150)</f>
        <v>0.99180246407540318</v>
      </c>
      <c r="J150" s="7">
        <f t="shared" si="22"/>
        <v>0.99180246407540318</v>
      </c>
      <c r="K150" s="11">
        <f t="shared" si="23"/>
        <v>0</v>
      </c>
      <c r="N150" s="7"/>
      <c r="P150" s="11"/>
    </row>
    <row r="151" spans="2:16" x14ac:dyDescent="0.25">
      <c r="B151">
        <v>2.44999999999997</v>
      </c>
      <c r="C151" s="7">
        <f>_xll.acq_special_erf(B151)</f>
        <v>0.99946941988774884</v>
      </c>
      <c r="D151" s="7">
        <f t="shared" si="19"/>
        <v>0.99946941988774884</v>
      </c>
      <c r="E151">
        <f t="shared" si="18"/>
        <v>0</v>
      </c>
      <c r="F151" s="7">
        <f>_xll.acq_special_erfc(B151)</f>
        <v>5.3058011225113808E-4</v>
      </c>
      <c r="G151" s="7">
        <f t="shared" si="20"/>
        <v>5.3058011225113819E-4</v>
      </c>
      <c r="H151" s="11">
        <f t="shared" si="21"/>
        <v>1.0842021724855044E-19</v>
      </c>
      <c r="I151" s="7">
        <f>_xll.acq_special_normalcdf(B151)</f>
        <v>0.99285718926472799</v>
      </c>
      <c r="J151" s="7">
        <f t="shared" si="22"/>
        <v>0.99285718926472799</v>
      </c>
      <c r="K151" s="11">
        <f t="shared" si="23"/>
        <v>0</v>
      </c>
      <c r="N151" s="7"/>
      <c r="P151" s="11"/>
    </row>
    <row r="152" spans="2:16" x14ac:dyDescent="0.25">
      <c r="B152">
        <v>2.4999999999999698</v>
      </c>
      <c r="C152" s="7">
        <f>_xll.acq_special_erf(B152)</f>
        <v>0.99959304798255499</v>
      </c>
      <c r="D152" s="7">
        <f t="shared" si="19"/>
        <v>0.99959304798255499</v>
      </c>
      <c r="E152">
        <f t="shared" si="18"/>
        <v>0</v>
      </c>
      <c r="F152" s="7">
        <f>_xll.acq_special_erfc(B152)</f>
        <v>4.0695201744502468E-4</v>
      </c>
      <c r="G152" s="7">
        <f t="shared" si="20"/>
        <v>4.0695201744502468E-4</v>
      </c>
      <c r="H152" s="11">
        <f t="shared" si="21"/>
        <v>0</v>
      </c>
      <c r="I152" s="7">
        <f>_xll.acq_special_normalcdf(B152)</f>
        <v>0.99379033467422329</v>
      </c>
      <c r="J152" s="7">
        <f t="shared" si="22"/>
        <v>0.99379033467422329</v>
      </c>
      <c r="K152" s="11">
        <f t="shared" si="23"/>
        <v>0</v>
      </c>
      <c r="N152" s="7"/>
      <c r="P152" s="11"/>
    </row>
    <row r="153" spans="2:16" x14ac:dyDescent="0.25">
      <c r="B153">
        <v>2.5499999999999701</v>
      </c>
      <c r="C153" s="7">
        <f>_xll.acq_special_erf(B153)</f>
        <v>0.99968933965736073</v>
      </c>
      <c r="D153" s="7">
        <f t="shared" si="19"/>
        <v>0.99968933965736073</v>
      </c>
      <c r="E153">
        <f t="shared" si="18"/>
        <v>0</v>
      </c>
      <c r="F153" s="7">
        <f>_xll.acq_special_erfc(B153)</f>
        <v>3.1066034263924102E-4</v>
      </c>
      <c r="G153" s="7">
        <f t="shared" si="20"/>
        <v>3.1066034263924107E-4</v>
      </c>
      <c r="H153" s="11">
        <f t="shared" si="21"/>
        <v>5.4210108624275222E-20</v>
      </c>
      <c r="I153" s="7">
        <f>_xll.acq_special_normalcdf(B153)</f>
        <v>0.99461385404593283</v>
      </c>
      <c r="J153" s="7">
        <f t="shared" si="22"/>
        <v>0.99461385404593283</v>
      </c>
      <c r="K153" s="11">
        <f t="shared" si="23"/>
        <v>0</v>
      </c>
      <c r="N153" s="7"/>
      <c r="P153" s="11"/>
    </row>
    <row r="154" spans="2:16" x14ac:dyDescent="0.25">
      <c r="B154">
        <v>2.5999999999999699</v>
      </c>
      <c r="C154" s="7">
        <f>_xll.acq_special_erf(B154)</f>
        <v>0.99976396558347058</v>
      </c>
      <c r="D154" s="7">
        <f t="shared" si="19"/>
        <v>0.99976396558347058</v>
      </c>
      <c r="E154">
        <f t="shared" si="18"/>
        <v>0</v>
      </c>
      <c r="F154" s="7">
        <f>_xll.acq_special_erfc(B154)</f>
        <v>2.3603441652938855E-4</v>
      </c>
      <c r="G154" s="7">
        <f t="shared" si="20"/>
        <v>2.360344165293886E-4</v>
      </c>
      <c r="H154" s="11">
        <f t="shared" si="21"/>
        <v>5.4210108624275222E-20</v>
      </c>
      <c r="I154" s="7">
        <f>_xll.acq_special_normalcdf(B154)</f>
        <v>0.99533881197628082</v>
      </c>
      <c r="J154" s="7">
        <f t="shared" si="22"/>
        <v>0.99533881197628082</v>
      </c>
      <c r="K154" s="11">
        <f t="shared" si="23"/>
        <v>0</v>
      </c>
      <c r="N154" s="7"/>
      <c r="P154" s="11"/>
    </row>
    <row r="155" spans="2:16" x14ac:dyDescent="0.25">
      <c r="B155">
        <v>2.6499999999999702</v>
      </c>
      <c r="C155" s="7">
        <f>_xll.acq_special_erf(B155)</f>
        <v>0.999821512247976</v>
      </c>
      <c r="D155" s="7">
        <f t="shared" si="19"/>
        <v>0.999821512247976</v>
      </c>
      <c r="E155">
        <f t="shared" si="18"/>
        <v>0</v>
      </c>
      <c r="F155" s="7">
        <f>_xll.acq_special_erfc(B155)</f>
        <v>1.784877520240309E-4</v>
      </c>
      <c r="G155" s="7">
        <f t="shared" si="20"/>
        <v>1.784877520240309E-4</v>
      </c>
      <c r="H155" s="11">
        <f t="shared" si="21"/>
        <v>0</v>
      </c>
      <c r="I155" s="7">
        <f>_xll.acq_special_normalcdf(B155)</f>
        <v>0.99597541145724133</v>
      </c>
      <c r="J155" s="7">
        <f t="shared" si="22"/>
        <v>0.99597541145724133</v>
      </c>
      <c r="K155" s="11">
        <f t="shared" si="23"/>
        <v>0</v>
      </c>
      <c r="N155" s="7"/>
      <c r="P155" s="11"/>
    </row>
    <row r="156" spans="2:16" x14ac:dyDescent="0.25">
      <c r="B156">
        <v>2.69999999999997</v>
      </c>
      <c r="C156" s="7">
        <f>_xll.acq_special_erf(B156)</f>
        <v>0.99986566726005943</v>
      </c>
      <c r="D156" s="7">
        <f t="shared" si="19"/>
        <v>0.99986566726005943</v>
      </c>
      <c r="E156">
        <f t="shared" si="18"/>
        <v>0</v>
      </c>
      <c r="F156" s="7">
        <f>_xll.acq_special_erfc(B156)</f>
        <v>1.3433273994054747E-4</v>
      </c>
      <c r="G156" s="7">
        <f t="shared" si="20"/>
        <v>1.343327399405475E-4</v>
      </c>
      <c r="H156" s="11">
        <f t="shared" si="21"/>
        <v>2.7105054312137611E-20</v>
      </c>
      <c r="I156" s="7">
        <f>_xll.acq_special_normalcdf(B156)</f>
        <v>0.99653302619695905</v>
      </c>
      <c r="J156" s="7">
        <f t="shared" si="22"/>
        <v>0.99653302619695905</v>
      </c>
      <c r="K156" s="11">
        <f t="shared" si="23"/>
        <v>0</v>
      </c>
      <c r="N156" s="7"/>
      <c r="P156" s="11"/>
    </row>
    <row r="157" spans="2:16" x14ac:dyDescent="0.25">
      <c r="B157">
        <v>2.7499999999999698</v>
      </c>
      <c r="C157" s="7">
        <f>_xll.acq_special_erf(B157)</f>
        <v>0.99989937807788032</v>
      </c>
      <c r="D157" s="7">
        <f t="shared" si="19"/>
        <v>0.99989937807788032</v>
      </c>
      <c r="E157">
        <f t="shared" si="18"/>
        <v>0</v>
      </c>
      <c r="F157" s="7">
        <f>_xll.acq_special_erfc(B157)</f>
        <v>1.0062192211965452E-4</v>
      </c>
      <c r="G157" s="7">
        <f t="shared" si="20"/>
        <v>1.0062192211965454E-4</v>
      </c>
      <c r="H157" s="11">
        <f t="shared" si="21"/>
        <v>2.7105054312137611E-20</v>
      </c>
      <c r="I157" s="7">
        <f>_xll.acq_special_normalcdf(B157)</f>
        <v>0.99702023676494522</v>
      </c>
      <c r="J157" s="7">
        <f t="shared" si="22"/>
        <v>0.99702023676494522</v>
      </c>
      <c r="K157" s="11">
        <f t="shared" si="23"/>
        <v>0</v>
      </c>
      <c r="N157" s="7"/>
      <c r="P157" s="11"/>
    </row>
    <row r="158" spans="2:16" x14ac:dyDescent="0.25">
      <c r="B158">
        <v>2.7999999999999701</v>
      </c>
      <c r="C158" s="7">
        <f>_xll.acq_special_erf(B158)</f>
        <v>0.99992498680533448</v>
      </c>
      <c r="D158" s="7">
        <f t="shared" si="19"/>
        <v>0.99992498680533448</v>
      </c>
      <c r="E158">
        <f t="shared" si="18"/>
        <v>0</v>
      </c>
      <c r="F158" s="7">
        <f>_xll.acq_special_erfc(B158)</f>
        <v>7.5013194665472362E-5</v>
      </c>
      <c r="G158" s="7">
        <f t="shared" si="20"/>
        <v>7.5013194665472362E-5</v>
      </c>
      <c r="H158" s="11">
        <f t="shared" si="21"/>
        <v>0</v>
      </c>
      <c r="I158" s="7">
        <f>_xll.acq_special_normalcdf(B158)</f>
        <v>0.9974448696695718</v>
      </c>
      <c r="J158" s="7">
        <f t="shared" si="22"/>
        <v>0.9974448696695718</v>
      </c>
      <c r="K158" s="11">
        <f t="shared" si="23"/>
        <v>0</v>
      </c>
      <c r="N158" s="7"/>
      <c r="P158" s="11"/>
    </row>
    <row r="159" spans="2:16" x14ac:dyDescent="0.25">
      <c r="B159">
        <v>2.8499999999999699</v>
      </c>
      <c r="C159" s="7">
        <f>_xll.acq_special_erf(B159)</f>
        <v>0.9999443437200386</v>
      </c>
      <c r="D159" s="7">
        <f t="shared" si="19"/>
        <v>0.9999443437200386</v>
      </c>
      <c r="E159">
        <f t="shared" si="18"/>
        <v>0</v>
      </c>
      <c r="F159" s="7">
        <f>_xll.acq_special_erfc(B159)</f>
        <v>5.5656279961409087E-5</v>
      </c>
      <c r="G159" s="7">
        <f t="shared" si="20"/>
        <v>5.565627996140906E-5</v>
      </c>
      <c r="H159" s="11">
        <f t="shared" si="21"/>
        <v>2.7105054312137611E-20</v>
      </c>
      <c r="I159" s="7">
        <f>_xll.acq_special_normalcdf(B159)</f>
        <v>0.99781403854508655</v>
      </c>
      <c r="J159" s="7">
        <f t="shared" si="22"/>
        <v>0.99781403854508655</v>
      </c>
      <c r="K159" s="11">
        <f t="shared" si="23"/>
        <v>0</v>
      </c>
      <c r="N159" s="7"/>
      <c r="P159" s="11"/>
    </row>
    <row r="160" spans="2:16" x14ac:dyDescent="0.25">
      <c r="B160">
        <v>2.8999999999999702</v>
      </c>
      <c r="C160" s="7">
        <f>_xll.acq_special_erf(B160)</f>
        <v>0.99995890212190053</v>
      </c>
      <c r="D160" s="7">
        <f t="shared" si="19"/>
        <v>0.99995890212190053</v>
      </c>
      <c r="E160">
        <f t="shared" si="18"/>
        <v>0</v>
      </c>
      <c r="F160" s="7">
        <f>_xll.acq_special_erfc(B160)</f>
        <v>4.1097878099466366E-5</v>
      </c>
      <c r="G160" s="7">
        <f t="shared" si="20"/>
        <v>4.1097878099466359E-5</v>
      </c>
      <c r="H160" s="11">
        <f t="shared" si="21"/>
        <v>6.7762635780344027E-21</v>
      </c>
      <c r="I160" s="7">
        <f>_xll.acq_special_normalcdf(B160)</f>
        <v>0.99813418669961573</v>
      </c>
      <c r="J160" s="7">
        <f t="shared" si="22"/>
        <v>0.99813418669961573</v>
      </c>
      <c r="K160" s="11">
        <f t="shared" si="23"/>
        <v>0</v>
      </c>
      <c r="N160" s="7"/>
      <c r="P160" s="11"/>
    </row>
    <row r="161" spans="2:16" x14ac:dyDescent="0.25">
      <c r="B161">
        <v>2.94999999999997</v>
      </c>
      <c r="C161" s="7">
        <f>_xll.acq_special_erf(B161)</f>
        <v>0.99996979695793586</v>
      </c>
      <c r="D161" s="7">
        <f t="shared" si="19"/>
        <v>0.99996979695793586</v>
      </c>
      <c r="E161">
        <f t="shared" si="18"/>
        <v>0</v>
      </c>
      <c r="F161" s="7">
        <f>_xll.acq_special_erfc(B161)</f>
        <v>3.0203042064143898E-5</v>
      </c>
      <c r="G161" s="7">
        <f t="shared" si="20"/>
        <v>3.0203042064143891E-5</v>
      </c>
      <c r="H161" s="11">
        <f t="shared" si="21"/>
        <v>6.7762635780344027E-21</v>
      </c>
      <c r="I161" s="7">
        <f>_xll.acq_special_normalcdf(B161)</f>
        <v>0.99841113035263496</v>
      </c>
      <c r="J161" s="7">
        <f t="shared" si="22"/>
        <v>0.99841113035263496</v>
      </c>
      <c r="K161" s="11">
        <f t="shared" si="23"/>
        <v>0</v>
      </c>
      <c r="N161" s="7"/>
      <c r="P161" s="11"/>
    </row>
    <row r="162" spans="2:16" x14ac:dyDescent="0.25">
      <c r="B162">
        <v>2.9999999999999698</v>
      </c>
      <c r="C162" s="7">
        <f>_xll.acq_special_erf(B162)</f>
        <v>0.99997790950300136</v>
      </c>
      <c r="D162" s="7">
        <f t="shared" si="19"/>
        <v>0.99997790950300136</v>
      </c>
      <c r="E162">
        <f t="shared" si="18"/>
        <v>0</v>
      </c>
      <c r="F162" s="7">
        <f>_xll.acq_special_erfc(B162)</f>
        <v>2.2090496998589649E-5</v>
      </c>
      <c r="G162" s="7">
        <f t="shared" si="20"/>
        <v>2.2090496998589649E-5</v>
      </c>
      <c r="H162" s="11">
        <f t="shared" si="21"/>
        <v>0</v>
      </c>
      <c r="I162" s="7">
        <f>_xll.acq_special_normalcdf(B162)</f>
        <v>0.99865010196836979</v>
      </c>
      <c r="J162" s="7">
        <f t="shared" si="22"/>
        <v>0.99865010196836979</v>
      </c>
      <c r="K162" s="11">
        <f t="shared" si="23"/>
        <v>0</v>
      </c>
      <c r="N162" s="7"/>
      <c r="P162" s="11"/>
    </row>
    <row r="163" spans="2:16" x14ac:dyDescent="0.25">
      <c r="B163">
        <v>3.0499999999999701</v>
      </c>
      <c r="C163" s="7">
        <f>_xll.acq_special_erf(B163)</f>
        <v>0.99998392017423987</v>
      </c>
      <c r="D163" s="7">
        <f t="shared" si="19"/>
        <v>0.99998392017423987</v>
      </c>
      <c r="E163">
        <f t="shared" si="18"/>
        <v>0</v>
      </c>
      <c r="F163" s="7">
        <f>_xll.acq_special_erfc(B163)</f>
        <v>1.6079825760170064E-5</v>
      </c>
      <c r="G163" s="7">
        <f t="shared" si="20"/>
        <v>1.6079825760170067E-5</v>
      </c>
      <c r="H163" s="11">
        <f t="shared" si="21"/>
        <v>3.3881317890172014E-21</v>
      </c>
      <c r="I163" s="7">
        <f>_xll.acq_special_normalcdf(B163)</f>
        <v>0.99885579316897721</v>
      </c>
      <c r="J163" s="7">
        <f t="shared" si="22"/>
        <v>0.99885579316897721</v>
      </c>
      <c r="K163" s="11">
        <f t="shared" si="23"/>
        <v>0</v>
      </c>
      <c r="N163" s="7"/>
      <c r="P163" s="11"/>
    </row>
    <row r="164" spans="2:16" x14ac:dyDescent="0.25">
      <c r="B164">
        <v>3.0999999999999699</v>
      </c>
      <c r="C164" s="7">
        <f>_xll.acq_special_erf(B164)</f>
        <v>0.99998835134263275</v>
      </c>
      <c r="D164" s="7">
        <f t="shared" si="19"/>
        <v>0.99998835134263275</v>
      </c>
      <c r="E164">
        <f t="shared" si="18"/>
        <v>0</v>
      </c>
      <c r="F164" s="7">
        <f>_xll.acq_special_erfc(B164)</f>
        <v>1.1648657367201876E-5</v>
      </c>
      <c r="G164" s="7">
        <f t="shared" si="20"/>
        <v>1.1648657367201876E-5</v>
      </c>
      <c r="H164" s="11">
        <f t="shared" si="21"/>
        <v>0</v>
      </c>
      <c r="I164" s="7">
        <f>_xll.acq_special_normalcdf(B164)</f>
        <v>0.99903239678678157</v>
      </c>
      <c r="J164" s="7">
        <f t="shared" si="22"/>
        <v>0.99903239678678157</v>
      </c>
      <c r="K164" s="11">
        <f t="shared" si="23"/>
        <v>0</v>
      </c>
      <c r="N164" s="7"/>
      <c r="P164" s="11"/>
    </row>
    <row r="165" spans="2:16" x14ac:dyDescent="0.25">
      <c r="B165">
        <v>3.1499999999999702</v>
      </c>
      <c r="C165" s="7">
        <f>_xll.acq_special_erf(B165)</f>
        <v>0.99999160178868474</v>
      </c>
      <c r="D165" s="7">
        <f t="shared" si="19"/>
        <v>0.99999160178868474</v>
      </c>
      <c r="E165">
        <f t="shared" si="18"/>
        <v>0</v>
      </c>
      <c r="F165" s="7">
        <f>_xll.acq_special_erfc(B165)</f>
        <v>8.3982113152175875E-6</v>
      </c>
      <c r="G165" s="7">
        <f t="shared" si="20"/>
        <v>8.3982113152175909E-6</v>
      </c>
      <c r="H165" s="11">
        <f t="shared" si="21"/>
        <v>3.3881317890172014E-21</v>
      </c>
      <c r="I165" s="7">
        <f>_xll.acq_special_normalcdf(B165)</f>
        <v>0.99918364768717138</v>
      </c>
      <c r="J165" s="7">
        <f t="shared" si="22"/>
        <v>0.99918364768717138</v>
      </c>
      <c r="K165" s="11">
        <f t="shared" si="23"/>
        <v>0</v>
      </c>
      <c r="N165" s="7"/>
      <c r="P165" s="11"/>
    </row>
    <row r="166" spans="2:16" x14ac:dyDescent="0.25">
      <c r="B166">
        <v>3.19999999999997</v>
      </c>
      <c r="C166" s="7">
        <f>_xll.acq_special_erf(B166)</f>
        <v>0.99999397423884828</v>
      </c>
      <c r="D166" s="7">
        <f t="shared" si="19"/>
        <v>0.99999397423884828</v>
      </c>
      <c r="E166">
        <f t="shared" si="18"/>
        <v>0</v>
      </c>
      <c r="F166" s="7">
        <f>_xll.acq_special_erfc(B166)</f>
        <v>6.0257611517633039E-6</v>
      </c>
      <c r="G166" s="7">
        <f t="shared" si="20"/>
        <v>6.0257611517633031E-6</v>
      </c>
      <c r="H166" s="11">
        <f t="shared" si="21"/>
        <v>8.4703294725430034E-22</v>
      </c>
      <c r="I166" s="7">
        <f>_xll.acq_special_normalcdf(B166)</f>
        <v>0.99931286206208403</v>
      </c>
      <c r="J166" s="7">
        <f t="shared" si="22"/>
        <v>0.99931286206208403</v>
      </c>
      <c r="K166" s="11">
        <f t="shared" si="23"/>
        <v>0</v>
      </c>
      <c r="N166" s="7"/>
      <c r="P166" s="11"/>
    </row>
    <row r="167" spans="2:16" x14ac:dyDescent="0.25">
      <c r="B167">
        <v>3.2499999999999698</v>
      </c>
      <c r="C167" s="7">
        <f>_xll.acq_special_erf(B167)</f>
        <v>0.99999569722053627</v>
      </c>
      <c r="D167" s="7">
        <f t="shared" si="19"/>
        <v>0.99999569722053627</v>
      </c>
      <c r="E167">
        <f t="shared" si="18"/>
        <v>0</v>
      </c>
      <c r="F167" s="7">
        <f>_xll.acq_special_erfc(B167)</f>
        <v>4.3027794636760003E-6</v>
      </c>
      <c r="G167" s="7">
        <f t="shared" si="20"/>
        <v>4.3027794636759995E-6</v>
      </c>
      <c r="H167" s="11">
        <f t="shared" si="21"/>
        <v>8.4703294725430034E-22</v>
      </c>
      <c r="I167" s="7">
        <f>_xll.acq_special_normalcdf(B167)</f>
        <v>0.99942297495760912</v>
      </c>
      <c r="J167" s="7">
        <f t="shared" si="22"/>
        <v>0.99942297495760912</v>
      </c>
      <c r="K167" s="11">
        <f t="shared" si="23"/>
        <v>0</v>
      </c>
      <c r="N167" s="7"/>
      <c r="P167" s="11"/>
    </row>
    <row r="168" spans="2:16" x14ac:dyDescent="0.25">
      <c r="B168">
        <v>3.2999999999999701</v>
      </c>
      <c r="C168" s="7">
        <f>_xll.acq_special_erf(B168)</f>
        <v>0.99999694229020353</v>
      </c>
      <c r="D168" s="7">
        <f t="shared" si="19"/>
        <v>0.99999694229020353</v>
      </c>
      <c r="E168">
        <f t="shared" si="18"/>
        <v>0</v>
      </c>
      <c r="F168" s="7">
        <f>_xll.acq_special_erfc(B168)</f>
        <v>3.0577097964387931E-6</v>
      </c>
      <c r="G168" s="7">
        <f t="shared" si="20"/>
        <v>3.0577097964387939E-6</v>
      </c>
      <c r="H168" s="11">
        <f t="shared" si="21"/>
        <v>8.4703294725430034E-22</v>
      </c>
      <c r="I168" s="7">
        <f>_xll.acq_special_normalcdf(B168)</f>
        <v>0.99951657585761622</v>
      </c>
      <c r="J168" s="7">
        <f t="shared" si="22"/>
        <v>0.99951657585761622</v>
      </c>
      <c r="K168" s="11">
        <f t="shared" si="23"/>
        <v>0</v>
      </c>
      <c r="N168" s="7"/>
      <c r="P168" s="11"/>
    </row>
    <row r="169" spans="2:16" x14ac:dyDescent="0.25">
      <c r="B169">
        <v>3.3499999999999699</v>
      </c>
      <c r="C169" s="7">
        <f>_xll.acq_special_erf(B169)</f>
        <v>0.99999783752317994</v>
      </c>
      <c r="D169" s="7">
        <f t="shared" si="19"/>
        <v>0.99999783752317994</v>
      </c>
      <c r="E169">
        <f t="shared" si="18"/>
        <v>0</v>
      </c>
      <c r="F169" s="7">
        <f>_xll.acq_special_erfc(B169)</f>
        <v>2.1624768200406388E-6</v>
      </c>
      <c r="G169" s="7">
        <f t="shared" si="20"/>
        <v>2.1624768200406383E-6</v>
      </c>
      <c r="H169" s="11">
        <f t="shared" si="21"/>
        <v>4.2351647362715017E-22</v>
      </c>
      <c r="I169" s="7">
        <f>_xll.acq_special_normalcdf(B169)</f>
        <v>0.99959594219813597</v>
      </c>
      <c r="J169" s="7">
        <f t="shared" si="22"/>
        <v>0.99959594219813597</v>
      </c>
      <c r="K169" s="11">
        <f t="shared" si="23"/>
        <v>0</v>
      </c>
      <c r="N169" s="7"/>
      <c r="P169" s="11"/>
    </row>
    <row r="170" spans="2:16" x14ac:dyDescent="0.25">
      <c r="B170">
        <v>3.3999999999999702</v>
      </c>
      <c r="C170" s="7">
        <f>_xll.acq_special_erf(B170)</f>
        <v>0.9999984780066371</v>
      </c>
      <c r="D170" s="7">
        <f t="shared" si="19"/>
        <v>0.9999984780066371</v>
      </c>
      <c r="E170">
        <f t="shared" si="18"/>
        <v>0</v>
      </c>
      <c r="F170" s="7">
        <f>_xll.acq_special_erfc(B170)</f>
        <v>1.5219933628626078E-6</v>
      </c>
      <c r="G170" s="7">
        <f t="shared" si="20"/>
        <v>1.5219933628626074E-6</v>
      </c>
      <c r="H170" s="11">
        <f t="shared" si="21"/>
        <v>4.2351647362715017E-22</v>
      </c>
      <c r="I170" s="7">
        <f>_xll.acq_special_normalcdf(B170)</f>
        <v>0.99966307073432303</v>
      </c>
      <c r="J170" s="7">
        <f t="shared" si="22"/>
        <v>0.99966307073432303</v>
      </c>
      <c r="K170" s="11">
        <f t="shared" si="23"/>
        <v>0</v>
      </c>
      <c r="N170" s="7"/>
      <c r="P170" s="11"/>
    </row>
    <row r="171" spans="2:16" x14ac:dyDescent="0.25">
      <c r="B171">
        <v>3.44999999999997</v>
      </c>
      <c r="C171" s="7">
        <f>_xll.acq_special_erf(B171)</f>
        <v>0.99999893394820649</v>
      </c>
      <c r="D171" s="7">
        <f t="shared" si="19"/>
        <v>0.99999893394820649</v>
      </c>
      <c r="E171">
        <f t="shared" si="18"/>
        <v>0</v>
      </c>
      <c r="F171" s="7">
        <f>_xll.acq_special_erfc(B171)</f>
        <v>1.0660517934740115E-6</v>
      </c>
      <c r="G171" s="7">
        <f t="shared" si="20"/>
        <v>1.0660517934740113E-6</v>
      </c>
      <c r="H171" s="11">
        <f t="shared" si="21"/>
        <v>2.1175823681357508E-22</v>
      </c>
      <c r="I171" s="7">
        <f>_xll.acq_special_normalcdf(B171)</f>
        <v>0.99971970672318378</v>
      </c>
      <c r="J171" s="7">
        <f t="shared" si="22"/>
        <v>0.99971970672318378</v>
      </c>
      <c r="K171" s="11">
        <f t="shared" si="23"/>
        <v>0</v>
      </c>
      <c r="N171" s="7"/>
      <c r="P171" s="11"/>
    </row>
    <row r="172" spans="2:16" x14ac:dyDescent="0.25">
      <c r="B172">
        <v>3.4999999999999698</v>
      </c>
      <c r="C172" s="7">
        <f>_xll.acq_special_erf(B172)</f>
        <v>0.99999925690162761</v>
      </c>
      <c r="D172" s="7">
        <f t="shared" si="19"/>
        <v>0.99999925690162761</v>
      </c>
      <c r="E172">
        <f t="shared" si="18"/>
        <v>0</v>
      </c>
      <c r="F172" s="7">
        <f>_xll.acq_special_erfc(B172)</f>
        <v>7.4309837234157562E-7</v>
      </c>
      <c r="G172" s="7">
        <f t="shared" si="20"/>
        <v>7.4309837234157572E-7</v>
      </c>
      <c r="H172" s="11">
        <f t="shared" si="21"/>
        <v>1.0587911840678754E-22</v>
      </c>
      <c r="I172" s="7">
        <f>_xll.acq_special_normalcdf(B172)</f>
        <v>0.99976737092096446</v>
      </c>
      <c r="J172" s="7">
        <f t="shared" si="22"/>
        <v>0.99976737092096446</v>
      </c>
      <c r="K172" s="11">
        <f t="shared" si="23"/>
        <v>0</v>
      </c>
    </row>
    <row r="173" spans="2:16" x14ac:dyDescent="0.25">
      <c r="B173">
        <v>3.5499999999999701</v>
      </c>
      <c r="C173" s="7">
        <f>_xll.acq_special_erf(B173)</f>
        <v>0.99999948451617537</v>
      </c>
      <c r="D173" s="7">
        <f t="shared" si="19"/>
        <v>0.99999948451617537</v>
      </c>
      <c r="E173">
        <f t="shared" si="18"/>
        <v>0</v>
      </c>
      <c r="F173" s="7">
        <f>_xll.acq_special_erfc(B173)</f>
        <v>5.1548382463390851E-7</v>
      </c>
      <c r="G173" s="7">
        <f t="shared" si="20"/>
        <v>5.154838246339084E-7</v>
      </c>
      <c r="H173" s="11">
        <f t="shared" si="21"/>
        <v>1.0587911840678754E-22</v>
      </c>
      <c r="I173" s="7">
        <f>_xll.acq_special_normalcdf(B173)</f>
        <v>0.99980738442436434</v>
      </c>
      <c r="J173" s="7">
        <f t="shared" si="22"/>
        <v>0.99980738442436434</v>
      </c>
      <c r="K173" s="11">
        <f t="shared" si="23"/>
        <v>0</v>
      </c>
    </row>
    <row r="174" spans="2:16" x14ac:dyDescent="0.25">
      <c r="B174">
        <v>3.5999999999999699</v>
      </c>
      <c r="C174" s="7">
        <f>_xll.acq_special_erf(B174)</f>
        <v>0.99999964413700704</v>
      </c>
      <c r="D174" s="7">
        <f t="shared" si="19"/>
        <v>0.99999964413700704</v>
      </c>
      <c r="E174">
        <f t="shared" si="18"/>
        <v>0</v>
      </c>
      <c r="F174" s="7">
        <f>_xll.acq_special_erfc(B174)</f>
        <v>3.5586299300776551E-7</v>
      </c>
      <c r="G174" s="7">
        <f t="shared" si="20"/>
        <v>3.5586299300776556E-7</v>
      </c>
      <c r="H174" s="11">
        <f t="shared" si="21"/>
        <v>5.2939559203393771E-23</v>
      </c>
      <c r="I174" s="7">
        <f>_xll.acq_special_normalcdf(B174)</f>
        <v>0.99984089140984245</v>
      </c>
      <c r="J174" s="7">
        <f t="shared" si="22"/>
        <v>0.99984089140984245</v>
      </c>
      <c r="K174" s="11">
        <f t="shared" si="23"/>
        <v>0</v>
      </c>
    </row>
    <row r="175" spans="2:16" x14ac:dyDescent="0.25">
      <c r="B175">
        <v>3.6499999999999702</v>
      </c>
      <c r="C175" s="7">
        <f>_xll.acq_special_erf(B175)</f>
        <v>0.99999975551734943</v>
      </c>
      <c r="D175" s="7">
        <f t="shared" si="19"/>
        <v>0.99999975551734943</v>
      </c>
      <c r="E175">
        <f t="shared" si="18"/>
        <v>0</v>
      </c>
      <c r="F175" s="7">
        <f>_xll.acq_special_erfc(B175)</f>
        <v>2.4448265057543263E-7</v>
      </c>
      <c r="G175" s="7">
        <f t="shared" si="20"/>
        <v>2.4448265057543274E-7</v>
      </c>
      <c r="H175" s="11">
        <f t="shared" si="21"/>
        <v>1.0587911840678754E-22</v>
      </c>
      <c r="I175" s="7">
        <f>_xll.acq_special_normalcdf(B175)</f>
        <v>0.99986887984557948</v>
      </c>
      <c r="J175" s="7">
        <f t="shared" si="22"/>
        <v>0.99986887984557948</v>
      </c>
      <c r="K175" s="11">
        <f t="shared" si="23"/>
        <v>0</v>
      </c>
    </row>
    <row r="176" spans="2:16" x14ac:dyDescent="0.25">
      <c r="B176">
        <v>3.69999999999997</v>
      </c>
      <c r="C176" s="7">
        <f>_xll.acq_special_erf(B176)</f>
        <v>0.99999983284894212</v>
      </c>
      <c r="D176" s="7">
        <f t="shared" si="19"/>
        <v>0.99999983284894212</v>
      </c>
      <c r="E176">
        <f t="shared" si="18"/>
        <v>0</v>
      </c>
      <c r="F176" s="7">
        <f>_xll.acq_special_erfc(B176)</f>
        <v>1.6715105790918469E-7</v>
      </c>
      <c r="G176" s="7">
        <f t="shared" si="20"/>
        <v>1.6715105790918466E-7</v>
      </c>
      <c r="H176" s="11">
        <f t="shared" si="21"/>
        <v>2.6469779601696886E-23</v>
      </c>
      <c r="I176" s="7">
        <f>_xll.acq_special_normalcdf(B176)</f>
        <v>0.99989220026652259</v>
      </c>
      <c r="J176" s="7">
        <f t="shared" si="22"/>
        <v>0.99989220026652259</v>
      </c>
      <c r="K176" s="11">
        <f t="shared" si="23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9"/>
        <v>0.99999988627274339</v>
      </c>
      <c r="E177">
        <f t="shared" si="18"/>
        <v>0</v>
      </c>
      <c r="F177" s="7">
        <f>_xll.acq_special_erfc(B177)</f>
        <v>1.137272565698232E-7</v>
      </c>
      <c r="G177" s="7">
        <f t="shared" si="20"/>
        <v>1.1372725656982336E-7</v>
      </c>
      <c r="H177" s="11">
        <f t="shared" si="21"/>
        <v>1.5881867761018131E-22</v>
      </c>
      <c r="I177" s="7">
        <f>_xll.acq_special_normalcdf(B177)</f>
        <v>0.99991158271479919</v>
      </c>
      <c r="J177" s="7">
        <f t="shared" si="22"/>
        <v>0.99991158271479919</v>
      </c>
      <c r="K177" s="11">
        <f t="shared" si="23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9"/>
        <v>0.99999992299607254</v>
      </c>
      <c r="E178">
        <f t="shared" si="18"/>
        <v>0</v>
      </c>
      <c r="F178" s="7">
        <f>_xll.acq_special_erfc(B178)</f>
        <v>7.7003927456982275E-8</v>
      </c>
      <c r="G178" s="7">
        <f t="shared" si="20"/>
        <v>7.7003927456982235E-8</v>
      </c>
      <c r="H178" s="11">
        <f t="shared" si="21"/>
        <v>3.9704669402545328E-23</v>
      </c>
      <c r="I178" s="7">
        <f>_xll.acq_special_normalcdf(B178)</f>
        <v>0.99992765195607491</v>
      </c>
      <c r="J178" s="7">
        <f t="shared" si="22"/>
        <v>0.99992765195607491</v>
      </c>
      <c r="K178" s="11">
        <f t="shared" si="23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9"/>
        <v>0.99999994811370663</v>
      </c>
      <c r="E179">
        <f t="shared" si="18"/>
        <v>0</v>
      </c>
      <c r="F179" s="7">
        <f>_xll.acq_special_erfc(B179)</f>
        <v>5.1886293410484961E-8</v>
      </c>
      <c r="G179" s="7">
        <f t="shared" si="20"/>
        <v>5.1886293410484967E-8</v>
      </c>
      <c r="H179" s="11">
        <f t="shared" si="21"/>
        <v>6.6174449004242214E-24</v>
      </c>
      <c r="I179" s="7">
        <f>_xll.acq_special_normalcdf(B179)</f>
        <v>0.99994094108758103</v>
      </c>
      <c r="J179" s="7">
        <f t="shared" si="22"/>
        <v>0.99994094108758103</v>
      </c>
      <c r="K179" s="11">
        <f t="shared" si="23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9"/>
        <v>0.99999996520775136</v>
      </c>
      <c r="E180">
        <f t="shared" si="18"/>
        <v>0</v>
      </c>
      <c r="F180" s="7">
        <f>_xll.acq_special_erfc(B180)</f>
        <v>3.4792248597240123E-8</v>
      </c>
      <c r="G180" s="7">
        <f t="shared" si="20"/>
        <v>3.479224859724011E-8</v>
      </c>
      <c r="H180" s="11">
        <f t="shared" si="21"/>
        <v>1.3234889800848443E-23</v>
      </c>
      <c r="I180" s="7">
        <f>_xll.acq_special_normalcdf(B180)</f>
        <v>0.99995190365598241</v>
      </c>
      <c r="J180" s="7">
        <f t="shared" si="22"/>
        <v>0.99995190365598241</v>
      </c>
      <c r="K180" s="11">
        <f t="shared" si="23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9"/>
        <v>0.9999999767832678</v>
      </c>
      <c r="E181">
        <f t="shared" si="18"/>
        <v>0</v>
      </c>
      <c r="F181" s="7">
        <f>_xll.acq_special_erfc(B181)</f>
        <v>2.321673223665498E-8</v>
      </c>
      <c r="G181" s="7">
        <f t="shared" si="20"/>
        <v>2.3216732236654976E-8</v>
      </c>
      <c r="H181" s="11">
        <f t="shared" si="21"/>
        <v>3.3087224502121107E-24</v>
      </c>
      <c r="I181" s="7">
        <f>_xll.acq_special_normalcdf(B181)</f>
        <v>0.99996092440340223</v>
      </c>
      <c r="J181" s="7">
        <f t="shared" si="22"/>
        <v>0.99996092440340223</v>
      </c>
      <c r="K181" s="11">
        <f t="shared" si="23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9"/>
        <v>0.99999998458274209</v>
      </c>
      <c r="E182">
        <f t="shared" si="18"/>
        <v>0</v>
      </c>
      <c r="F182" s="7">
        <f>_xll.acq_special_erfc(B182)</f>
        <v>1.5417257900283858E-8</v>
      </c>
      <c r="G182" s="7">
        <f t="shared" si="20"/>
        <v>1.5417257900283851E-8</v>
      </c>
      <c r="H182" s="11">
        <f t="shared" si="21"/>
        <v>6.6174449004242214E-24</v>
      </c>
      <c r="I182" s="7">
        <f>_xll.acq_special_normalcdf(B182)</f>
        <v>0.99996832875816688</v>
      </c>
      <c r="J182" s="7">
        <f t="shared" si="22"/>
        <v>0.99996832875816688</v>
      </c>
      <c r="K182" s="11">
        <f t="shared" si="23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9"/>
        <v>0.99999998981175509</v>
      </c>
      <c r="E183">
        <f t="shared" si="18"/>
        <v>0</v>
      </c>
      <c r="F183" s="7">
        <f>_xll.acq_special_erfc(B183)</f>
        <v>1.0188244933543599E-8</v>
      </c>
      <c r="G183" s="7">
        <f t="shared" si="20"/>
        <v>1.0188244933543602E-8</v>
      </c>
      <c r="H183" s="11">
        <f t="shared" si="21"/>
        <v>3.3087224502121107E-24</v>
      </c>
      <c r="I183" s="7">
        <f>_xll.acq_special_normalcdf(B183)</f>
        <v>0.99997439118352593</v>
      </c>
      <c r="J183" s="7">
        <f t="shared" si="22"/>
        <v>0.99997439118352593</v>
      </c>
      <c r="K183" s="11">
        <f t="shared" si="23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9"/>
        <v>0.99999999329997236</v>
      </c>
      <c r="E184">
        <f t="shared" si="18"/>
        <v>0</v>
      </c>
      <c r="F184" s="7">
        <f>_xll.acq_special_erfc(B184)</f>
        <v>6.7000276540865718E-9</v>
      </c>
      <c r="G184" s="7">
        <f t="shared" si="20"/>
        <v>6.7000276540865726E-9</v>
      </c>
      <c r="H184" s="11">
        <f t="shared" si="21"/>
        <v>8.2718061255302767E-25</v>
      </c>
      <c r="I184" s="7">
        <f>_xll.acq_special_normalcdf(B184)</f>
        <v>0.9999793424930874</v>
      </c>
      <c r="J184" s="7">
        <f t="shared" si="22"/>
        <v>0.9999793424930874</v>
      </c>
      <c r="K184" s="11">
        <f t="shared" si="23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9"/>
        <v>0.99999999561532293</v>
      </c>
      <c r="E185">
        <f t="shared" si="18"/>
        <v>0</v>
      </c>
      <c r="F185" s="7">
        <f>_xll.acq_special_erfc(B185)</f>
        <v>4.3846770477549405E-9</v>
      </c>
      <c r="G185" s="7">
        <f t="shared" si="20"/>
        <v>4.3846770477549389E-9</v>
      </c>
      <c r="H185" s="11">
        <f t="shared" si="21"/>
        <v>1.6543612251060553E-24</v>
      </c>
      <c r="I185" s="7">
        <f>_xll.acq_special_normalcdf(B185)</f>
        <v>0.99998337623627032</v>
      </c>
      <c r="J185" s="7">
        <f t="shared" si="22"/>
        <v>0.99998337623627032</v>
      </c>
      <c r="K185" s="11">
        <f t="shared" si="23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9"/>
        <v>0.99999999714450583</v>
      </c>
      <c r="E186">
        <f t="shared" si="18"/>
        <v>0</v>
      </c>
      <c r="F186" s="7">
        <f>_xll.acq_special_erfc(B186)</f>
        <v>2.8554941795929263E-9</v>
      </c>
      <c r="G186" s="7">
        <f t="shared" si="20"/>
        <v>2.8554941795929263E-9</v>
      </c>
      <c r="H186" s="11">
        <f t="shared" si="21"/>
        <v>0</v>
      </c>
      <c r="I186" s="7">
        <f>_xll.acq_special_normalcdf(B186)</f>
        <v>0.9999866542509841</v>
      </c>
      <c r="J186" s="7">
        <f t="shared" si="22"/>
        <v>0.9999866542509841</v>
      </c>
      <c r="K186" s="11">
        <f t="shared" si="23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9"/>
        <v>0.99999999814942586</v>
      </c>
      <c r="E187">
        <f t="shared" si="18"/>
        <v>0</v>
      </c>
      <c r="F187" s="7">
        <f>_xll.acq_special_erfc(B187)</f>
        <v>1.8505741373872282E-9</v>
      </c>
      <c r="G187" s="7">
        <f t="shared" si="20"/>
        <v>1.850574137387228E-9</v>
      </c>
      <c r="H187" s="11">
        <f t="shared" si="21"/>
        <v>2.0679515313825692E-25</v>
      </c>
      <c r="I187" s="7">
        <f>_xll.acq_special_normalcdf(B187)</f>
        <v>0.9999893114742251</v>
      </c>
      <c r="J187" s="7">
        <f t="shared" si="22"/>
        <v>0.9999893114742251</v>
      </c>
      <c r="K187" s="11">
        <f t="shared" si="23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9"/>
        <v>0.99999999880652823</v>
      </c>
      <c r="E188">
        <f t="shared" si="18"/>
        <v>0</v>
      </c>
      <c r="F188" s="7">
        <f>_xll.acq_special_erfc(B188)</f>
        <v>1.1934717937223609E-9</v>
      </c>
      <c r="G188" s="7">
        <f t="shared" si="20"/>
        <v>1.1934717937223611E-9</v>
      </c>
      <c r="H188" s="11">
        <f t="shared" si="21"/>
        <v>2.0679515313825692E-25</v>
      </c>
      <c r="I188" s="7">
        <f>_xll.acq_special_normalcdf(B188)</f>
        <v>0.99999146009452899</v>
      </c>
      <c r="J188" s="7">
        <f t="shared" si="22"/>
        <v>0.99999146009452899</v>
      </c>
      <c r="K188" s="11">
        <f t="shared" si="23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9"/>
        <v>0.99999999923405558</v>
      </c>
      <c r="E189">
        <f t="shared" si="18"/>
        <v>0</v>
      </c>
      <c r="F189" s="7">
        <f>_xll.acq_special_erfc(B189)</f>
        <v>7.6594439884240892E-10</v>
      </c>
      <c r="G189" s="7">
        <f t="shared" si="20"/>
        <v>7.6594439884240861E-10</v>
      </c>
      <c r="H189" s="11">
        <f t="shared" si="21"/>
        <v>3.1019272970738538E-25</v>
      </c>
      <c r="I189" s="7">
        <f>_xll.acq_special_normalcdf(B189)</f>
        <v>0.99999319312340063</v>
      </c>
      <c r="J189" s="7">
        <f t="shared" si="22"/>
        <v>0.99999319312340063</v>
      </c>
      <c r="K189" s="11">
        <f t="shared" si="23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9"/>
        <v>0.99999999951082896</v>
      </c>
      <c r="E190">
        <f t="shared" si="18"/>
        <v>0</v>
      </c>
      <c r="F190" s="7">
        <f>_xll.acq_special_erfc(B190)</f>
        <v>4.8917102706072093E-10</v>
      </c>
      <c r="G190" s="7">
        <f t="shared" si="20"/>
        <v>4.8917102706072073E-10</v>
      </c>
      <c r="H190" s="11">
        <f t="shared" si="21"/>
        <v>2.0679515313825692E-25</v>
      </c>
      <c r="I190" s="7">
        <f>_xll.acq_special_normalcdf(B190)</f>
        <v>0.99999458745609227</v>
      </c>
      <c r="J190" s="7">
        <f t="shared" si="22"/>
        <v>0.99999458745609227</v>
      </c>
      <c r="K190" s="11">
        <f t="shared" si="23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9"/>
        <v>0.99999999968911368</v>
      </c>
      <c r="E191">
        <f t="shared" si="18"/>
        <v>0</v>
      </c>
      <c r="F191" s="7">
        <f>_xll.acq_special_erfc(B191)</f>
        <v>3.1088632307632166E-10</v>
      </c>
      <c r="G191" s="7">
        <f t="shared" si="20"/>
        <v>3.108863230763216E-10</v>
      </c>
      <c r="H191" s="11">
        <f t="shared" si="21"/>
        <v>5.169878828456423E-26</v>
      </c>
      <c r="I191" s="7">
        <f>_xll.acq_special_normalcdf(B191)</f>
        <v>0.99999570648553004</v>
      </c>
      <c r="J191" s="7">
        <f t="shared" si="22"/>
        <v>0.99999570648553004</v>
      </c>
      <c r="K191" s="11">
        <f t="shared" si="23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9"/>
        <v>0.99999999980338394</v>
      </c>
      <c r="E192">
        <f t="shared" si="18"/>
        <v>0</v>
      </c>
      <c r="F192" s="7">
        <f>_xll.acq_special_erfc(B192)</f>
        <v>1.9661604415434312E-10</v>
      </c>
      <c r="G192" s="7">
        <f t="shared" si="20"/>
        <v>1.9661604415434309E-10</v>
      </c>
      <c r="H192" s="11">
        <f t="shared" si="21"/>
        <v>2.5849394142282115E-26</v>
      </c>
      <c r="I192" s="7">
        <f>_xll.acq_special_normalcdf(B192)</f>
        <v>0.99999660232687526</v>
      </c>
      <c r="J192" s="7">
        <f t="shared" si="22"/>
        <v>0.99999660232687526</v>
      </c>
      <c r="K192" s="11">
        <f t="shared" si="23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9"/>
        <v>0.99999999987625954</v>
      </c>
      <c r="E193">
        <f t="shared" si="18"/>
        <v>0</v>
      </c>
      <c r="F193" s="7">
        <f>_xll.acq_special_erfc(B193)</f>
        <v>1.2374048267633829E-10</v>
      </c>
      <c r="G193" s="7">
        <f t="shared" si="20"/>
        <v>1.2374048267633827E-10</v>
      </c>
      <c r="H193" s="11">
        <f t="shared" si="21"/>
        <v>2.5849394142282115E-26</v>
      </c>
      <c r="I193" s="7">
        <f>_xll.acq_special_normalcdf(B193)</f>
        <v>0.9999973177042204</v>
      </c>
      <c r="J193" s="7">
        <f t="shared" si="22"/>
        <v>0.9999973177042204</v>
      </c>
      <c r="K193" s="11">
        <f t="shared" si="23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9"/>
        <v>0.99999999992250399</v>
      </c>
      <c r="E194">
        <f t="shared" ref="E194:E202" si="24">ABS(C194-D194)</f>
        <v>0</v>
      </c>
      <c r="F194" s="7">
        <f>_xll.acq_special_erfc(B194)</f>
        <v>7.7495995974439996E-11</v>
      </c>
      <c r="G194" s="7">
        <f t="shared" si="20"/>
        <v>7.7495995974439957E-11</v>
      </c>
      <c r="H194" s="11">
        <f t="shared" si="21"/>
        <v>3.8774091213423172E-26</v>
      </c>
      <c r="I194" s="7">
        <f>_xll.acq_special_normalcdf(B194)</f>
        <v>0.9999978875452975</v>
      </c>
      <c r="J194" s="7">
        <f t="shared" si="22"/>
        <v>0.9999978875452975</v>
      </c>
      <c r="K194" s="11">
        <f t="shared" si="23"/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5">_xlfn.ERF.PRECISE(B195)</f>
        <v>0.99999999995170297</v>
      </c>
      <c r="E195">
        <f t="shared" si="24"/>
        <v>0</v>
      </c>
      <c r="F195" s="7">
        <f>_xll.acq_special_erfc(B195)</f>
        <v>4.829703245092499E-11</v>
      </c>
      <c r="G195" s="7">
        <f t="shared" ref="G195:G202" si="26">_xlfn.ERFC.PRECISE(B195)</f>
        <v>4.8297032450924977E-11</v>
      </c>
      <c r="H195" s="11">
        <f t="shared" ref="H195:H202" si="27">ABS(F195-G195)</f>
        <v>1.2924697071141057E-26</v>
      </c>
      <c r="I195" s="7">
        <f>_xll.acq_special_normalcdf(B195)</f>
        <v>0.99999834032485568</v>
      </c>
      <c r="J195" s="7">
        <f t="shared" ref="J195:J202" si="28">_xlfn.NORM.S.DIST(B195,TRUE)</f>
        <v>0.99999834032485568</v>
      </c>
      <c r="K195" s="11">
        <f t="shared" ref="K195:K202" si="29">ABS(I195-J195)</f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5"/>
        <v>0.9999999999700474</v>
      </c>
      <c r="E196">
        <f t="shared" si="24"/>
        <v>0</v>
      </c>
      <c r="F196" s="7">
        <f>_xll.acq_special_erfc(B196)</f>
        <v>2.9952597863805208E-11</v>
      </c>
      <c r="G196" s="7">
        <f t="shared" si="26"/>
        <v>2.9952597863805188E-11</v>
      </c>
      <c r="H196" s="11">
        <f t="shared" si="27"/>
        <v>1.9387045606711586E-26</v>
      </c>
      <c r="I196" s="7">
        <f>_xll.acq_special_normalcdf(B196)</f>
        <v>0.99999869919254614</v>
      </c>
      <c r="J196" s="7">
        <f t="shared" si="28"/>
        <v>0.99999869919254614</v>
      </c>
      <c r="K196" s="11">
        <f t="shared" si="29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5"/>
        <v>0.9999999999815149</v>
      </c>
      <c r="E197">
        <f t="shared" si="24"/>
        <v>0</v>
      </c>
      <c r="F197" s="7">
        <f>_xll.acq_special_erfc(B197)</f>
        <v>1.8485047721492491E-11</v>
      </c>
      <c r="G197" s="7">
        <f t="shared" si="26"/>
        <v>1.8485047721492482E-11</v>
      </c>
      <c r="H197" s="11">
        <f t="shared" si="27"/>
        <v>9.6935228033557931E-27</v>
      </c>
      <c r="I197" s="7">
        <f>_xll.acq_special_normalcdf(B197)</f>
        <v>0.99999898291675748</v>
      </c>
      <c r="J197" s="7">
        <f t="shared" si="28"/>
        <v>0.99999898291675748</v>
      </c>
      <c r="K197" s="11">
        <f t="shared" si="29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5"/>
        <v>0.99999999998864786</v>
      </c>
      <c r="E198">
        <f t="shared" si="24"/>
        <v>0</v>
      </c>
      <c r="F198" s="7">
        <f>_xll.acq_special_erfc(B198)</f>
        <v>1.1352143584925344E-11</v>
      </c>
      <c r="G198" s="7">
        <f t="shared" si="26"/>
        <v>1.1352143584925342E-11</v>
      </c>
      <c r="H198" s="11">
        <f t="shared" si="27"/>
        <v>1.6155871338926322E-27</v>
      </c>
      <c r="I198" s="7">
        <f>_xll.acq_special_normalcdf(B198)</f>
        <v>0.99999920667184805</v>
      </c>
      <c r="J198" s="7">
        <f t="shared" si="28"/>
        <v>0.99999920667184805</v>
      </c>
      <c r="K198" s="11">
        <f t="shared" si="29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5"/>
        <v>0.99999999999306244</v>
      </c>
      <c r="E199">
        <f t="shared" si="24"/>
        <v>0</v>
      </c>
      <c r="F199" s="7">
        <f>_xll.acq_special_erfc(B199)</f>
        <v>6.9375416546278333E-12</v>
      </c>
      <c r="G199" s="7">
        <f t="shared" si="26"/>
        <v>6.9375416546278317E-12</v>
      </c>
      <c r="H199" s="11">
        <f t="shared" si="27"/>
        <v>1.6155871338926322E-27</v>
      </c>
      <c r="I199" s="7">
        <f>_xll.acq_special_normalcdf(B199)</f>
        <v>0.999999382692628</v>
      </c>
      <c r="J199" s="7">
        <f t="shared" si="28"/>
        <v>0.999999382692628</v>
      </c>
      <c r="K199" s="11">
        <f t="shared" si="29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5"/>
        <v>0.99999999999578104</v>
      </c>
      <c r="E200">
        <f t="shared" si="24"/>
        <v>0</v>
      </c>
      <c r="F200" s="7">
        <f>_xll.acq_special_erfc(B200)</f>
        <v>4.218936524007457E-12</v>
      </c>
      <c r="G200" s="7">
        <f t="shared" si="26"/>
        <v>4.218936524007457E-12</v>
      </c>
      <c r="H200" s="11">
        <f t="shared" si="27"/>
        <v>0</v>
      </c>
      <c r="I200" s="7">
        <f>_xll.acq_special_normalcdf(B200)</f>
        <v>0.99999952081672339</v>
      </c>
      <c r="J200" s="7">
        <f t="shared" si="28"/>
        <v>0.99999952081672339</v>
      </c>
      <c r="K200" s="11">
        <f t="shared" si="29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5"/>
        <v>0.99999999999744693</v>
      </c>
      <c r="E201">
        <f t="shared" si="24"/>
        <v>0</v>
      </c>
      <c r="F201" s="7">
        <f>_xll.acq_special_erfc(B201)</f>
        <v>2.5531086028523035E-12</v>
      </c>
      <c r="G201" s="7">
        <f t="shared" si="26"/>
        <v>2.5531086028523035E-12</v>
      </c>
      <c r="H201" s="11">
        <f t="shared" si="27"/>
        <v>0</v>
      </c>
      <c r="I201" s="7">
        <f>_xll.acq_special_normalcdf(B201)</f>
        <v>0.99999962893259209</v>
      </c>
      <c r="J201" s="7">
        <f t="shared" si="28"/>
        <v>0.99999962893259209</v>
      </c>
      <c r="K201" s="11">
        <f t="shared" si="29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5"/>
        <v>0.99999999999846256</v>
      </c>
      <c r="E202">
        <f t="shared" si="24"/>
        <v>0</v>
      </c>
      <c r="F202" s="7">
        <f>_xll.acq_special_erfc(B202)</f>
        <v>1.5374597944286588E-12</v>
      </c>
      <c r="G202" s="7">
        <f t="shared" si="26"/>
        <v>1.5374597944286586E-12</v>
      </c>
      <c r="H202" s="11">
        <f t="shared" si="27"/>
        <v>2.0194839173657902E-28</v>
      </c>
      <c r="I202" s="7">
        <f>_xll.acq_special_normalcdf(B202)</f>
        <v>0.99999971334842808</v>
      </c>
      <c r="J202" s="7">
        <f t="shared" si="28"/>
        <v>0.99999971334842808</v>
      </c>
      <c r="K202" s="11">
        <f t="shared" si="2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C0629-1DDD-4850-A456-ABCD64977042}">
  <dimension ref="B1:AK45"/>
  <sheetViews>
    <sheetView workbookViewId="0">
      <selection activeCell="C14" sqref="C14"/>
    </sheetView>
  </sheetViews>
  <sheetFormatPr defaultRowHeight="15" x14ac:dyDescent="0.25"/>
  <cols>
    <col min="3" max="3" width="9.5703125" bestFit="1" customWidth="1"/>
  </cols>
  <sheetData>
    <row r="1" spans="2:37" ht="15.75" thickBot="1" x14ac:dyDescent="0.3">
      <c r="F1" s="3" t="s">
        <v>188</v>
      </c>
      <c r="H1" t="str">
        <f>_xll.acq_join(B13:C13,"=")</f>
        <v>Beta=0.5</v>
      </c>
      <c r="M1" s="3" t="s">
        <v>189</v>
      </c>
      <c r="O1" t="str">
        <f>_xll.acq_join(B19:C19,"=")</f>
        <v>Beta=0.6</v>
      </c>
      <c r="T1" s="3" t="s">
        <v>190</v>
      </c>
      <c r="V1" t="str">
        <f>_xll.acq_join(B25:C25,"=")</f>
        <v>Beta=0</v>
      </c>
    </row>
    <row r="2" spans="2:37" ht="15.75" thickBot="1" x14ac:dyDescent="0.3">
      <c r="AD2" s="3" t="s">
        <v>191</v>
      </c>
    </row>
    <row r="3" spans="2:37" ht="15.75" thickBot="1" x14ac:dyDescent="0.3">
      <c r="B3" s="3" t="s">
        <v>92</v>
      </c>
      <c r="C3" s="3"/>
      <c r="F3" t="s">
        <v>183</v>
      </c>
      <c r="G3" t="s">
        <v>184</v>
      </c>
      <c r="H3" t="s">
        <v>185</v>
      </c>
      <c r="I3" t="s">
        <v>186</v>
      </c>
      <c r="J3" t="s">
        <v>187</v>
      </c>
      <c r="M3" t="s">
        <v>183</v>
      </c>
      <c r="N3" t="s">
        <v>184</v>
      </c>
      <c r="O3" t="s">
        <v>185</v>
      </c>
      <c r="P3" t="s">
        <v>186</v>
      </c>
      <c r="Q3" t="s">
        <v>187</v>
      </c>
      <c r="T3" t="s">
        <v>183</v>
      </c>
      <c r="U3" t="s">
        <v>184</v>
      </c>
      <c r="V3" t="s">
        <v>185</v>
      </c>
      <c r="W3" t="s">
        <v>186</v>
      </c>
      <c r="X3" t="s">
        <v>187</v>
      </c>
    </row>
    <row r="4" spans="2:37" x14ac:dyDescent="0.25">
      <c r="B4" t="s">
        <v>86</v>
      </c>
      <c r="C4" s="5">
        <v>3.5000000000000003E-2</v>
      </c>
      <c r="F4">
        <v>0.02</v>
      </c>
      <c r="G4">
        <f>_xll.acq_options_sabr_blackvol($C$4,F4,$C$6,$C$12,$C$13,$C$14,$C$15)</f>
        <v>0.45967986913917208</v>
      </c>
      <c r="H4">
        <f>_xll.acq_options_sabr_normvol($C$4,F4,$C$6,$C$12,$C$13,$C$14,$C$15)</f>
        <v>1.2138634159455026E-2</v>
      </c>
      <c r="I4">
        <f>_xll.acq_options_black_price($C$4,F4,$C$6,$C$7,G4,$C$8)</f>
        <v>2.4654194046040911E-3</v>
      </c>
      <c r="J4">
        <f>_xll.acq_options_bachelier_price($C$4,F4,$C$6,$C$7,H4,$C$8)</f>
        <v>2.5272036638128641E-3</v>
      </c>
      <c r="M4">
        <v>0.02</v>
      </c>
      <c r="N4">
        <f>_xll.acq_options_sabr_blackvol($C$4,M4,$C$6,$C$18,$C$19,$C$20,$C$21)</f>
        <v>0.45939020608111775</v>
      </c>
      <c r="O4">
        <f>_xll.acq_options_sabr_normvol($C$4,M4,$C$6,$C$18,$C$19,$C$20,$C$21)</f>
        <v>1.2141428534133908E-2</v>
      </c>
      <c r="P4">
        <f>_xll.acq_options_black_price($C$4,M4,$C$6,$C$7,N4,$C$8)</f>
        <v>2.4621306345189824E-3</v>
      </c>
      <c r="Q4">
        <f>_xll.acq_options_bachelier_price($C$4,M4,$C$6,$C$7,O4,$C$8)</f>
        <v>2.528492232801092E-3</v>
      </c>
      <c r="T4">
        <v>0.02</v>
      </c>
      <c r="U4">
        <f>_xll.acq_options_sabr_blackvol($C$4,T4,$C$6,$C$24,$C$25,$C$26,$C$27)</f>
        <v>0.4612863639931889</v>
      </c>
      <c r="V4">
        <f>_xll.acq_options_sabr_normvol($C$4,T4,$C$6,$C$24,$C$25,$C$26,$C$27)</f>
        <v>1.2100546250614557E-2</v>
      </c>
      <c r="W4">
        <f>_xll.acq_options_black_price($C$4,T4,$C$6,$C$7,U4,$C$8)</f>
        <v>2.483671760168582E-3</v>
      </c>
      <c r="X4">
        <f>_xll.acq_options_bachelier_price($C$4,T4,$C$6,$C$7,V4,$C$8)</f>
        <v>2.5096552902174772E-3</v>
      </c>
      <c r="AD4" t="s">
        <v>87</v>
      </c>
      <c r="AE4" t="s">
        <v>192</v>
      </c>
      <c r="AF4" t="s">
        <v>193</v>
      </c>
      <c r="AG4" t="s">
        <v>195</v>
      </c>
      <c r="AJ4" t="s">
        <v>183</v>
      </c>
      <c r="AK4" t="s">
        <v>184</v>
      </c>
    </row>
    <row r="5" spans="2:37" ht="15.75" thickBot="1" x14ac:dyDescent="0.3">
      <c r="B5" t="s">
        <v>87</v>
      </c>
      <c r="C5" s="5">
        <v>100</v>
      </c>
      <c r="F5">
        <v>2.1000000000000001E-2</v>
      </c>
      <c r="G5">
        <f>_xll.acq_options_sabr_blackvol($C$4,F5,$C$6,$C$12,$C$13,$C$14,$C$15)</f>
        <v>0.44746247058198485</v>
      </c>
      <c r="H5">
        <f>_xll.acq_options_sabr_normvol($C$4,F5,$C$6,$C$12,$C$13,$C$14,$C$15)</f>
        <v>1.2085941286844752E-2</v>
      </c>
      <c r="I5">
        <f>_xll.acq_options_black_price($C$4,F5,$C$6,$C$7,G5,$C$8)</f>
        <v>2.6552952489695279E-3</v>
      </c>
      <c r="J5">
        <f>_xll.acq_options_bachelier_price($C$4,F5,$C$6,$C$7,H5,$C$8)</f>
        <v>2.7131864463465021E-3</v>
      </c>
      <c r="M5">
        <v>2.1000000000000001E-2</v>
      </c>
      <c r="N5">
        <f>_xll.acq_options_sabr_blackvol($C$4,M5,$C$6,$C$18,$C$19,$C$20,$C$21)</f>
        <v>0.44742833244772151</v>
      </c>
      <c r="O5">
        <f>_xll.acq_options_sabr_normvol($C$4,M5,$C$6,$C$18,$C$19,$C$20,$C$21)</f>
        <v>1.209437266970243E-2</v>
      </c>
      <c r="P5">
        <f>_xll.acq_options_black_price($C$4,M5,$C$6,$C$7,N5,$C$8)</f>
        <v>2.6548843230067938E-3</v>
      </c>
      <c r="Q5">
        <f>_xll.acq_options_bachelier_price($C$4,M5,$C$6,$C$7,O5,$C$8)</f>
        <v>2.7171966708032956E-3</v>
      </c>
      <c r="T5">
        <v>2.1000000000000001E-2</v>
      </c>
      <c r="U5">
        <f>_xll.acq_options_sabr_blackvol($C$4,T5,$C$6,$C$24,$C$25,$C$26,$C$27)</f>
        <v>0.44777274039531656</v>
      </c>
      <c r="V5">
        <f>_xll.acq_options_sabr_normvol($C$4,T5,$C$6,$C$24,$C$25,$C$26,$C$27)</f>
        <v>1.2022300522505745E-2</v>
      </c>
      <c r="W5">
        <f>_xll.acq_options_black_price($C$4,T5,$C$6,$C$7,U5,$C$8)</f>
        <v>2.659030422502171E-3</v>
      </c>
      <c r="X5">
        <f>_xll.acq_options_bachelier_price($C$4,T5,$C$6,$C$7,V5,$C$8)</f>
        <v>2.682957464776784E-3</v>
      </c>
      <c r="AA5" s="3" t="s">
        <v>194</v>
      </c>
      <c r="AB5" s="3"/>
      <c r="AD5">
        <v>0.02</v>
      </c>
      <c r="AE5">
        <v>0.45600000000000002</v>
      </c>
      <c r="AF5">
        <f>_xll.acq_options_sabr_blackvol($C$4,AD5,$C$6,$AB$7,$AB$6,$AB$8,$AB$9)</f>
        <v>0.4612863639931889</v>
      </c>
      <c r="AG5">
        <f>AE5-AF5</f>
        <v>-5.2863639931888806E-3</v>
      </c>
      <c r="AJ5">
        <v>0.02</v>
      </c>
      <c r="AK5">
        <f>_xll.acq_options_sabr_blackvol($C$4,AJ5,$C$6,$AB$7,$AB$6,$AB$8,$AB$9)</f>
        <v>0.4612863639931889</v>
      </c>
    </row>
    <row r="6" spans="2:37" x14ac:dyDescent="0.25">
      <c r="B6" t="s">
        <v>88</v>
      </c>
      <c r="C6" s="5">
        <v>3</v>
      </c>
      <c r="F6">
        <v>2.1999999999999999E-2</v>
      </c>
      <c r="G6">
        <f>_xll.acq_options_sabr_blackvol($C$4,F6,$C$6,$C$12,$C$13,$C$14,$C$15)</f>
        <v>0.43625509004127139</v>
      </c>
      <c r="H6">
        <f>_xll.acq_options_sabr_normvol($C$4,F6,$C$6,$C$12,$C$13,$C$14,$C$15)</f>
        <v>1.2041849385317629E-2</v>
      </c>
      <c r="I6">
        <f>_xll.acq_options_black_price($C$4,F6,$C$6,$C$7,G6,$C$8)</f>
        <v>2.8605846617136498E-3</v>
      </c>
      <c r="J6">
        <f>_xll.acq_options_bachelier_price($C$4,F6,$C$6,$C$7,H6,$C$8)</f>
        <v>2.9149447482391981E-3</v>
      </c>
      <c r="M6">
        <v>2.1999999999999999E-2</v>
      </c>
      <c r="N6">
        <f>_xll.acq_options_sabr_blackvol($C$4,M6,$C$6,$C$18,$C$19,$C$20,$C$21)</f>
        <v>0.43642438815045137</v>
      </c>
      <c r="O6">
        <f>_xll.acq_options_sabr_normvol($C$4,M6,$C$6,$C$18,$C$19,$C$20,$C$21)</f>
        <v>1.2054885462294855E-2</v>
      </c>
      <c r="P6">
        <f>_xll.acq_options_black_price($C$4,M6,$C$6,$C$7,N6,$C$8)</f>
        <v>2.8627387256941498E-3</v>
      </c>
      <c r="Q6">
        <f>_xll.acq_options_bachelier_price($C$4,M6,$C$6,$C$7,O6,$C$8)</f>
        <v>2.9213304008005483E-3</v>
      </c>
      <c r="T6">
        <v>2.1999999999999999E-2</v>
      </c>
      <c r="U6">
        <f>_xll.acq_options_sabr_blackvol($C$4,T6,$C$6,$C$24,$C$25,$C$26,$C$27)</f>
        <v>0.43555178399937761</v>
      </c>
      <c r="V6">
        <f>_xll.acq_options_sabr_normvol($C$4,T6,$C$6,$C$24,$C$25,$C$26,$C$27)</f>
        <v>1.1957917232958762E-2</v>
      </c>
      <c r="W6">
        <f>_xll.acq_options_black_price($C$4,T6,$C$6,$C$7,U6,$C$8)</f>
        <v>2.851638255459771E-3</v>
      </c>
      <c r="X6">
        <f>_xll.acq_options_bachelier_price($C$4,T6,$C$6,$C$7,V6,$C$8)</f>
        <v>2.8738956594886807E-3</v>
      </c>
      <c r="AA6" t="s">
        <v>181</v>
      </c>
      <c r="AB6" s="57">
        <v>0</v>
      </c>
      <c r="AD6">
        <v>2.5000000000000001E-2</v>
      </c>
      <c r="AE6">
        <v>0.41599999999999998</v>
      </c>
      <c r="AF6">
        <f>_xll.acq_options_sabr_blackvol($C$4,AD6,$C$6,$AB$7,$AB$6,$AB$8,$AB$9)</f>
        <v>0.40620884900080556</v>
      </c>
      <c r="AG6">
        <f t="shared" ref="AG6:AG11" si="0">AE6-AF6</f>
        <v>9.7911509991944201E-3</v>
      </c>
      <c r="AJ6">
        <v>2.1000000000000001E-2</v>
      </c>
      <c r="AK6">
        <f>_xll.acq_options_sabr_blackvol($C$4,AJ6,$C$6,$AB$7,$AB$6,$AB$8,$AB$9)</f>
        <v>0.44777274039531656</v>
      </c>
    </row>
    <row r="7" spans="2:37" x14ac:dyDescent="0.25">
      <c r="B7" t="s">
        <v>90</v>
      </c>
      <c r="C7" s="5">
        <v>0.05</v>
      </c>
      <c r="F7">
        <v>2.3E-2</v>
      </c>
      <c r="G7">
        <f>_xll.acq_options_sabr_blackvol($C$4,F7,$C$6,$C$12,$C$13,$C$14,$C$15)</f>
        <v>0.42602736197941954</v>
      </c>
      <c r="H7">
        <f>_xll.acq_options_sabr_normvol($C$4,F7,$C$6,$C$12,$C$13,$C$14,$C$15)</f>
        <v>1.2007956154454798E-2</v>
      </c>
      <c r="I7">
        <f>_xll.acq_options_black_price($C$4,F7,$C$6,$C$7,G7,$C$8)</f>
        <v>3.0829350007063215E-3</v>
      </c>
      <c r="J7">
        <f>_xll.acq_options_bachelier_price($C$4,F7,$C$6,$C$7,H7,$C$8)</f>
        <v>3.1341343215885928E-3</v>
      </c>
      <c r="M7">
        <v>2.3E-2</v>
      </c>
      <c r="N7">
        <f>_xll.acq_options_sabr_blackvol($C$4,M7,$C$6,$C$18,$C$19,$C$20,$C$21)</f>
        <v>0.4263507305778878</v>
      </c>
      <c r="O7">
        <f>_xll.acq_options_sabr_normvol($C$4,M7,$C$6,$C$18,$C$19,$C$20,$C$21)</f>
        <v>1.2024530631642352E-2</v>
      </c>
      <c r="P7">
        <f>_xll.acq_options_black_price($C$4,M7,$C$6,$C$7,N7,$C$8)</f>
        <v>3.0872710507453566E-3</v>
      </c>
      <c r="Q7">
        <f>_xll.acq_options_bachelier_price($C$4,M7,$C$6,$C$7,O7,$C$8)</f>
        <v>3.1424822645650091E-3</v>
      </c>
      <c r="T7">
        <v>2.3E-2</v>
      </c>
      <c r="U7">
        <f>_xll.acq_options_sabr_blackvol($C$4,T7,$C$6,$C$24,$C$25,$C$26,$C$27)</f>
        <v>0.42457679916409896</v>
      </c>
      <c r="V7">
        <f>_xll.acq_options_sabr_normvol($C$4,T7,$C$6,$C$24,$C$25,$C$26,$C$27)</f>
        <v>1.1909206745134241E-2</v>
      </c>
      <c r="W7">
        <f>_xll.acq_options_black_price($C$4,T7,$C$6,$C$7,U7,$C$8)</f>
        <v>3.0634920371343205E-3</v>
      </c>
      <c r="X7">
        <f>_xll.acq_options_bachelier_price($C$4,T7,$C$6,$C$7,V7,$C$8)</f>
        <v>3.0844779195070265E-3</v>
      </c>
      <c r="AA7" t="s">
        <v>180</v>
      </c>
      <c r="AB7" s="5">
        <v>1.1635170481191079E-2</v>
      </c>
      <c r="AD7">
        <v>0.03</v>
      </c>
      <c r="AE7">
        <v>0.379</v>
      </c>
      <c r="AF7">
        <f>_xll.acq_options_sabr_blackvol($C$4,AD7,$C$6,$AB$7,$AB$6,$AB$8,$AB$9)</f>
        <v>0.37925019717882097</v>
      </c>
      <c r="AG7">
        <f t="shared" si="0"/>
        <v>-2.5019717882096559E-4</v>
      </c>
      <c r="AJ7">
        <v>2.1999999999999999E-2</v>
      </c>
      <c r="AK7">
        <f>_xll.acq_options_sabr_blackvol($C$4,AJ7,$C$6,$AB$7,$AB$6,$AB$8,$AB$9)</f>
        <v>0.43555178399937761</v>
      </c>
    </row>
    <row r="8" spans="2:37" x14ac:dyDescent="0.25">
      <c r="B8" t="s">
        <v>91</v>
      </c>
      <c r="C8" s="5" t="b">
        <v>0</v>
      </c>
      <c r="F8">
        <v>2.4E-2</v>
      </c>
      <c r="G8">
        <f>_xll.acq_options_sabr_blackvol($C$4,F8,$C$6,$C$12,$C$13,$C$14,$C$15)</f>
        <v>0.41675638968838208</v>
      </c>
      <c r="H8">
        <f>_xll.acq_options_sabr_normvol($C$4,F8,$C$6,$C$12,$C$13,$C$14,$C$15)</f>
        <v>1.1985881514420109E-2</v>
      </c>
      <c r="I8">
        <f>_xll.acq_options_black_price($C$4,F8,$C$6,$C$7,G8,$C$8)</f>
        <v>3.3240591450393211E-3</v>
      </c>
      <c r="J8">
        <f>_xll.acq_options_bachelier_price($C$4,F8,$C$6,$C$7,H8,$C$8)</f>
        <v>3.3724779289568203E-3</v>
      </c>
      <c r="M8">
        <v>2.4E-2</v>
      </c>
      <c r="N8">
        <f>_xll.acq_options_sabr_blackvol($C$4,M8,$C$6,$C$18,$C$19,$C$20,$C$21)</f>
        <v>0.41718721995747754</v>
      </c>
      <c r="O8">
        <f>_xll.acq_options_sabr_normvol($C$4,M8,$C$6,$C$18,$C$19,$C$20,$C$21)</f>
        <v>1.2004906455508722E-2</v>
      </c>
      <c r="P8">
        <f>_xll.acq_options_black_price($C$4,M8,$C$6,$C$7,N8,$C$8)</f>
        <v>3.3301292198042688E-3</v>
      </c>
      <c r="Q8">
        <f>_xll.acq_options_bachelier_price($C$4,M8,$C$6,$C$7,O8,$C$8)</f>
        <v>3.3823130963416101E-3</v>
      </c>
      <c r="T8">
        <v>2.4E-2</v>
      </c>
      <c r="U8">
        <f>_xll.acq_options_sabr_blackvol($C$4,T8,$C$6,$C$24,$C$25,$C$26,$C$27)</f>
        <v>0.41480806626979627</v>
      </c>
      <c r="V8">
        <f>_xll.acq_options_sabr_normvol($C$4,T8,$C$6,$C$24,$C$25,$C$26,$C$27)</f>
        <v>1.1877909077021992E-2</v>
      </c>
      <c r="W8">
        <f>_xll.acq_options_black_price($C$4,T8,$C$6,$C$7,U8,$C$8)</f>
        <v>3.2966200191607209E-3</v>
      </c>
      <c r="X8">
        <f>_xll.acq_options_bachelier_price($C$4,T8,$C$6,$C$7,V8,$C$8)</f>
        <v>3.3167438715843195E-3</v>
      </c>
      <c r="AA8" t="s">
        <v>105</v>
      </c>
      <c r="AB8" s="5">
        <v>0.44950149302426295</v>
      </c>
      <c r="AD8">
        <v>3.5000000000000003E-2</v>
      </c>
      <c r="AE8">
        <v>0.36599999999999999</v>
      </c>
      <c r="AF8">
        <f>_xll.acq_options_sabr_blackvol($C$4,AD8,$C$6,$AB$7,$AB$6,$AB$8,$AB$9)</f>
        <v>0.37319510719483351</v>
      </c>
      <c r="AG8">
        <f t="shared" si="0"/>
        <v>-7.1951071948335166E-3</v>
      </c>
      <c r="AJ8">
        <v>2.3E-2</v>
      </c>
      <c r="AK8">
        <f>_xll.acq_options_sabr_blackvol($C$4,AJ8,$C$6,$AB$7,$AB$6,$AB$8,$AB$9)</f>
        <v>0.42457679916409896</v>
      </c>
    </row>
    <row r="9" spans="2:37" x14ac:dyDescent="0.25">
      <c r="F9">
        <v>2.5000000000000001E-2</v>
      </c>
      <c r="G9">
        <f>_xll.acq_options_sabr_blackvol($C$4,F9,$C$6,$C$12,$C$13,$C$14,$C$15)</f>
        <v>0.40842426220088374</v>
      </c>
      <c r="H9">
        <f>_xll.acq_options_sabr_normvol($C$4,F9,$C$6,$C$12,$C$13,$C$14,$C$15)</f>
        <v>1.197723384416839E-2</v>
      </c>
      <c r="I9">
        <f>_xll.acq_options_black_price($C$4,F9,$C$6,$C$7,G9,$C$8)</f>
        <v>3.5856969779413579E-3</v>
      </c>
      <c r="J9">
        <f>_xll.acq_options_bachelier_price($C$4,F9,$C$6,$C$7,H9,$C$8)</f>
        <v>3.6317261510388187E-3</v>
      </c>
      <c r="M9">
        <v>2.5000000000000001E-2</v>
      </c>
      <c r="N9">
        <f>_xll.acq_options_sabr_blackvol($C$4,M9,$C$6,$C$18,$C$19,$C$20,$C$21)</f>
        <v>0.40891896775338593</v>
      </c>
      <c r="O9">
        <f>_xll.acq_options_sabr_normvol($C$4,M9,$C$6,$C$18,$C$19,$C$20,$C$21)</f>
        <v>1.199761794986154E-2</v>
      </c>
      <c r="P9">
        <f>_xll.acq_options_black_price($C$4,M9,$C$6,$C$7,N9,$C$8)</f>
        <v>3.5929984658018667E-3</v>
      </c>
      <c r="Q9">
        <f>_xll.acq_options_bachelier_price($C$4,M9,$C$6,$C$7,O9,$C$8)</f>
        <v>3.6425217583369229E-3</v>
      </c>
      <c r="T9">
        <v>2.5000000000000001E-2</v>
      </c>
      <c r="U9">
        <f>_xll.acq_options_sabr_blackvol($C$4,T9,$C$6,$C$24,$C$25,$C$26,$C$27)</f>
        <v>0.40620884900080556</v>
      </c>
      <c r="V9">
        <f>_xll.acq_options_sabr_normvol($C$4,T9,$C$6,$C$24,$C$25,$C$26,$C$27)</f>
        <v>1.1865622577560134E-2</v>
      </c>
      <c r="W9">
        <f>_xll.acq_options_black_price($C$4,T9,$C$6,$C$7,U9,$C$8)</f>
        <v>3.5530102097156833E-3</v>
      </c>
      <c r="X9">
        <f>_xll.acq_options_bachelier_price($C$4,T9,$C$6,$C$7,V9,$C$8)</f>
        <v>3.5726920166799575E-3</v>
      </c>
      <c r="AA9" t="s">
        <v>182</v>
      </c>
      <c r="AB9" s="5">
        <v>0.79023487885128929</v>
      </c>
      <c r="AD9">
        <v>0.04</v>
      </c>
      <c r="AE9">
        <v>0.378</v>
      </c>
      <c r="AF9">
        <f>_xll.acq_options_sabr_blackvol($C$4,AD9,$C$6,$AB$7,$AB$6,$AB$8,$AB$9)</f>
        <v>0.37861569039829157</v>
      </c>
      <c r="AG9">
        <f t="shared" si="0"/>
        <v>-6.1569039829156846E-4</v>
      </c>
      <c r="AJ9">
        <v>2.4E-2</v>
      </c>
      <c r="AK9">
        <f>_xll.acq_options_sabr_blackvol($C$4,AJ9,$C$6,$AB$7,$AB$6,$AB$8,$AB$9)</f>
        <v>0.41480806626979627</v>
      </c>
    </row>
    <row r="10" spans="2:37" x14ac:dyDescent="0.25">
      <c r="F10">
        <v>2.5999999999999999E-2</v>
      </c>
      <c r="G10">
        <f>_xll.acq_options_sabr_blackvol($C$4,F10,$C$6,$C$12,$C$13,$C$14,$C$15)</f>
        <v>0.40101554117170923</v>
      </c>
      <c r="H10">
        <f>_xll.acq_options_sabr_normvol($C$4,F10,$C$6,$C$12,$C$13,$C$14,$C$15)</f>
        <v>1.1983563227660329E-2</v>
      </c>
      <c r="I10">
        <f>_xll.acq_options_black_price($C$4,F10,$C$6,$C$7,G10,$C$8)</f>
        <v>3.8695629399882418E-3</v>
      </c>
      <c r="J10">
        <f>_xll.acq_options_bachelier_price($C$4,F10,$C$6,$C$7,H10,$C$8)</f>
        <v>3.9136040788241263E-3</v>
      </c>
      <c r="M10">
        <v>2.5999999999999999E-2</v>
      </c>
      <c r="N10">
        <f>_xll.acq_options_sabr_blackvol($C$4,M10,$C$6,$C$18,$C$19,$C$20,$C$21)</f>
        <v>0.40153403947909938</v>
      </c>
      <c r="O10">
        <f>_xll.acq_options_sabr_normvol($C$4,M10,$C$6,$C$18,$C$19,$C$20,$C$21)</f>
        <v>1.2004236524051465E-2</v>
      </c>
      <c r="P10">
        <f>_xll.acq_options_black_price($C$4,M10,$C$6,$C$7,N10,$C$8)</f>
        <v>3.8775548685101532E-3</v>
      </c>
      <c r="Q10">
        <f>_xll.acq_options_bachelier_price($C$4,M10,$C$6,$C$7,O10,$C$8)</f>
        <v>3.9247979341560848E-3</v>
      </c>
      <c r="T10">
        <v>2.5999999999999999E-2</v>
      </c>
      <c r="U10">
        <f>_xll.acq_options_sabr_blackvol($C$4,T10,$C$6,$C$24,$C$25,$C$26,$C$27)</f>
        <v>0.39874162197562146</v>
      </c>
      <c r="V10">
        <f>_xll.acq_options_sabr_normvol($C$4,T10,$C$6,$C$24,$C$25,$C$26,$C$27)</f>
        <v>1.1873720468085748E-2</v>
      </c>
      <c r="W10">
        <f>_xll.acq_options_black_price($C$4,T10,$C$6,$C$7,U10,$C$8)</f>
        <v>3.8345213963775012E-3</v>
      </c>
      <c r="X10">
        <f>_xll.acq_options_bachelier_price($C$4,T10,$C$6,$C$7,V10,$C$8)</f>
        <v>3.8541894414775477E-3</v>
      </c>
      <c r="AD10">
        <v>4.4999999999999998E-2</v>
      </c>
      <c r="AE10">
        <v>0.39200000000000002</v>
      </c>
      <c r="AF10">
        <f>_xll.acq_options_sabr_blackvol($C$4,AD10,$C$6,$AB$7,$AB$6,$AB$8,$AB$9)</f>
        <v>0.3885682971108777</v>
      </c>
      <c r="AG10">
        <f t="shared" si="0"/>
        <v>3.4317028891223122E-3</v>
      </c>
      <c r="AJ10">
        <v>2.5000000000000001E-2</v>
      </c>
      <c r="AK10">
        <f>_xll.acq_options_sabr_blackvol($C$4,AJ10,$C$6,$AB$7,$AB$6,$AB$8,$AB$9)</f>
        <v>0.40620884900080556</v>
      </c>
    </row>
    <row r="11" spans="2:37" ht="15.75" thickBot="1" x14ac:dyDescent="0.3">
      <c r="B11" s="3" t="s">
        <v>188</v>
      </c>
      <c r="C11" s="3"/>
      <c r="F11">
        <v>2.7E-2</v>
      </c>
      <c r="G11">
        <f>_xll.acq_options_sabr_blackvol($C$4,F11,$C$6,$C$12,$C$13,$C$14,$C$15)</f>
        <v>0.39451473958513045</v>
      </c>
      <c r="H11">
        <f>_xll.acq_options_sabr_normvol($C$4,F11,$C$6,$C$12,$C$13,$C$14,$C$15)</f>
        <v>1.2006303350571054E-2</v>
      </c>
      <c r="I11">
        <f>_xll.acq_options_black_price($C$4,F11,$C$6,$C$7,G11,$C$8)</f>
        <v>4.1772806603807061E-3</v>
      </c>
      <c r="J11">
        <f>_xll.acq_options_bachelier_price($C$4,F11,$C$6,$C$7,H11,$C$8)</f>
        <v>4.2197449186495255E-3</v>
      </c>
      <c r="M11">
        <v>2.7E-2</v>
      </c>
      <c r="N11">
        <f>_xll.acq_options_sabr_blackvol($C$4,M11,$C$6,$C$18,$C$19,$C$20,$C$21)</f>
        <v>0.39502110908565419</v>
      </c>
      <c r="O11">
        <f>_xll.acq_options_sabr_normvol($C$4,M11,$C$6,$C$18,$C$19,$C$20,$C$21)</f>
        <v>1.2026247875130293E-2</v>
      </c>
      <c r="P11">
        <f>_xll.acq_options_black_price($C$4,M11,$C$6,$C$7,N11,$C$8)</f>
        <v>4.1854061562603398E-3</v>
      </c>
      <c r="Q11">
        <f>_xll.acq_options_bachelier_price($C$4,M11,$C$6,$C$7,O11,$C$8)</f>
        <v>4.2307620192048616E-3</v>
      </c>
      <c r="T11">
        <v>2.7E-2</v>
      </c>
      <c r="U11">
        <f>_xll.acq_options_sabr_blackvol($C$4,T11,$C$6,$C$24,$C$25,$C$26,$C$27)</f>
        <v>0.39236472945266987</v>
      </c>
      <c r="V11">
        <f>_xll.acq_options_sabr_normvol($C$4,T11,$C$6,$C$24,$C$25,$C$26,$C$27)</f>
        <v>1.190326418133761E-2</v>
      </c>
      <c r="W11">
        <f>_xll.acq_options_black_price($C$4,T11,$C$6,$C$7,U11,$C$8)</f>
        <v>4.1427836459150833E-3</v>
      </c>
      <c r="X11">
        <f>_xll.acq_options_bachelier_price($C$4,T11,$C$6,$C$7,V11,$C$8)</f>
        <v>4.1628708203266095E-3</v>
      </c>
      <c r="AA11" t="s">
        <v>111</v>
      </c>
      <c r="AB11">
        <f>_xll.acq_sumofsquares(AG5:AG11)</f>
        <v>1.879422263211317E-4</v>
      </c>
      <c r="AD11">
        <v>0.05</v>
      </c>
      <c r="AE11">
        <v>0.4</v>
      </c>
      <c r="AF11">
        <f>_xll.acq_options_sabr_blackvol($C$4,AD11,$C$6,$AB$7,$AB$6,$AB$8,$AB$9)</f>
        <v>0.39962301378748283</v>
      </c>
      <c r="AG11">
        <f t="shared" si="0"/>
        <v>3.7698621251719411E-4</v>
      </c>
      <c r="AJ11">
        <v>2.5999999999999999E-2</v>
      </c>
      <c r="AK11">
        <f>_xll.acq_options_sabr_blackvol($C$4,AJ11,$C$6,$AB$7,$AB$6,$AB$8,$AB$9)</f>
        <v>0.39874162197562146</v>
      </c>
    </row>
    <row r="12" spans="2:37" x14ac:dyDescent="0.25">
      <c r="B12" t="s">
        <v>180</v>
      </c>
      <c r="C12" s="5">
        <v>6.0276999999999997E-2</v>
      </c>
      <c r="F12">
        <v>2.8000000000000001E-2</v>
      </c>
      <c r="G12">
        <f>_xll.acq_options_sabr_blackvol($C$4,F12,$C$6,$C$12,$C$13,$C$14,$C$15)</f>
        <v>0.38890389383216162</v>
      </c>
      <c r="H12">
        <f>_xll.acq_options_sabr_normvol($C$4,F12,$C$6,$C$12,$C$13,$C$14,$C$15)</f>
        <v>1.2046706042771457E-2</v>
      </c>
      <c r="I12">
        <f>_xll.acq_options_black_price($C$4,F12,$C$6,$C$7,G12,$C$8)</f>
        <v>4.5103082168044045E-3</v>
      </c>
      <c r="J12">
        <f>_xll.acq_options_bachelier_price($C$4,F12,$C$6,$C$7,H12,$C$8)</f>
        <v>4.5516141182968348E-3</v>
      </c>
      <c r="M12">
        <v>2.8000000000000001E-2</v>
      </c>
      <c r="N12">
        <f>_xll.acq_options_sabr_blackvol($C$4,M12,$C$6,$C$18,$C$19,$C$20,$C$21)</f>
        <v>0.38936713445215837</v>
      </c>
      <c r="O12">
        <f>_xll.acq_options_sabr_normvol($C$4,M12,$C$6,$C$18,$C$19,$C$20,$C$21)</f>
        <v>1.2064990920714004E-2</v>
      </c>
      <c r="P12">
        <f>_xll.acq_options_black_price($C$4,M12,$C$6,$C$7,N12,$C$8)</f>
        <v>4.5180222862071864E-3</v>
      </c>
      <c r="Q12">
        <f>_xll.acq_options_bachelier_price($C$4,M12,$C$6,$C$7,O12,$C$8)</f>
        <v>4.5618946627365899E-3</v>
      </c>
      <c r="T12">
        <v>2.8000000000000001E-2</v>
      </c>
      <c r="U12">
        <f>_xll.acq_options_sabr_blackvol($C$4,T12,$C$6,$C$24,$C$25,$C$26,$C$27)</f>
        <v>0.38702977550438783</v>
      </c>
      <c r="V12">
        <f>_xll.acq_options_sabr_normvol($C$4,T12,$C$6,$C$24,$C$25,$C$26,$C$27)</f>
        <v>1.1954925742049592E-2</v>
      </c>
      <c r="W12">
        <f>_xll.acq_options_black_price($C$4,T12,$C$6,$C$7,U12,$C$8)</f>
        <v>4.4790993473389938E-3</v>
      </c>
      <c r="X12">
        <f>_xll.acq_options_bachelier_price($C$4,T12,$C$6,$C$7,V12,$C$8)</f>
        <v>4.5000379739353977E-3</v>
      </c>
      <c r="AJ12">
        <v>2.7E-2</v>
      </c>
      <c r="AK12">
        <f>_xll.acq_options_sabr_blackvol($C$4,AJ12,$C$6,$AB$7,$AB$6,$AB$8,$AB$9)</f>
        <v>0.39236472945266987</v>
      </c>
    </row>
    <row r="13" spans="2:37" x14ac:dyDescent="0.25">
      <c r="B13" t="s">
        <v>181</v>
      </c>
      <c r="C13" s="5">
        <v>0.5</v>
      </c>
      <c r="F13">
        <v>2.9000000000000001E-2</v>
      </c>
      <c r="G13">
        <f>_xll.acq_options_sabr_blackvol($C$4,F13,$C$6,$C$12,$C$13,$C$14,$C$15)</f>
        <v>0.38416040100309645</v>
      </c>
      <c r="H13">
        <f>_xll.acq_options_sabr_normvol($C$4,F13,$C$6,$C$12,$C$13,$C$14,$C$15)</f>
        <v>1.2105774949879388E-2</v>
      </c>
      <c r="I13">
        <f>_xll.acq_options_black_price($C$4,F13,$C$6,$C$7,G13,$C$8)</f>
        <v>4.8698604000689417E-3</v>
      </c>
      <c r="J13">
        <f>_xll.acq_options_bachelier_price($C$4,F13,$C$6,$C$7,H13,$C$8)</f>
        <v>4.9104304884508608E-3</v>
      </c>
      <c r="M13">
        <v>2.9000000000000001E-2</v>
      </c>
      <c r="N13">
        <f>_xll.acq_options_sabr_blackvol($C$4,M13,$C$6,$C$18,$C$19,$C$20,$C$21)</f>
        <v>0.38455519392785126</v>
      </c>
      <c r="O13">
        <f>_xll.acq_options_sabr_normvol($C$4,M13,$C$6,$C$18,$C$19,$C$20,$C$21)</f>
        <v>1.2121592941014503E-2</v>
      </c>
      <c r="P13">
        <f>_xll.acq_options_black_price($C$4,M13,$C$6,$C$7,N13,$C$8)</f>
        <v>4.8766609269876625E-3</v>
      </c>
      <c r="Q13">
        <f>_xll.acq_options_bachelier_price($C$4,M13,$C$6,$C$7,O13,$C$8)</f>
        <v>4.9194611650476639E-3</v>
      </c>
      <c r="T13">
        <v>2.9000000000000001E-2</v>
      </c>
      <c r="U13">
        <f>_xll.acq_options_sabr_blackvol($C$4,T13,$C$6,$C$24,$C$25,$C$26,$C$27)</f>
        <v>0.38268005053285276</v>
      </c>
      <c r="V13">
        <f>_xll.acq_options_sabr_normvol($C$4,T13,$C$6,$C$24,$C$25,$C$26,$C$27)</f>
        <v>1.2028932545593396E-2</v>
      </c>
      <c r="W13">
        <f>_xll.acq_options_black_price($C$4,T13,$C$6,$C$7,U13,$C$8)</f>
        <v>4.8443586459312009E-3</v>
      </c>
      <c r="X13">
        <f>_xll.acq_options_bachelier_price($C$4,T13,$C$6,$C$7,V13,$C$8)</f>
        <v>4.8665740739536317E-3</v>
      </c>
      <c r="AJ13">
        <v>2.8000000000000001E-2</v>
      </c>
      <c r="AK13">
        <f>_xll.acq_options_sabr_blackvol($C$4,AJ13,$C$6,$AB$7,$AB$6,$AB$8,$AB$9)</f>
        <v>0.38702977550438783</v>
      </c>
    </row>
    <row r="14" spans="2:37" x14ac:dyDescent="0.25">
      <c r="B14" t="s">
        <v>105</v>
      </c>
      <c r="C14" s="5">
        <v>0.2097</v>
      </c>
      <c r="F14">
        <v>0.03</v>
      </c>
      <c r="G14">
        <f>_xll.acq_options_sabr_blackvol($C$4,F14,$C$6,$C$12,$C$13,$C$14,$C$15)</f>
        <v>0.38025533341924922</v>
      </c>
      <c r="H14">
        <f>_xll.acq_options_sabr_normvol($C$4,F14,$C$6,$C$12,$C$13,$C$14,$C$15)</f>
        <v>1.2184206689952404E-2</v>
      </c>
      <c r="I14">
        <f>_xll.acq_options_black_price($C$4,F14,$C$6,$C$7,G14,$C$8)</f>
        <v>5.2568367050790732E-3</v>
      </c>
      <c r="J14">
        <f>_xll.acq_options_bachelier_price($C$4,F14,$C$6,$C$7,H14,$C$8)</f>
        <v>5.2970931714903776E-3</v>
      </c>
      <c r="M14">
        <v>0.03</v>
      </c>
      <c r="N14">
        <f>_xll.acq_options_sabr_blackvol($C$4,M14,$C$6,$C$18,$C$19,$C$20,$C$21)</f>
        <v>0.38056267521204312</v>
      </c>
      <c r="O14">
        <f>_xll.acq_options_sabr_normvol($C$4,M14,$C$6,$C$18,$C$19,$C$20,$C$21)</f>
        <v>1.2196908214049252E-2</v>
      </c>
      <c r="P14">
        <f>_xll.acq_options_black_price($C$4,M14,$C$6,$C$7,N14,$C$8)</f>
        <v>5.2622954079511904E-3</v>
      </c>
      <c r="Q14">
        <f>_xll.acq_options_bachelier_price($C$4,M14,$C$6,$C$7,O14,$C$8)</f>
        <v>5.3044384075391316E-3</v>
      </c>
      <c r="T14">
        <v>0.03</v>
      </c>
      <c r="U14">
        <f>_xll.acq_options_sabr_blackvol($C$4,T14,$C$6,$C$24,$C$25,$C$26,$C$27)</f>
        <v>0.37925019717882097</v>
      </c>
      <c r="V14">
        <f>_xll.acq_options_sabr_normvol($C$4,T14,$C$6,$C$24,$C$25,$C$26,$C$27)</f>
        <v>1.2125045627358232E-2</v>
      </c>
      <c r="W14">
        <f>_xll.acq_options_black_price($C$4,T14,$C$6,$C$7,U14,$C$8)</f>
        <v>5.2389828146698599E-3</v>
      </c>
      <c r="X14">
        <f>_xll.acq_options_bachelier_price($C$4,T14,$C$6,$C$7,V14,$C$8)</f>
        <v>5.2628862713806086E-3</v>
      </c>
      <c r="AJ14">
        <v>2.9000000000000001E-2</v>
      </c>
      <c r="AK14">
        <f>_xll.acq_options_sabr_blackvol($C$4,AJ14,$C$6,$AB$7,$AB$6,$AB$8,$AB$9)</f>
        <v>0.38268005053285276</v>
      </c>
    </row>
    <row r="15" spans="2:37" x14ac:dyDescent="0.25">
      <c r="B15" t="s">
        <v>182</v>
      </c>
      <c r="C15" s="5">
        <v>0.75090999999999997</v>
      </c>
      <c r="F15">
        <v>3.1E-2</v>
      </c>
      <c r="G15">
        <f>_xll.acq_options_sabr_blackvol($C$4,F15,$C$6,$C$12,$C$13,$C$14,$C$15)</f>
        <v>0.37715243219617883</v>
      </c>
      <c r="H15">
        <f>_xll.acq_options_sabr_normvol($C$4,F15,$C$6,$C$12,$C$13,$C$14,$C$15)</f>
        <v>1.2282348265130876E-2</v>
      </c>
      <c r="I15">
        <f>_xll.acq_options_black_price($C$4,F15,$C$6,$C$7,G15,$C$8)</f>
        <v>5.6717647076903518E-3</v>
      </c>
      <c r="J15">
        <f>_xll.acq_options_bachelier_price($C$4,F15,$C$6,$C$7,H15,$C$8)</f>
        <v>5.7121242579655403E-3</v>
      </c>
      <c r="M15">
        <v>3.1E-2</v>
      </c>
      <c r="N15">
        <f>_xll.acq_options_sabr_blackvol($C$4,M15,$C$6,$C$18,$C$19,$C$20,$C$21)</f>
        <v>0.37736002000798574</v>
      </c>
      <c r="O15">
        <f>_xll.acq_options_sabr_normvol($C$4,M15,$C$6,$C$18,$C$19,$C$20,$C$21)</f>
        <v>1.2291468503410416E-2</v>
      </c>
      <c r="P15">
        <f>_xll.acq_options_black_price($C$4,M15,$C$6,$C$7,N15,$C$8)</f>
        <v>5.6755541383089903E-3</v>
      </c>
      <c r="Q15">
        <f>_xll.acq_options_bachelier_price($C$4,M15,$C$6,$C$7,O15,$C$8)</f>
        <v>5.717453450679485E-3</v>
      </c>
      <c r="T15">
        <v>3.1E-2</v>
      </c>
      <c r="U15">
        <f>_xll.acq_options_sabr_blackvol($C$4,T15,$C$6,$C$24,$C$25,$C$26,$C$27)</f>
        <v>0.37666712797871293</v>
      </c>
      <c r="V15">
        <f>_xll.acq_options_sabr_normvol($C$4,T15,$C$6,$C$24,$C$25,$C$26,$C$27)</f>
        <v>1.2242576869212842E-2</v>
      </c>
      <c r="W15">
        <f>_xll.acq_options_black_price($C$4,T15,$C$6,$C$7,U15,$C$8)</f>
        <v>5.6629050907580115E-3</v>
      </c>
      <c r="X15">
        <f>_xll.acq_options_bachelier_price($C$4,T15,$C$6,$C$7,V15,$C$8)</f>
        <v>5.6888864349787733E-3</v>
      </c>
      <c r="AJ15">
        <v>0.03</v>
      </c>
      <c r="AK15">
        <f>_xll.acq_options_sabr_blackvol($C$4,AJ15,$C$6,$AB$7,$AB$6,$AB$8,$AB$9)</f>
        <v>0.37925019717882097</v>
      </c>
    </row>
    <row r="16" spans="2:37" x14ac:dyDescent="0.25">
      <c r="F16">
        <v>3.2000000000000001E-2</v>
      </c>
      <c r="G16">
        <f>_xll.acq_options_sabr_blackvol($C$4,F16,$C$6,$C$12,$C$13,$C$14,$C$15)</f>
        <v>0.37480791226920035</v>
      </c>
      <c r="H16">
        <f>_xll.acq_options_sabr_normvol($C$4,F16,$C$6,$C$12,$C$13,$C$14,$C$15)</f>
        <v>1.240017789104635E-2</v>
      </c>
      <c r="I16">
        <f>_xll.acq_options_black_price($C$4,F16,$C$6,$C$7,G16,$C$8)</f>
        <v>6.1147673106982546E-3</v>
      </c>
      <c r="J16">
        <f>_xll.acq_options_bachelier_price($C$4,F16,$C$6,$C$7,H16,$C$8)</f>
        <v>6.1556356532369788E-3</v>
      </c>
      <c r="M16">
        <v>3.2000000000000001E-2</v>
      </c>
      <c r="N16">
        <f>_xll.acq_options_sabr_blackvol($C$4,M16,$C$6,$C$18,$C$19,$C$20,$C$21)</f>
        <v>0.37491018692848255</v>
      </c>
      <c r="O16">
        <f>_xll.acq_options_sabr_normvol($C$4,M16,$C$6,$C$18,$C$19,$C$20,$C$21)</f>
        <v>1.2405453116921514E-2</v>
      </c>
      <c r="P16">
        <f>_xll.acq_options_black_price($C$4,M16,$C$6,$C$7,N16,$C$8)</f>
        <v>6.1166801657331514E-3</v>
      </c>
      <c r="Q16">
        <f>_xll.acq_options_bachelier_price($C$4,M16,$C$6,$C$7,O16,$C$8)</f>
        <v>6.1587425924776468E-3</v>
      </c>
      <c r="T16">
        <v>3.2000000000000001E-2</v>
      </c>
      <c r="U16">
        <f>_xll.acq_options_sabr_blackvol($C$4,T16,$C$6,$C$24,$C$25,$C$26,$C$27)</f>
        <v>0.37485198631103567</v>
      </c>
      <c r="V16">
        <f>_xll.acq_options_sabr_normvol($C$4,T16,$C$6,$C$24,$C$25,$C$26,$C$27)</f>
        <v>1.2380443058633592E-2</v>
      </c>
      <c r="W16">
        <f>_xll.acq_options_black_price($C$4,T16,$C$6,$C$7,U16,$C$8)</f>
        <v>6.1155916382344784E-3</v>
      </c>
      <c r="X16">
        <f>_xll.acq_options_bachelier_price($C$4,T16,$C$6,$C$7,V16,$C$8)</f>
        <v>6.1440126973872694E-3</v>
      </c>
      <c r="AJ16">
        <v>3.1E-2</v>
      </c>
      <c r="AK16">
        <f>_xll.acq_options_sabr_blackvol($C$4,AJ16,$C$6,$AB$7,$AB$6,$AB$8,$AB$9)</f>
        <v>0.37666712797871293</v>
      </c>
    </row>
    <row r="17" spans="2:37" ht="15.75" thickBot="1" x14ac:dyDescent="0.3">
      <c r="B17" s="3" t="s">
        <v>189</v>
      </c>
      <c r="C17" s="3"/>
      <c r="F17">
        <v>3.3000000000000002E-2</v>
      </c>
      <c r="G17">
        <f>_xll.acq_options_sabr_blackvol($C$4,F17,$C$6,$C$12,$C$13,$C$14,$C$15)</f>
        <v>0.37317109454812186</v>
      </c>
      <c r="H17">
        <f>_xll.acq_options_sabr_normvol($C$4,F17,$C$6,$C$12,$C$13,$C$14,$C$15)</f>
        <v>1.253731287301528E-2</v>
      </c>
      <c r="I17">
        <f>_xll.acq_options_black_price($C$4,F17,$C$6,$C$7,G17,$C$8)</f>
        <v>6.585558988040952E-3</v>
      </c>
      <c r="J17">
        <f>_xll.acq_options_bachelier_price($C$4,F17,$C$6,$C$7,H17,$C$8)</f>
        <v>6.6273253889654925E-3</v>
      </c>
      <c r="M17">
        <v>3.3000000000000002E-2</v>
      </c>
      <c r="N17">
        <f>_xll.acq_options_sabr_blackvol($C$4,M17,$C$6,$C$18,$C$19,$C$20,$C$21)</f>
        <v>0.37316890302377648</v>
      </c>
      <c r="O17">
        <f>_xll.acq_options_sabr_normvol($C$4,M17,$C$6,$C$18,$C$19,$C$20,$C$21)</f>
        <v>1.2538683688766783E-2</v>
      </c>
      <c r="P17">
        <f>_xll.acq_options_black_price($C$4,M17,$C$6,$C$7,N17,$C$8)</f>
        <v>6.5855171197763381E-3</v>
      </c>
      <c r="Q17">
        <f>_xll.acq_options_bachelier_price($C$4,M17,$C$6,$C$7,O17,$C$8)</f>
        <v>6.6281372166021304E-3</v>
      </c>
      <c r="T17">
        <v>3.3000000000000002E-2</v>
      </c>
      <c r="U17">
        <f>_xll.acq_options_sabr_blackvol($C$4,T17,$C$6,$C$24,$C$25,$C$26,$C$27)</f>
        <v>0.37372276779965047</v>
      </c>
      <c r="V17">
        <f>_xll.acq_options_sabr_normvol($C$4,T17,$C$6,$C$24,$C$25,$C$26,$C$27)</f>
        <v>1.2537247756771536E-2</v>
      </c>
      <c r="W17">
        <f>_xll.acq_options_black_price($C$4,T17,$C$6,$C$7,U17,$C$8)</f>
        <v>6.5960977495806523E-3</v>
      </c>
      <c r="X17">
        <f>_xll.acq_options_bachelier_price($C$4,T17,$C$6,$C$7,V17,$C$8)</f>
        <v>6.6272868256935652E-3</v>
      </c>
      <c r="AJ17">
        <v>3.2000000000000001E-2</v>
      </c>
      <c r="AK17">
        <f>_xll.acq_options_sabr_blackvol($C$4,AJ17,$C$6,$AB$7,$AB$6,$AB$8,$AB$9)</f>
        <v>0.37485198631103567</v>
      </c>
    </row>
    <row r="18" spans="2:37" x14ac:dyDescent="0.25">
      <c r="B18" t="s">
        <v>180</v>
      </c>
      <c r="C18" s="5">
        <v>8.4154454485855068E-2</v>
      </c>
      <c r="F18">
        <v>3.4000000000000002E-2</v>
      </c>
      <c r="G18">
        <f>_xll.acq_options_sabr_blackvol($C$4,F18,$C$6,$C$12,$C$13,$C$14,$C$15)</f>
        <v>0.372185748526838</v>
      </c>
      <c r="H18">
        <f>_xll.acq_options_sabr_normvol($C$4,F18,$C$6,$C$12,$C$13,$C$14,$C$15)</f>
        <v>1.2693043559073738E-2</v>
      </c>
      <c r="I18">
        <f>_xll.acq_options_black_price($C$4,F18,$C$6,$C$7,G18,$C$8)</f>
        <v>7.0834713910611783E-3</v>
      </c>
      <c r="J18">
        <f>_xll.acq_options_bachelier_price($C$4,F18,$C$6,$C$7,H18,$C$8)</f>
        <v>7.1265037356472681E-3</v>
      </c>
      <c r="M18">
        <v>3.4000000000000002E-2</v>
      </c>
      <c r="N18">
        <f>_xll.acq_options_sabr_blackvol($C$4,M18,$C$6,$C$18,$C$19,$C$20,$C$21)</f>
        <v>0.37208565279306655</v>
      </c>
      <c r="O18">
        <f>_xll.acq_options_sabr_normvol($C$4,M18,$C$6,$C$18,$C$19,$C$20,$C$21)</f>
        <v>1.2690644840712978E-2</v>
      </c>
      <c r="P18">
        <f>_xll.acq_options_black_price($C$4,M18,$C$6,$C$7,N18,$C$8)</f>
        <v>7.0815236884116846E-3</v>
      </c>
      <c r="Q18">
        <f>_xll.acq_options_bachelier_price($C$4,M18,$C$6,$C$7,O18,$C$8)</f>
        <v>7.1250785992512944E-3</v>
      </c>
      <c r="T18">
        <v>3.4000000000000002E-2</v>
      </c>
      <c r="U18">
        <f>_xll.acq_options_sabr_blackvol($C$4,T18,$C$6,$C$24,$C$25,$C$26,$C$27)</f>
        <v>0.3731971482417441</v>
      </c>
      <c r="V18">
        <f>_xll.acq_options_sabr_normvol($C$4,T18,$C$6,$C$24,$C$25,$C$26,$C$27)</f>
        <v>1.271137776319119E-2</v>
      </c>
      <c r="W18">
        <f>_xll.acq_options_black_price($C$4,T18,$C$6,$C$7,U18,$C$8)</f>
        <v>7.1031486135505672E-3</v>
      </c>
      <c r="X18">
        <f>_xll.acq_options_bachelier_price($C$4,T18,$C$6,$C$7,V18,$C$8)</f>
        <v>7.1373965466171299E-3</v>
      </c>
      <c r="AJ18">
        <v>3.3000000000000002E-2</v>
      </c>
      <c r="AK18">
        <f>_xll.acq_options_sabr_blackvol($C$4,AJ18,$C$6,$AB$7,$AB$6,$AB$8,$AB$9)</f>
        <v>0.37372276779965047</v>
      </c>
    </row>
    <row r="19" spans="2:37" x14ac:dyDescent="0.25">
      <c r="B19" t="s">
        <v>181</v>
      </c>
      <c r="C19" s="5">
        <v>0.6</v>
      </c>
      <c r="F19">
        <v>3.5000000000000003E-2</v>
      </c>
      <c r="G19">
        <f>_xll.acq_options_sabr_blackvol($C$4,F19,$C$6,$C$12,$C$13,$C$14,$C$15)</f>
        <v>0.37179192078688056</v>
      </c>
      <c r="H19">
        <f>_xll.acq_options_sabr_normvol($C$4,F19,$C$6,$C$12,$C$13,$C$14,$C$15)</f>
        <v>1.2866388067869444E-2</v>
      </c>
      <c r="I19">
        <f>_xll.acq_options_black_price($C$4,F19,$C$6,$C$7,G19,$C$8)</f>
        <v>7.6075038612959311E-3</v>
      </c>
      <c r="J19">
        <f>_xll.acq_options_bachelier_price($C$4,F19,$C$6,$C$7,H19,$C$8)</f>
        <v>7.6521445810343557E-3</v>
      </c>
      <c r="M19">
        <v>3.5000000000000003E-2</v>
      </c>
      <c r="N19">
        <f>_xll.acq_options_sabr_blackvol($C$4,M19,$C$6,$C$18,$C$19,$C$20,$C$21)</f>
        <v>0.37160523779555277</v>
      </c>
      <c r="O19">
        <f>_xll.acq_options_sabr_normvol($C$4,M19,$C$6,$C$18,$C$19,$C$20,$C$21)</f>
        <v>1.2860527540083971E-2</v>
      </c>
      <c r="P19">
        <f>_xll.acq_options_black_price($C$4,M19,$C$6,$C$7,N19,$C$8)</f>
        <v>7.6038140976635088E-3</v>
      </c>
      <c r="Q19">
        <f>_xll.acq_options_bachelier_price($C$4,M19,$C$6,$C$7,O19,$C$8)</f>
        <v>7.6486590957762501E-3</v>
      </c>
      <c r="T19">
        <v>3.5000000000000003E-2</v>
      </c>
      <c r="U19">
        <f>_xll.acq_options_sabr_blackvol($C$4,T19,$C$6,$C$24,$C$25,$C$26,$C$27)</f>
        <v>0.37319510719483351</v>
      </c>
      <c r="V19">
        <f>_xll.acq_options_sabr_normvol($C$4,T19,$C$6,$C$24,$C$25,$C$26,$C$27)</f>
        <v>1.2901100516140051E-2</v>
      </c>
      <c r="W19">
        <f>_xll.acq_options_black_price($C$4,T19,$C$6,$C$7,U19,$C$8)</f>
        <v>7.6352314941493292E-3</v>
      </c>
      <c r="X19">
        <f>_xll.acq_options_bachelier_price($C$4,T19,$C$6,$C$7,V19,$C$8)</f>
        <v>7.6727894326840355E-3</v>
      </c>
      <c r="AJ19">
        <v>3.4000000000000002E-2</v>
      </c>
      <c r="AK19">
        <f>_xll.acq_options_sabr_blackvol($C$4,AJ19,$C$6,$AB$7,$AB$6,$AB$8,$AB$9)</f>
        <v>0.3731971482417441</v>
      </c>
    </row>
    <row r="20" spans="2:37" x14ac:dyDescent="0.25">
      <c r="B20" t="s">
        <v>105</v>
      </c>
      <c r="C20" s="5">
        <v>0.15844175051557893</v>
      </c>
      <c r="F20">
        <v>3.5999999999999997E-2</v>
      </c>
      <c r="G20">
        <f>_xll.acq_options_sabr_blackvol($C$4,F20,$C$6,$C$12,$C$13,$C$14,$C$15)</f>
        <v>0.37192797209249739</v>
      </c>
      <c r="H20">
        <f>_xll.acq_options_sabr_normvol($C$4,F20,$C$6,$C$12,$C$13,$C$14,$C$15)</f>
        <v>1.3056159648018493E-2</v>
      </c>
      <c r="I20">
        <f>_xll.acq_options_black_price($C$4,F20,$C$6,$C$7,G20,$C$8)</f>
        <v>8.1563908872649294E-3</v>
      </c>
      <c r="J20">
        <f>_xll.acq_options_bachelier_price($C$4,F20,$C$6,$C$7,H20,$C$8)</f>
        <v>8.2029539820675755E-3</v>
      </c>
      <c r="M20">
        <v>3.5999999999999997E-2</v>
      </c>
      <c r="N20">
        <f>_xll.acq_options_sabr_blackvol($C$4,M20,$C$6,$C$18,$C$19,$C$20,$C$21)</f>
        <v>0.37166966395078838</v>
      </c>
      <c r="O20">
        <f>_xll.acq_options_sabr_normvol($C$4,M20,$C$6,$C$18,$C$19,$C$20,$C$21)</f>
        <v>1.3047288537665612E-2</v>
      </c>
      <c r="P20">
        <f>_xll.acq_options_black_price($C$4,M20,$C$6,$C$7,N20,$C$8)</f>
        <v>8.1512181379085492E-3</v>
      </c>
      <c r="Q20">
        <f>_xll.acq_options_bachelier_price($C$4,M20,$C$6,$C$7,O20,$C$8)</f>
        <v>8.1976831449909263E-3</v>
      </c>
      <c r="T20">
        <v>3.5999999999999997E-2</v>
      </c>
      <c r="U20">
        <f>_xll.acq_options_sabr_blackvol($C$4,T20,$C$6,$C$24,$C$25,$C$26,$C$27)</f>
        <v>0.37364106019147197</v>
      </c>
      <c r="V20">
        <f>_xll.acq_options_sabr_normvol($C$4,T20,$C$6,$C$24,$C$25,$C$26,$C$27)</f>
        <v>1.3104651441706796E-2</v>
      </c>
      <c r="W20">
        <f>_xll.acq_options_black_price($C$4,T20,$C$6,$C$7,U20,$C$8)</f>
        <v>8.1906870607114587E-3</v>
      </c>
      <c r="X20">
        <f>_xll.acq_options_bachelier_price($C$4,T20,$C$6,$C$7,V20,$C$8)</f>
        <v>8.2317658701570283E-3</v>
      </c>
      <c r="AJ20">
        <v>3.5000000000000003E-2</v>
      </c>
      <c r="AK20">
        <f>_xll.acq_options_sabr_blackvol($C$4,AJ20,$C$6,$AB$7,$AB$6,$AB$8,$AB$9)</f>
        <v>0.37319510719483351</v>
      </c>
    </row>
    <row r="21" spans="2:37" x14ac:dyDescent="0.25">
      <c r="B21" t="s">
        <v>182</v>
      </c>
      <c r="C21" s="5">
        <v>0.75138177640344272</v>
      </c>
      <c r="F21">
        <v>3.6999999999999998E-2</v>
      </c>
      <c r="G21">
        <f>_xll.acq_options_sabr_blackvol($C$4,F21,$C$6,$C$12,$C$13,$C$14,$C$15)</f>
        <v>0.37253255690560588</v>
      </c>
      <c r="H21">
        <f>_xll.acq_options_sabr_normvol($C$4,F21,$C$6,$C$12,$C$13,$C$14,$C$15)</f>
        <v>1.3261037773451206E-2</v>
      </c>
      <c r="I21">
        <f>_xll.acq_options_black_price($C$4,F21,$C$6,$C$7,G21,$C$8)</f>
        <v>8.7286771439518962E-3</v>
      </c>
      <c r="J21">
        <f>_xll.acq_options_bachelier_price($C$4,F21,$C$6,$C$7,H21,$C$8)</f>
        <v>8.777446382048899E-3</v>
      </c>
      <c r="M21">
        <v>3.6999999999999998E-2</v>
      </c>
      <c r="N21">
        <f>_xll.acq_options_sabr_blackvol($C$4,M21,$C$6,$C$18,$C$19,$C$20,$C$21)</f>
        <v>0.37222009550038182</v>
      </c>
      <c r="O21">
        <f>_xll.acq_options_sabr_normvol($C$4,M21,$C$6,$C$18,$C$19,$C$20,$C$21)</f>
        <v>1.3249717599849583E-2</v>
      </c>
      <c r="P21">
        <f>_xll.acq_options_black_price($C$4,M21,$C$6,$C$7,N21,$C$8)</f>
        <v>8.7223521086907535E-3</v>
      </c>
      <c r="Q21">
        <f>_xll.acq_options_bachelier_price($C$4,M21,$C$6,$C$7,O21,$C$8)</f>
        <v>8.7707393282305396E-3</v>
      </c>
      <c r="T21">
        <v>3.6999999999999998E-2</v>
      </c>
      <c r="U21">
        <f>_xll.acq_options_sabr_blackvol($C$4,T21,$C$6,$C$24,$C$25,$C$26,$C$27)</f>
        <v>0.37446536361545346</v>
      </c>
      <c r="V21">
        <f>_xll.acq_options_sabr_normvol($C$4,T21,$C$6,$C$24,$C$25,$C$26,$C$27)</f>
        <v>1.3320304537737283E-2</v>
      </c>
      <c r="W21">
        <f>_xll.acq_options_black_price($C$4,T21,$C$6,$C$7,U21,$C$8)</f>
        <v>8.7677907848149536E-3</v>
      </c>
      <c r="X21">
        <f>_xll.acq_options_bachelier_price($C$4,T21,$C$6,$C$7,V21,$C$8)</f>
        <v>8.8125618656276078E-3</v>
      </c>
      <c r="AJ21">
        <v>3.5999999999999997E-2</v>
      </c>
      <c r="AK21">
        <f>_xll.acq_options_sabr_blackvol($C$4,AJ21,$C$6,$AB$7,$AB$6,$AB$8,$AB$9)</f>
        <v>0.37364106019147197</v>
      </c>
    </row>
    <row r="22" spans="2:37" x14ac:dyDescent="0.25">
      <c r="F22">
        <v>3.7999999999999999E-2</v>
      </c>
      <c r="G22">
        <f>_xll.acq_options_sabr_blackvol($C$4,F22,$C$6,$C$12,$C$13,$C$14,$C$15)</f>
        <v>0.37354634033286815</v>
      </c>
      <c r="H22">
        <f>_xll.acq_options_sabr_normvol($C$4,F22,$C$6,$C$12,$C$13,$C$14,$C$15)</f>
        <v>1.3479635233113501E-2</v>
      </c>
      <c r="I22">
        <f>_xll.acq_options_black_price($C$4,F22,$C$6,$C$7,G22,$C$8)</f>
        <v>9.3227914451206161E-3</v>
      </c>
      <c r="J22">
        <f>_xll.acq_options_bachelier_price($C$4,F22,$C$6,$C$7,H22,$C$8)</f>
        <v>9.3740196909705455E-3</v>
      </c>
      <c r="M22">
        <v>3.7999999999999999E-2</v>
      </c>
      <c r="N22">
        <f>_xll.acq_options_sabr_blackvol($C$4,M22,$C$6,$C$18,$C$19,$C$20,$C$21)</f>
        <v>0.3731986509289581</v>
      </c>
      <c r="O22">
        <f>_xll.acq_options_sabr_normvol($C$4,M22,$C$6,$C$18,$C$19,$C$20,$C$21)</f>
        <v>1.3466504512271257E-2</v>
      </c>
      <c r="P22">
        <f>_xll.acq_options_black_price($C$4,M22,$C$6,$C$7,N22,$C$8)</f>
        <v>9.3156919348451779E-3</v>
      </c>
      <c r="Q22">
        <f>_xll.acq_options_bachelier_price($C$4,M22,$C$6,$C$7,O22,$C$8)</f>
        <v>9.3662746031827095E-3</v>
      </c>
      <c r="T22">
        <v>3.7999999999999999E-2</v>
      </c>
      <c r="U22">
        <f>_xll.acq_options_sabr_blackvol($C$4,T22,$C$6,$C$24,$C$25,$C$26,$C$27)</f>
        <v>0.37560518815486443</v>
      </c>
      <c r="V22">
        <f>_xll.acq_options_sabr_normvol($C$4,T22,$C$6,$C$24,$C$25,$C$26,$C$27)</f>
        <v>1.3546423773252636E-2</v>
      </c>
      <c r="W22">
        <f>_xll.acq_options_black_price($C$4,T22,$C$6,$C$7,U22,$C$8)</f>
        <v>9.3648192840656234E-3</v>
      </c>
      <c r="X22">
        <f>_xll.acq_options_bachelier_price($C$4,T22,$C$6,$C$7,V22,$C$8)</f>
        <v>9.4134164866013365E-3</v>
      </c>
      <c r="AJ22">
        <v>3.6999999999999998E-2</v>
      </c>
      <c r="AK22">
        <f>_xll.acq_options_sabr_blackvol($C$4,AJ22,$C$6,$AB$7,$AB$6,$AB$8,$AB$9)</f>
        <v>0.37446536361545346</v>
      </c>
    </row>
    <row r="23" spans="2:37" ht="15.75" thickBot="1" x14ac:dyDescent="0.3">
      <c r="B23" s="3" t="s">
        <v>190</v>
      </c>
      <c r="C23" s="3"/>
      <c r="F23">
        <v>3.9E-2</v>
      </c>
      <c r="G23">
        <f>_xll.acq_options_sabr_blackvol($C$4,F23,$C$6,$C$12,$C$13,$C$14,$C$15)</f>
        <v>0.37491333236606428</v>
      </c>
      <c r="H23">
        <f>_xll.acq_options_sabr_normvol($C$4,F23,$C$6,$C$12,$C$13,$C$14,$C$15)</f>
        <v>1.3710555801510253E-2</v>
      </c>
      <c r="I23">
        <f>_xll.acq_options_black_price($C$4,F23,$C$6,$C$7,G23,$C$8)</f>
        <v>9.9371130645251535E-3</v>
      </c>
      <c r="J23">
        <f>_xll.acq_options_bachelier_price($C$4,F23,$C$6,$C$7,H23,$C$8)</f>
        <v>9.9910225886631308E-3</v>
      </c>
      <c r="M23">
        <v>3.9E-2</v>
      </c>
      <c r="N23">
        <f>_xll.acq_options_sabr_blackvol($C$4,M23,$C$6,$C$18,$C$19,$C$20,$C$21)</f>
        <v>0.37454988691758256</v>
      </c>
      <c r="O23">
        <f>_xll.acq_options_sabr_normvol($C$4,M23,$C$6,$C$18,$C$19,$C$20,$C$21)</f>
        <v>1.3696299555930679E-2</v>
      </c>
      <c r="P23">
        <f>_xll.acq_options_black_price($C$4,M23,$C$6,$C$7,N23,$C$8)</f>
        <v>9.9296412426996428E-3</v>
      </c>
      <c r="Q23">
        <f>_xll.acq_options_bachelier_price($C$4,M23,$C$6,$C$7,O23,$C$8)</f>
        <v>9.9826633948706008E-3</v>
      </c>
      <c r="T23">
        <v>3.9E-2</v>
      </c>
      <c r="U23">
        <f>_xll.acq_options_sabr_blackvol($C$4,T23,$C$6,$C$24,$C$25,$C$26,$C$27)</f>
        <v>0.3770048449584969</v>
      </c>
      <c r="V23">
        <f>_xll.acq_options_sabr_normvol($C$4,T23,$C$6,$C$24,$C$25,$C$26,$C$27)</f>
        <v>1.3781496176494257E-2</v>
      </c>
      <c r="W23">
        <f>_xll.acq_options_black_price($C$4,T23,$C$6,$C$7,U23,$C$8)</f>
        <v>9.9801000448558018E-3</v>
      </c>
      <c r="X23">
        <f>_xll.acq_options_bachelier_price($C$4,T23,$C$6,$C$7,V23,$C$8)</f>
        <v>1.0032622349308467E-2</v>
      </c>
      <c r="AJ23">
        <v>3.7999999999999999E-2</v>
      </c>
      <c r="AK23">
        <f>_xll.acq_options_sabr_blackvol($C$4,AJ23,$C$6,$AB$7,$AB$6,$AB$8,$AB$9)</f>
        <v>0.37560518815486443</v>
      </c>
    </row>
    <row r="24" spans="2:37" x14ac:dyDescent="0.25">
      <c r="B24" t="s">
        <v>180</v>
      </c>
      <c r="C24" s="5">
        <v>1.1635170481191079E-2</v>
      </c>
      <c r="F24">
        <v>0.04</v>
      </c>
      <c r="G24">
        <f>_xll.acq_options_sabr_blackvol($C$4,F24,$C$6,$C$12,$C$13,$C$14,$C$15)</f>
        <v>0.37658180175799555</v>
      </c>
      <c r="H24">
        <f>_xll.acq_options_sabr_normvol($C$4,F24,$C$6,$C$12,$C$13,$C$14,$C$15)</f>
        <v>1.3952439711451416E-2</v>
      </c>
      <c r="I24">
        <f>_xll.acq_options_black_price($C$4,F24,$C$6,$C$7,G24,$C$8)</f>
        <v>1.0570026556033903E-2</v>
      </c>
      <c r="J24">
        <f>_xll.acq_options_bachelier_price($C$4,F24,$C$6,$C$7,H24,$C$8)</f>
        <v>1.0626810127364215E-2</v>
      </c>
      <c r="M24">
        <v>0.04</v>
      </c>
      <c r="N24">
        <f>_xll.acq_options_sabr_blackvol($C$4,M24,$C$6,$C$18,$C$19,$C$20,$C$21)</f>
        <v>0.37622189640066983</v>
      </c>
      <c r="O24">
        <f>_xll.acq_options_sabr_normvol($C$4,M24,$C$6,$C$18,$C$19,$C$20,$C$21)</f>
        <v>1.3937763559610549E-2</v>
      </c>
      <c r="P24">
        <f>_xll.acq_options_black_price($C$4,M24,$C$6,$C$7,N24,$C$8)</f>
        <v>1.0562589594905561E-2</v>
      </c>
      <c r="Q24">
        <f>_xll.acq_options_bachelier_price($C$4,M24,$C$6,$C$7,O24,$C$8)</f>
        <v>1.0618266674469794E-2</v>
      </c>
      <c r="T24">
        <v>0.04</v>
      </c>
      <c r="U24">
        <f>_xll.acq_options_sabr_blackvol($C$4,T24,$C$6,$C$24,$C$25,$C$26,$C$27)</f>
        <v>0.37861569039829157</v>
      </c>
      <c r="V24">
        <f>_xll.acq_options_sabr_normvol($C$4,T24,$C$6,$C$24,$C$25,$C$26,$C$27)</f>
        <v>1.4024149433521663E-2</v>
      </c>
      <c r="W24">
        <f>_xll.acq_options_black_price($C$4,T24,$C$6,$C$7,U24,$C$8)</f>
        <v>1.0612045481139127E-2</v>
      </c>
      <c r="X24">
        <f>_xll.acq_options_bachelier_price($C$4,T24,$C$6,$C$7,V24,$C$8)</f>
        <v>1.066856013811353E-2</v>
      </c>
      <c r="AJ24">
        <v>3.9E-2</v>
      </c>
      <c r="AK24">
        <f>_xll.acq_options_sabr_blackvol($C$4,AJ24,$C$6,$AB$7,$AB$6,$AB$8,$AB$9)</f>
        <v>0.3770048449584969</v>
      </c>
    </row>
    <row r="25" spans="2:37" x14ac:dyDescent="0.25">
      <c r="B25" t="s">
        <v>181</v>
      </c>
      <c r="C25" s="58">
        <v>0</v>
      </c>
      <c r="F25">
        <v>4.1000000000000002E-2</v>
      </c>
      <c r="G25">
        <f>_xll.acq_options_sabr_blackvol($C$4,F25,$C$6,$C$12,$C$13,$C$14,$C$15)</f>
        <v>0.37850479501185513</v>
      </c>
      <c r="H25">
        <f>_xll.acq_options_sabr_normvol($C$4,F25,$C$6,$C$12,$C$13,$C$14,$C$15)</f>
        <v>1.4203996425263293E-2</v>
      </c>
      <c r="I25">
        <f>_xll.acq_options_black_price($C$4,F25,$C$6,$C$7,G25,$C$8)</f>
        <v>1.1219963679282369E-2</v>
      </c>
      <c r="J25">
        <f>_xll.acq_options_bachelier_price($C$4,F25,$C$6,$C$7,H25,$C$8)</f>
        <v>1.1279786225622316E-2</v>
      </c>
      <c r="M25">
        <v>4.1000000000000002E-2</v>
      </c>
      <c r="N25">
        <f>_xll.acq_options_sabr_blackvol($C$4,M25,$C$6,$C$18,$C$19,$C$20,$C$21)</f>
        <v>0.37816701579182344</v>
      </c>
      <c r="O25">
        <f>_xll.acq_options_sabr_normvol($C$4,M25,$C$6,$C$18,$C$19,$C$20,$C$21)</f>
        <v>1.4189605982860584E-2</v>
      </c>
      <c r="P25">
        <f>_xll.acq_options_black_price($C$4,M25,$C$6,$C$7,N25,$C$8)</f>
        <v>1.1212958581669394E-2</v>
      </c>
      <c r="Q25">
        <f>_xll.acq_options_bachelier_price($C$4,M25,$C$6,$C$7,O25,$C$8)</f>
        <v>1.1271478694592578E-2</v>
      </c>
      <c r="T25">
        <v>4.1000000000000002E-2</v>
      </c>
      <c r="U25">
        <f>_xll.acq_options_sabr_blackvol($C$4,T25,$C$6,$C$24,$C$25,$C$26,$C$27)</f>
        <v>0.38039574109494834</v>
      </c>
      <c r="V25">
        <f>_xll.acq_options_sabr_normvol($C$4,T25,$C$6,$C$24,$C$25,$C$26,$C$27)</f>
        <v>1.4273157576898893E-2</v>
      </c>
      <c r="W25">
        <f>_xll.acq_options_black_price($C$4,T25,$C$6,$C$7,U25,$C$8)</f>
        <v>1.1259173694261805E-2</v>
      </c>
      <c r="X25">
        <f>_xll.acq_options_bachelier_price($C$4,T25,$C$6,$C$7,V25,$C$8)</f>
        <v>1.1319719573884945E-2</v>
      </c>
      <c r="AJ25">
        <v>0.04</v>
      </c>
      <c r="AK25">
        <f>_xll.acq_options_sabr_blackvol($C$4,AJ25,$C$6,$AB$7,$AB$6,$AB$8,$AB$9)</f>
        <v>0.37861569039829157</v>
      </c>
    </row>
    <row r="26" spans="2:37" x14ac:dyDescent="0.25">
      <c r="B26" t="s">
        <v>105</v>
      </c>
      <c r="C26" s="5">
        <v>0.44950149302426295</v>
      </c>
      <c r="F26">
        <v>4.2000000000000003E-2</v>
      </c>
      <c r="G26">
        <f>_xll.acq_options_sabr_blackvol($C$4,F26,$C$6,$C$12,$C$13,$C$14,$C$15)</f>
        <v>0.38064032386810925</v>
      </c>
      <c r="H26">
        <f>_xll.acq_options_sabr_normvol($C$4,F26,$C$6,$C$12,$C$13,$C$14,$C$15)</f>
        <v>1.4464025785261264E-2</v>
      </c>
      <c r="I26">
        <f>_xll.acq_options_black_price($C$4,F26,$C$6,$C$7,G26,$C$8)</f>
        <v>1.1885432893406213E-2</v>
      </c>
      <c r="J26">
        <f>_xll.acq_options_bachelier_price($C$4,F26,$C$6,$C$7,H26,$C$8)</f>
        <v>1.1948433529615776E-2</v>
      </c>
      <c r="M26">
        <v>4.2000000000000003E-2</v>
      </c>
      <c r="N26">
        <f>_xll.acq_options_sabr_blackvol($C$4,M26,$C$6,$C$18,$C$19,$C$20,$C$21)</f>
        <v>0.38034218399458325</v>
      </c>
      <c r="O26">
        <f>_xll.acq_options_sabr_normvol($C$4,M26,$C$6,$C$18,$C$19,$C$20,$C$21)</f>
        <v>1.4450611317715849E-2</v>
      </c>
      <c r="P26">
        <f>_xll.acq_options_black_price($C$4,M26,$C$6,$C$7,N26,$C$8)</f>
        <v>1.1879235518219802E-2</v>
      </c>
      <c r="Q26">
        <f>_xll.acq_options_bachelier_price($C$4,M26,$C$6,$C$7,O26,$C$8)</f>
        <v>1.1940761132765333E-2</v>
      </c>
      <c r="T26">
        <v>4.2000000000000003E-2</v>
      </c>
      <c r="U26">
        <f>_xll.acq_options_sabr_blackvol($C$4,T26,$C$6,$C$24,$C$25,$C$26,$C$27)</f>
        <v>0.38230911496450987</v>
      </c>
      <c r="V26">
        <f>_xll.acq_options_sabr_normvol($C$4,T26,$C$6,$C$24,$C$25,$C$26,$C$27)</f>
        <v>1.4527438279804085E-2</v>
      </c>
      <c r="W26">
        <f>_xll.acq_options_black_price($C$4,T26,$C$6,$C$7,U26,$C$8)</f>
        <v>1.1920118806136134E-2</v>
      </c>
      <c r="X26">
        <f>_xll.acq_options_bachelier_price($C$4,T26,$C$6,$C$7,V26,$C$8)</f>
        <v>1.198470976386601E-2</v>
      </c>
      <c r="AJ26">
        <v>4.1000000000000002E-2</v>
      </c>
      <c r="AK26">
        <f>_xll.acq_options_sabr_blackvol($C$4,AJ26,$C$6,$AB$7,$AB$6,$AB$8,$AB$9)</f>
        <v>0.38039574109494834</v>
      </c>
    </row>
    <row r="27" spans="2:37" x14ac:dyDescent="0.25">
      <c r="B27" t="s">
        <v>182</v>
      </c>
      <c r="C27" s="5">
        <v>0.79023487885128929</v>
      </c>
      <c r="F27">
        <v>4.2999999999999997E-2</v>
      </c>
      <c r="G27">
        <f>_xll.acq_options_sabr_blackvol($C$4,F27,$C$6,$C$12,$C$13,$C$14,$C$15)</f>
        <v>0.38295129979801229</v>
      </c>
      <c r="H27">
        <f>_xll.acq_options_sabr_normvol($C$4,F27,$C$6,$C$12,$C$13,$C$14,$C$15)</f>
        <v>1.4731429484154171E-2</v>
      </c>
      <c r="I27">
        <f>_xll.acq_options_black_price($C$4,F27,$C$6,$C$7,G27,$C$8)</f>
        <v>1.2565038007929397E-2</v>
      </c>
      <c r="J27">
        <f>_xll.acq_options_bachelier_price($C$4,F27,$C$6,$C$7,H27,$C$8)</f>
        <v>1.2631332260909503E-2</v>
      </c>
      <c r="M27">
        <v>4.2999999999999997E-2</v>
      </c>
      <c r="N27">
        <f>_xll.acq_options_sabr_blackvol($C$4,M27,$C$6,$C$18,$C$19,$C$20,$C$21)</f>
        <v>0.38270902062930695</v>
      </c>
      <c r="O27">
        <f>_xll.acq_options_sabr_normvol($C$4,M27,$C$6,$C$18,$C$19,$C$20,$C$21)</f>
        <v>1.4719655252892835E-2</v>
      </c>
      <c r="P27">
        <f>_xll.acq_options_black_price($C$4,M27,$C$6,$C$7,N27,$C$8)</f>
        <v>1.2559995878081938E-2</v>
      </c>
      <c r="Q27">
        <f>_xll.acq_options_bachelier_price($C$4,M27,$C$6,$C$7,O27,$C$8)</f>
        <v>1.2624665794791993E-2</v>
      </c>
      <c r="T27">
        <v>4.2999999999999997E-2</v>
      </c>
      <c r="U27">
        <f>_xll.acq_options_sabr_blackvol($C$4,T27,$C$6,$C$24,$C$25,$C$26,$C$27)</f>
        <v>0.38432538892657558</v>
      </c>
      <c r="V27">
        <f>_xll.acq_options_sabr_normvol($C$4,T27,$C$6,$C$24,$C$25,$C$26,$C$27)</f>
        <v>1.4786044762813914E-2</v>
      </c>
      <c r="W27">
        <f>_xll.acq_options_black_price($C$4,T27,$C$6,$C$7,U27,$C$8)</f>
        <v>1.2593633657367225E-2</v>
      </c>
      <c r="X27">
        <f>_xll.acq_options_bachelier_price($C$4,T27,$C$6,$C$7,V27,$C$8)</f>
        <v>1.2662261781790075E-2</v>
      </c>
      <c r="AJ27">
        <v>4.2000000000000003E-2</v>
      </c>
      <c r="AK27">
        <f>_xll.acq_options_sabr_blackvol($C$4,AJ27,$C$6,$AB$7,$AB$6,$AB$8,$AB$9)</f>
        <v>0.38230911496450987</v>
      </c>
    </row>
    <row r="28" spans="2:37" x14ac:dyDescent="0.25">
      <c r="F28">
        <v>4.3999999999999997E-2</v>
      </c>
      <c r="G28">
        <f>_xll.acq_options_sabr_blackvol($C$4,F28,$C$6,$C$12,$C$13,$C$14,$C$15)</f>
        <v>0.38540529283441649</v>
      </c>
      <c r="H28">
        <f>_xll.acq_options_sabr_normvol($C$4,F28,$C$6,$C$12,$C$13,$C$14,$C$15)</f>
        <v>1.5005215072519562E-2</v>
      </c>
      <c r="I28">
        <f>_xll.acq_options_black_price($C$4,F28,$C$6,$C$7,G28,$C$8)</f>
        <v>1.325748807471319E-2</v>
      </c>
      <c r="J28">
        <f>_xll.acq_options_bachelier_price($C$4,F28,$C$6,$C$7,H28,$C$8)</f>
        <v>1.3327170170944357E-2</v>
      </c>
      <c r="M28">
        <v>4.3999999999999997E-2</v>
      </c>
      <c r="N28">
        <f>_xll.acq_options_sabr_blackvol($C$4,M28,$C$6,$C$18,$C$19,$C$20,$C$21)</f>
        <v>0.38523369737249419</v>
      </c>
      <c r="O28">
        <f>_xll.acq_options_sabr_normvol($C$4,M28,$C$6,$C$18,$C$19,$C$20,$C$21)</f>
        <v>1.4995712579677847E-2</v>
      </c>
      <c r="P28">
        <f>_xll.acq_options_black_price($C$4,M28,$C$6,$C$7,N28,$C$8)</f>
        <v>1.3253916316821343E-2</v>
      </c>
      <c r="Q28">
        <f>_xll.acq_options_bachelier_price($C$4,M28,$C$6,$C$7,O28,$C$8)</f>
        <v>1.3321847764797419E-2</v>
      </c>
      <c r="T28">
        <v>4.3999999999999997E-2</v>
      </c>
      <c r="U28">
        <f>_xll.acq_options_sabr_blackvol($C$4,T28,$C$6,$C$24,$C$25,$C$26,$C$27)</f>
        <v>0.38641893789371262</v>
      </c>
      <c r="V28">
        <f>_xll.acq_options_sabr_normvol($C$4,T28,$C$6,$C$24,$C$25,$C$26,$C$27)</f>
        <v>1.5048154654319539E-2</v>
      </c>
      <c r="W28">
        <f>_xll.acq_options_black_price($C$4,T28,$C$6,$C$7,U28,$C$8)</f>
        <v>1.3278587274417195E-2</v>
      </c>
      <c r="X28">
        <f>_xll.acq_options_bachelier_price($C$4,T28,$C$6,$C$7,V28,$C$8)</f>
        <v>1.3351225930676145E-2</v>
      </c>
      <c r="AJ28">
        <v>4.2999999999999997E-2</v>
      </c>
      <c r="AK28">
        <f>_xll.acq_options_sabr_blackvol($C$4,AJ28,$C$6,$AB$7,$AB$6,$AB$8,$AB$9)</f>
        <v>0.38432538892657558</v>
      </c>
    </row>
    <row r="29" spans="2:37" x14ac:dyDescent="0.25">
      <c r="F29">
        <v>4.4999999999999998E-2</v>
      </c>
      <c r="G29">
        <f>_xll.acq_options_sabr_blackvol($C$4,F29,$C$6,$C$12,$C$13,$C$14,$C$15)</f>
        <v>0.38797418158373148</v>
      </c>
      <c r="H29">
        <f>_xll.acq_options_sabr_normvol($C$4,F29,$C$6,$C$12,$C$13,$C$14,$C$15)</f>
        <v>1.5284494612939592E-2</v>
      </c>
      <c r="I29">
        <f>_xll.acq_options_black_price($C$4,F29,$C$6,$C$7,G29,$C$8)</f>
        <v>1.3961600652038147E-2</v>
      </c>
      <c r="J29">
        <f>_xll.acq_options_bachelier_price($C$4,F29,$C$6,$C$7,H29,$C$8)</f>
        <v>1.4034745769252968E-2</v>
      </c>
      <c r="M29">
        <v>4.4999999999999998E-2</v>
      </c>
      <c r="N29">
        <f>_xll.acq_options_sabr_blackvol($C$4,M29,$C$6,$C$18,$C$19,$C$20,$C$21)</f>
        <v>0.38788667080320666</v>
      </c>
      <c r="O29">
        <f>_xll.acq_options_sabr_normvol($C$4,M29,$C$6,$C$18,$C$19,$C$20,$C$21)</f>
        <v>1.5277858898301546E-2</v>
      </c>
      <c r="P29">
        <f>_xll.acq_options_black_price($C$4,M29,$C$6,$C$7,N29,$C$8)</f>
        <v>1.3959780358550762E-2</v>
      </c>
      <c r="Q29">
        <f>_xll.acq_options_bachelier_price($C$4,M29,$C$6,$C$7,O29,$C$8)</f>
        <v>1.4031071108633006E-2</v>
      </c>
      <c r="T29">
        <v>4.4999999999999998E-2</v>
      </c>
      <c r="U29">
        <f>_xll.acq_options_sabr_blackvol($C$4,T29,$C$6,$C$24,$C$25,$C$26,$C$27)</f>
        <v>0.3885682971108777</v>
      </c>
      <c r="V29">
        <f>_xll.acq_options_sabr_normvol($C$4,T29,$C$6,$C$24,$C$25,$C$26,$C$27)</f>
        <v>1.5313057495121312E-2</v>
      </c>
      <c r="W29">
        <f>_xll.acq_options_black_price($C$4,T29,$C$6,$C$7,U29,$C$8)</f>
        <v>1.3973959015453624E-2</v>
      </c>
      <c r="X29">
        <f>_xll.acq_options_bachelier_price($C$4,T29,$C$6,$C$7,V29,$C$8)</f>
        <v>1.4050565635713677E-2</v>
      </c>
      <c r="AJ29">
        <v>4.3999999999999997E-2</v>
      </c>
      <c r="AK29">
        <f>_xll.acq_options_sabr_blackvol($C$4,AJ29,$C$6,$AB$7,$AB$6,$AB$8,$AB$9)</f>
        <v>0.38641893789371262</v>
      </c>
    </row>
    <row r="30" spans="2:37" x14ac:dyDescent="0.25">
      <c r="F30">
        <v>4.5999999999999999E-2</v>
      </c>
      <c r="G30">
        <f>_xll.acq_options_sabr_blackvol($C$4,F30,$C$6,$C$12,$C$13,$C$14,$C$15)</f>
        <v>0.39063374706536957</v>
      </c>
      <c r="H30">
        <f>_xll.acq_options_sabr_normvol($C$4,F30,$C$6,$C$12,$C$13,$C$14,$C$15)</f>
        <v>1.5568479780804374E-2</v>
      </c>
      <c r="I30">
        <f>_xll.acq_options_black_price($C$4,F30,$C$6,$C$7,G30,$C$8)</f>
        <v>1.4676300356725021E-2</v>
      </c>
      <c r="J30">
        <f>_xll.acq_options_bachelier_price($C$4,F30,$C$6,$C$7,H30,$C$8)</f>
        <v>1.4752966772851638E-2</v>
      </c>
      <c r="M30">
        <v>4.5999999999999999E-2</v>
      </c>
      <c r="N30">
        <f>_xll.acq_options_sabr_blackvol($C$4,M30,$C$6,$C$18,$C$19,$C$20,$C$21)</f>
        <v>0.39064233357575912</v>
      </c>
      <c r="O30">
        <f>_xll.acq_options_sabr_normvol($C$4,M30,$C$6,$C$18,$C$19,$C$20,$C$21)</f>
        <v>1.5565267987663755E-2</v>
      </c>
      <c r="P30">
        <f>_xll.acq_options_black_price($C$4,M30,$C$6,$C$7,N30,$C$8)</f>
        <v>1.4676478708050713E-2</v>
      </c>
      <c r="Q30">
        <f>_xll.acq_options_bachelier_price($C$4,M30,$C$6,$C$7,O30,$C$8)</f>
        <v>1.4751209125270344E-2</v>
      </c>
      <c r="T30">
        <v>4.5999999999999999E-2</v>
      </c>
      <c r="U30">
        <f>_xll.acq_options_sabr_blackvol($C$4,T30,$C$6,$C$24,$C$25,$C$26,$C$27)</f>
        <v>0.39075557239689723</v>
      </c>
      <c r="V30">
        <f>_xll.acq_options_sabr_normvol($C$4,T30,$C$6,$C$24,$C$25,$C$26,$C$27)</f>
        <v>1.5580142026907532E-2</v>
      </c>
      <c r="W30">
        <f>_xll.acq_options_black_price($C$4,T30,$C$6,$C$7,U30,$C$8)</f>
        <v>1.4678830821556202E-2</v>
      </c>
      <c r="X30">
        <f>_xll.acq_options_bachelier_price($C$4,T30,$C$6,$C$7,V30,$C$8)</f>
        <v>1.4759349421543985E-2</v>
      </c>
      <c r="AJ30">
        <v>4.4999999999999998E-2</v>
      </c>
      <c r="AK30">
        <f>_xll.acq_options_sabr_blackvol($C$4,AJ30,$C$6,$AB$7,$AB$6,$AB$8,$AB$9)</f>
        <v>0.3885682971108777</v>
      </c>
    </row>
    <row r="31" spans="2:37" x14ac:dyDescent="0.25">
      <c r="F31">
        <v>4.7E-2</v>
      </c>
      <c r="G31">
        <f>_xll.acq_options_sabr_blackvol($C$4,F31,$C$6,$C$12,$C$13,$C$14,$C$15)</f>
        <v>0.39336324876305878</v>
      </c>
      <c r="H31">
        <f>_xll.acq_options_sabr_normvol($C$4,F31,$C$6,$C$12,$C$13,$C$14,$C$15)</f>
        <v>1.5856474832937981E-2</v>
      </c>
      <c r="I31">
        <f>_xll.acq_options_black_price($C$4,F31,$C$6,$C$7,G31,$C$8)</f>
        <v>1.5400614287838914E-2</v>
      </c>
      <c r="J31">
        <f>_xll.acq_options_bachelier_price($C$4,F31,$C$6,$C$7,H31,$C$8)</f>
        <v>1.5480845385907886E-2</v>
      </c>
      <c r="M31">
        <v>4.7E-2</v>
      </c>
      <c r="N31">
        <f>_xll.acq_options_sabr_blackvol($C$4,M31,$C$6,$C$18,$C$19,$C$20,$C$21)</f>
        <v>0.39347862738993894</v>
      </c>
      <c r="O31">
        <f>_xll.acq_options_sabr_normvol($C$4,M31,$C$6,$C$18,$C$19,$C$20,$C$21)</f>
        <v>1.5857206377545716E-2</v>
      </c>
      <c r="P31">
        <f>_xll.acq_options_black_price($C$4,M31,$C$6,$C$7,N31,$C$8)</f>
        <v>1.540300587166204E-2</v>
      </c>
      <c r="Q31">
        <f>_xll.acq_options_bachelier_price($C$4,M31,$C$6,$C$7,O31,$C$8)</f>
        <v>1.5481240856083087E-2</v>
      </c>
      <c r="T31">
        <v>4.7E-2</v>
      </c>
      <c r="U31">
        <f>_xll.acq_options_sabr_blackvol($C$4,T31,$C$6,$C$24,$C$25,$C$26,$C$27)</f>
        <v>0.39296591029809519</v>
      </c>
      <c r="V31">
        <f>_xll.acq_options_sabr_normvol($C$4,T31,$C$6,$C$24,$C$25,$C$26,$C$27)</f>
        <v>1.5848883977875455E-2</v>
      </c>
      <c r="W31">
        <f>_xll.acq_options_black_price($C$4,T31,$C$6,$C$7,U31,$C$8)</f>
        <v>1.5392378585103042E-2</v>
      </c>
      <c r="X31">
        <f>_xll.acq_options_bachelier_price($C$4,T31,$C$6,$C$7,V31,$C$8)</f>
        <v>1.54767420048007E-2</v>
      </c>
      <c r="AJ31">
        <v>4.5999999999999999E-2</v>
      </c>
      <c r="AK31">
        <f>_xll.acq_options_sabr_blackvol($C$4,AJ31,$C$6,$AB$7,$AB$6,$AB$8,$AB$9)</f>
        <v>0.39075557239689723</v>
      </c>
    </row>
    <row r="32" spans="2:37" x14ac:dyDescent="0.25">
      <c r="F32">
        <v>4.8000000000000001E-2</v>
      </c>
      <c r="G32">
        <f>_xll.acq_options_sabr_blackvol($C$4,F32,$C$6,$C$12,$C$13,$C$14,$C$15)</f>
        <v>0.39614500886871779</v>
      </c>
      <c r="H32">
        <f>_xll.acq_options_sabr_normvol($C$4,F32,$C$6,$C$12,$C$13,$C$14,$C$15)</f>
        <v>1.6147868498019861E-2</v>
      </c>
      <c r="I32">
        <f>_xll.acq_options_black_price($C$4,F32,$C$6,$C$7,G32,$C$8)</f>
        <v>1.6133665551375187E-2</v>
      </c>
      <c r="J32">
        <f>_xll.acq_options_bachelier_price($C$4,F32,$C$6,$C$7,H32,$C$8)</f>
        <v>1.6217491658521297E-2</v>
      </c>
      <c r="M32">
        <v>4.8000000000000001E-2</v>
      </c>
      <c r="N32">
        <f>_xll.acq_options_sabr_blackvol($C$4,M32,$C$6,$C$18,$C$19,$C$20,$C$21)</f>
        <v>0.39637664869765654</v>
      </c>
      <c r="O32">
        <f>_xll.acq_options_sabr_normvol($C$4,M32,$C$6,$C$18,$C$19,$C$20,$C$21)</f>
        <v>1.6153026310935424E-2</v>
      </c>
      <c r="P32">
        <f>_xll.acq_options_black_price($C$4,M32,$C$6,$C$7,N32,$C$8)</f>
        <v>1.6138454432179816E-2</v>
      </c>
      <c r="Q32">
        <f>_xll.acq_options_bachelier_price($C$4,M32,$C$6,$C$7,O32,$C$8)</f>
        <v>1.6220245218251834E-2</v>
      </c>
      <c r="T32">
        <v>4.8000000000000001E-2</v>
      </c>
      <c r="U32">
        <f>_xll.acq_options_sabr_blackvol($C$4,T32,$C$6,$C$24,$C$25,$C$26,$C$27)</f>
        <v>0.3951870318011243</v>
      </c>
      <c r="V32">
        <f>_xll.acq_options_sabr_normvol($C$4,T32,$C$6,$C$24,$C$25,$C$26,$C$27)</f>
        <v>1.6118834749800109E-2</v>
      </c>
      <c r="W32">
        <f>_xll.acq_options_black_price($C$4,T32,$C$6,$C$7,U32,$C$8)</f>
        <v>1.611386331802641E-2</v>
      </c>
      <c r="X32">
        <f>_xll.acq_options_bachelier_price($C$4,T32,$C$6,$C$7,V32,$C$8)</f>
        <v>1.6201995196890823E-2</v>
      </c>
      <c r="AJ32">
        <v>4.7E-2</v>
      </c>
      <c r="AK32">
        <f>_xll.acq_options_sabr_blackvol($C$4,AJ32,$C$6,$AB$7,$AB$6,$AB$8,$AB$9)</f>
        <v>0.39296591029809519</v>
      </c>
    </row>
    <row r="33" spans="6:37" x14ac:dyDescent="0.25">
      <c r="F33">
        <v>4.9000000000000002E-2</v>
      </c>
      <c r="G33">
        <f>_xll.acq_options_sabr_blackvol($C$4,F33,$C$6,$C$12,$C$13,$C$14,$C$15)</f>
        <v>0.39896402086209998</v>
      </c>
      <c r="H33">
        <f>_xll.acq_options_sabr_normvol($C$4,F33,$C$6,$C$12,$C$13,$C$14,$C$15)</f>
        <v>1.6442125527303737E-2</v>
      </c>
      <c r="I33">
        <f>_xll.acq_options_black_price($C$4,F33,$C$6,$C$7,G33,$C$8)</f>
        <v>1.6874665792239583E-2</v>
      </c>
      <c r="J33">
        <f>_xll.acq_options_bachelier_price($C$4,F33,$C$6,$C$7,H33,$C$8)</f>
        <v>1.6962105844920861E-2</v>
      </c>
      <c r="M33">
        <v>4.9000000000000002E-2</v>
      </c>
      <c r="N33">
        <f>_xll.acq_options_sabr_blackvol($C$4,M33,$C$6,$C$18,$C$19,$C$20,$C$21)</f>
        <v>0.39932026759549438</v>
      </c>
      <c r="O33">
        <f>_xll.acq_options_sabr_normvol($C$4,M33,$C$6,$C$18,$C$19,$C$20,$C$21)</f>
        <v>1.6452157961492995E-2</v>
      </c>
      <c r="P33">
        <f>_xll.acq_options_black_price($C$4,M33,$C$6,$C$7,N33,$C$8)</f>
        <v>1.688200799469599E-2</v>
      </c>
      <c r="Q33">
        <f>_xll.acq_options_bachelier_price($C$4,M33,$C$6,$C$7,O33,$C$8)</f>
        <v>1.6967393794824537E-2</v>
      </c>
      <c r="T33">
        <v>4.9000000000000002E-2</v>
      </c>
      <c r="U33">
        <f>_xll.acq_options_sabr_blackvol($C$4,T33,$C$6,$C$24,$C$25,$C$26,$C$27)</f>
        <v>0.39740882807377809</v>
      </c>
      <c r="V33">
        <f>_xll.acq_options_sabr_normvol($C$4,T33,$C$6,$C$24,$C$25,$C$26,$C$27)</f>
        <v>1.6389611199169207E-2</v>
      </c>
      <c r="W33">
        <f>_xll.acq_options_black_price($C$4,T33,$C$6,$C$7,U33,$C$8)</f>
        <v>1.6842622555773901E-2</v>
      </c>
      <c r="X33">
        <f>_xll.acq_options_bachelier_price($C$4,T33,$C$6,$C$7,V33,$C$8)</f>
        <v>1.6934439060140517E-2</v>
      </c>
      <c r="AJ33">
        <v>4.8000000000000001E-2</v>
      </c>
      <c r="AK33">
        <f>_xll.acq_options_sabr_blackvol($C$4,AJ33,$C$6,$AB$7,$AB$6,$AB$8,$AB$9)</f>
        <v>0.3951870318011243</v>
      </c>
    </row>
    <row r="34" spans="6:37" x14ac:dyDescent="0.25">
      <c r="F34">
        <v>0.05</v>
      </c>
      <c r="G34">
        <f>_xll.acq_options_sabr_blackvol($C$4,F34,$C$6,$C$12,$C$13,$C$14,$C$15)</f>
        <v>0.40180759128897908</v>
      </c>
      <c r="H34">
        <f>_xll.acq_options_sabr_normvol($C$4,F34,$C$6,$C$12,$C$13,$C$14,$C$15)</f>
        <v>1.6738778393435658E-2</v>
      </c>
      <c r="I34">
        <f>_xll.acq_options_black_price($C$4,F34,$C$6,$C$7,G34,$C$8)</f>
        <v>1.7622907370590246E-2</v>
      </c>
      <c r="J34">
        <f>_xll.acq_options_bachelier_price($C$4,F34,$C$6,$C$7,H34,$C$8)</f>
        <v>1.7713970407674612E-2</v>
      </c>
      <c r="M34">
        <v>0.05</v>
      </c>
      <c r="N34">
        <f>_xll.acq_options_sabr_blackvol($C$4,M34,$C$6,$C$18,$C$19,$C$20,$C$21)</f>
        <v>0.4022957722401595</v>
      </c>
      <c r="O34">
        <f>_xll.acq_options_sabr_normvol($C$4,M34,$C$6,$C$18,$C$19,$C$20,$C$21)</f>
        <v>1.6754101502591077E-2</v>
      </c>
      <c r="P34">
        <f>_xll.acq_options_black_price($C$4,M34,$C$6,$C$7,N34,$C$8)</f>
        <v>1.7632933535581367E-2</v>
      </c>
      <c r="Q34">
        <f>_xll.acq_options_bachelier_price($C$4,M34,$C$6,$C$7,O34,$C$8)</f>
        <v>1.7721943024588755E-2</v>
      </c>
      <c r="T34">
        <v>0.05</v>
      </c>
      <c r="U34">
        <f>_xll.acq_options_sabr_blackvol($C$4,T34,$C$6,$C$24,$C$25,$C$26,$C$27)</f>
        <v>0.39962301378748283</v>
      </c>
      <c r="V34">
        <f>_xll.acq_options_sabr_normvol($C$4,T34,$C$6,$C$24,$C$25,$C$26,$C$27)</f>
        <v>1.6660886567562139E-2</v>
      </c>
      <c r="W34">
        <f>_xll.acq_options_black_price($C$4,T34,$C$6,$C$7,U34,$C$8)</f>
        <v>1.7578062255662476E-2</v>
      </c>
      <c r="X34">
        <f>_xll.acq_options_bachelier_price($C$4,T34,$C$6,$C$7,V34,$C$8)</f>
        <v>1.767347357974227E-2</v>
      </c>
      <c r="AJ34">
        <v>4.9000000000000002E-2</v>
      </c>
      <c r="AK34">
        <f>_xll.acq_options_sabr_blackvol($C$4,AJ34,$C$6,$AB$7,$AB$6,$AB$8,$AB$9)</f>
        <v>0.39740882807377809</v>
      </c>
    </row>
    <row r="35" spans="6:37" x14ac:dyDescent="0.25">
      <c r="F35">
        <v>5.0999999999999997E-2</v>
      </c>
      <c r="G35">
        <f>_xll.acq_options_sabr_blackvol($C$4,F35,$C$6,$C$12,$C$13,$C$14,$C$15)</f>
        <v>0.40466501852321662</v>
      </c>
      <c r="H35">
        <f>_xll.acq_options_sabr_normvol($C$4,F35,$C$6,$C$12,$C$13,$C$14,$C$15)</f>
        <v>1.7037419437116449E-2</v>
      </c>
      <c r="I35">
        <f>_xll.acq_options_black_price($C$4,F35,$C$6,$C$7,G35,$C$8)</f>
        <v>1.8377755608677375E-2</v>
      </c>
      <c r="J35">
        <f>_xll.acq_options_bachelier_price($C$4,F35,$C$6,$C$7,H35,$C$8)</f>
        <v>1.8472442100134566E-2</v>
      </c>
      <c r="M35">
        <v>5.0999999999999997E-2</v>
      </c>
      <c r="N35">
        <f>_xll.acq_options_sabr_blackvol($C$4,M35,$C$6,$C$18,$C$19,$C$20,$C$21)</f>
        <v>0.40529154522971111</v>
      </c>
      <c r="O35">
        <f>_xll.acq_options_sabr_normvol($C$4,M35,$C$6,$C$18,$C$19,$C$20,$C$21)</f>
        <v>1.7058419415213171E-2</v>
      </c>
      <c r="P35">
        <f>_xll.acq_options_black_price($C$4,M35,$C$6,$C$7,N35,$C$8)</f>
        <v>1.8390573657113846E-2</v>
      </c>
      <c r="Q35">
        <f>_xll.acq_options_bachelier_price($C$4,M35,$C$6,$C$7,O35,$C$8)</f>
        <v>1.8483226301556532E-2</v>
      </c>
      <c r="T35">
        <v>5.0999999999999997E-2</v>
      </c>
      <c r="U35">
        <f>_xll.acq_options_sabr_blackvol($C$4,T35,$C$6,$C$24,$C$25,$C$26,$C$27)</f>
        <v>0.40182283217785064</v>
      </c>
      <c r="V35">
        <f>_xll.acq_options_sabr_normvol($C$4,T35,$C$6,$C$24,$C$25,$C$26,$C$27)</f>
        <v>1.6932382532507017E-2</v>
      </c>
      <c r="W35">
        <f>_xll.acq_options_black_price($C$4,T35,$C$6,$C$7,U35,$C$8)</f>
        <v>1.8319649325979875E-2</v>
      </c>
      <c r="X35">
        <f>_xll.acq_options_bachelier_price($C$4,T35,$C$6,$C$7,V35,$C$8)</f>
        <v>1.8418560989215883E-2</v>
      </c>
      <c r="AJ35">
        <v>0.05</v>
      </c>
      <c r="AK35">
        <f>_xll.acq_options_sabr_blackvol($C$4,AJ35,$C$6,$AB$7,$AB$6,$AB$8,$AB$9)</f>
        <v>0.39962301378748283</v>
      </c>
    </row>
    <row r="36" spans="6:37" x14ac:dyDescent="0.25">
      <c r="F36">
        <v>5.1999999999999998E-2</v>
      </c>
      <c r="G36">
        <f>_xll.acq_options_sabr_blackvol($C$4,F36,$C$6,$C$12,$C$13,$C$14,$C$15)</f>
        <v>0.40752730895876177</v>
      </c>
      <c r="H36">
        <f>_xll.acq_options_sabr_normvol($C$4,F36,$C$6,$C$12,$C$13,$C$14,$C$15)</f>
        <v>1.7337693626845702E-2</v>
      </c>
      <c r="I36">
        <f>_xll.acq_options_black_price($C$4,F36,$C$6,$C$7,G36,$C$8)</f>
        <v>1.9138641376646268E-2</v>
      </c>
      <c r="J36">
        <f>_xll.acq_options_bachelier_price($C$4,F36,$C$6,$C$7,H36,$C$8)</f>
        <v>1.9236944399138065E-2</v>
      </c>
      <c r="M36">
        <v>5.1999999999999998E-2</v>
      </c>
      <c r="N36">
        <f>_xll.acq_options_sabr_blackvol($C$4,M36,$C$6,$C$18,$C$19,$C$20,$C$21)</f>
        <v>0.40829777434520043</v>
      </c>
      <c r="O36">
        <f>_xll.acq_options_sabr_normvol($C$4,M36,$C$6,$C$18,$C$19,$C$20,$C$21)</f>
        <v>1.7364729267326698E-2</v>
      </c>
      <c r="P36">
        <f>_xll.acq_options_black_price($C$4,M36,$C$6,$C$7,N36,$C$8)</f>
        <v>1.9154339074525004E-2</v>
      </c>
      <c r="Q36">
        <f>_xll.acq_options_bachelier_price($C$4,M36,$C$6,$C$7,O36,$C$8)</f>
        <v>1.9250646315356584E-2</v>
      </c>
      <c r="T36">
        <v>5.1999999999999998E-2</v>
      </c>
      <c r="U36">
        <f>_xll.acq_options_sabr_blackvol($C$4,T36,$C$6,$C$24,$C$25,$C$26,$C$27)</f>
        <v>0.40400280556480994</v>
      </c>
      <c r="V36">
        <f>_xll.acq_options_sabr_normvol($C$4,T36,$C$6,$C$24,$C$25,$C$26,$C$27)</f>
        <v>1.7203862302900573E-2</v>
      </c>
      <c r="W36">
        <f>_xll.acq_options_black_price($C$4,T36,$C$6,$C$7,U36,$C$8)</f>
        <v>1.906690484082835E-2</v>
      </c>
      <c r="X36">
        <f>_xll.acq_options_bachelier_price($C$4,T36,$C$6,$C$7,V36,$C$8)</f>
        <v>1.9169218804196319E-2</v>
      </c>
      <c r="AJ36">
        <v>5.0999999999999997E-2</v>
      </c>
      <c r="AK36">
        <f>_xll.acq_options_sabr_blackvol($C$4,AJ36,$C$6,$AB$7,$AB$6,$AB$8,$AB$9)</f>
        <v>0.40182283217785064</v>
      </c>
    </row>
    <row r="37" spans="6:37" x14ac:dyDescent="0.25">
      <c r="F37">
        <v>5.2999999999999999E-2</v>
      </c>
      <c r="G37">
        <f>_xll.acq_options_sabr_blackvol($C$4,F37,$C$6,$C$12,$C$13,$C$14,$C$15)</f>
        <v>0.41038692902660689</v>
      </c>
      <c r="H37">
        <f>_xll.acq_options_sabr_normvol($C$4,F37,$C$6,$C$12,$C$13,$C$14,$C$15)</f>
        <v>1.763929200490931E-2</v>
      </c>
      <c r="I37">
        <f>_xll.acq_options_black_price($C$4,F37,$C$6,$C$7,G37,$C$8)</f>
        <v>1.9905054172435918E-2</v>
      </c>
      <c r="J37">
        <f>_xll.acq_options_bachelier_price($C$4,F37,$C$6,$C$7,H37,$C$8)</f>
        <v>2.0006960444868192E-2</v>
      </c>
      <c r="M37">
        <v>5.2999999999999999E-2</v>
      </c>
      <c r="N37">
        <f>_xll.acq_options_sabr_blackvol($C$4,M37,$C$6,$C$18,$C$19,$C$20,$C$21)</f>
        <v>0.41130619742474989</v>
      </c>
      <c r="O37">
        <f>_xll.acq_options_sabr_normvol($C$4,M37,$C$6,$C$18,$C$19,$C$20,$C$21)</f>
        <v>1.7672697087926105E-2</v>
      </c>
      <c r="P37">
        <f>_xll.acq_options_black_price($C$4,M37,$C$6,$C$7,N37,$C$8)</f>
        <v>1.9923701533334684E-2</v>
      </c>
      <c r="Q37">
        <f>_xll.acq_options_bachelier_price($C$4,M37,$C$6,$C$7,O37,$C$8)</f>
        <v>2.0023667832922983E-2</v>
      </c>
      <c r="T37">
        <v>5.2999999999999999E-2</v>
      </c>
      <c r="U37">
        <f>_xll.acq_options_sabr_blackvol($C$4,T37,$C$6,$C$24,$C$25,$C$26,$C$27)</f>
        <v>0.40615852519141771</v>
      </c>
      <c r="V37">
        <f>_xll.acq_options_sabr_normvol($C$4,T37,$C$6,$C$24,$C$25,$C$26,$C$27)</f>
        <v>1.7475124660195185E-2</v>
      </c>
      <c r="W37">
        <f>_xll.acq_options_black_price($C$4,T37,$C$6,$C$7,U37,$C$8)</f>
        <v>1.9819397943825163E-2</v>
      </c>
      <c r="X37">
        <f>_xll.acq_options_bachelier_price($C$4,T37,$C$6,$C$7,V37,$C$8)</f>
        <v>1.9925013566549611E-2</v>
      </c>
      <c r="AJ37">
        <v>5.1999999999999998E-2</v>
      </c>
      <c r="AK37">
        <f>_xll.acq_options_sabr_blackvol($C$4,AJ37,$C$6,$AB$7,$AB$6,$AB$8,$AB$9)</f>
        <v>0.40400280556480994</v>
      </c>
    </row>
    <row r="38" spans="6:37" x14ac:dyDescent="0.25">
      <c r="F38">
        <v>5.3999999999999999E-2</v>
      </c>
      <c r="G38">
        <f>_xll.acq_options_sabr_blackvol($C$4,F38,$C$6,$C$12,$C$13,$C$14,$C$15)</f>
        <v>0.41323759028867757</v>
      </c>
      <c r="H38">
        <f>_xll.acq_options_sabr_normvol($C$4,F38,$C$6,$C$12,$C$13,$C$14,$C$15)</f>
        <v>1.7941945832576248E-2</v>
      </c>
      <c r="I38">
        <f>_xll.acq_options_black_price($C$4,F38,$C$6,$C$7,G38,$C$8)</f>
        <v>2.0676535772331132E-2</v>
      </c>
      <c r="J38">
        <f>_xll.acq_options_bachelier_price($C$4,F38,$C$6,$C$7,H38,$C$8)</f>
        <v>2.0782026564993551E-2</v>
      </c>
      <c r="M38">
        <v>5.3999999999999999E-2</v>
      </c>
      <c r="N38">
        <f>_xll.acq_options_sabr_blackvol($C$4,M38,$C$6,$C$18,$C$19,$C$20,$C$21)</f>
        <v>0.41430987956105952</v>
      </c>
      <c r="O38">
        <f>_xll.acq_options_sabr_normvol($C$4,M38,$C$6,$C$18,$C$19,$C$20,$C$21)</f>
        <v>1.7982031384748354E-2</v>
      </c>
      <c r="P38">
        <f>_xll.acq_options_black_price($C$4,M38,$C$6,$C$7,N38,$C$8)</f>
        <v>2.0698187263736463E-2</v>
      </c>
      <c r="Q38">
        <f>_xll.acq_options_bachelier_price($C$4,M38,$C$6,$C$7,O38,$C$8)</f>
        <v>2.080181102937282E-2</v>
      </c>
      <c r="T38">
        <v>5.3999999999999999E-2</v>
      </c>
      <c r="U38">
        <f>_xll.acq_options_sabr_blackvol($C$4,T38,$C$6,$C$24,$C$25,$C$26,$C$27)</f>
        <v>0.40828647468930329</v>
      </c>
      <c r="V38">
        <f>_xll.acq_options_sabr_normvol($C$4,T38,$C$6,$C$24,$C$25,$C$26,$C$27)</f>
        <v>1.7745998838998151E-2</v>
      </c>
      <c r="W38">
        <f>_xll.acq_options_black_price($C$4,T38,$C$6,$C$7,U38,$C$8)</f>
        <v>2.0576740412445556E-2</v>
      </c>
      <c r="X38">
        <f>_xll.acq_options_bachelier_price($C$4,T38,$C$6,$C$7,V38,$C$8)</f>
        <v>2.0685555268977734E-2</v>
      </c>
      <c r="AJ38">
        <v>5.2999999999999999E-2</v>
      </c>
      <c r="AK38">
        <f>_xll.acq_options_sabr_blackvol($C$4,AJ38,$C$6,$AB$7,$AB$6,$AB$8,$AB$9)</f>
        <v>0.40615852519141771</v>
      </c>
    </row>
    <row r="39" spans="6:37" x14ac:dyDescent="0.25">
      <c r="F39">
        <v>5.5E-2</v>
      </c>
      <c r="G39">
        <f>_xll.acq_options_sabr_blackvol($C$4,F39,$C$6,$C$12,$C$13,$C$14,$C$15)</f>
        <v>0.41607406432909633</v>
      </c>
      <c r="H39">
        <f>_xll.acq_options_sabr_normvol($C$4,F39,$C$6,$C$12,$C$13,$C$14,$C$15)</f>
        <v>1.8245421410251813E-2</v>
      </c>
      <c r="I39">
        <f>_xll.acq_options_black_price($C$4,F39,$C$6,$C$7,G39,$C$8)</f>
        <v>2.1452674476244809E-2</v>
      </c>
      <c r="J39">
        <f>_xll.acq_options_bachelier_price($C$4,F39,$C$6,$C$7,H39,$C$8)</f>
        <v>2.1561726406946754E-2</v>
      </c>
      <c r="M39">
        <v>5.5E-2</v>
      </c>
      <c r="N39">
        <f>_xll.acq_options_sabr_blackvol($C$4,M39,$C$6,$C$18,$C$19,$C$20,$C$21)</f>
        <v>0.41730301995869923</v>
      </c>
      <c r="O39">
        <f>_xll.acq_options_sabr_normvol($C$4,M39,$C$6,$C$18,$C$19,$C$20,$C$21)</f>
        <v>1.8292477806638171E-2</v>
      </c>
      <c r="P39">
        <f>_xll.acq_options_black_price($C$4,M39,$C$6,$C$7,N39,$C$8)</f>
        <v>2.1477371016697715E-2</v>
      </c>
      <c r="Q39">
        <f>_xll.acq_options_bachelier_price($C$4,M39,$C$6,$C$7,O39,$C$8)</f>
        <v>2.1584645412940497E-2</v>
      </c>
      <c r="T39">
        <v>5.5E-2</v>
      </c>
      <c r="U39">
        <f>_xll.acq_options_sabr_blackvol($C$4,T39,$C$6,$C$24,$C$25,$C$26,$C$27)</f>
        <v>0.41038388207150489</v>
      </c>
      <c r="V39">
        <f>_xll.acq_options_sabr_normvol($C$4,T39,$C$6,$C$24,$C$25,$C$26,$C$27)</f>
        <v>1.8016340142350498E-2</v>
      </c>
      <c r="W39">
        <f>_xll.acq_options_black_price($C$4,T39,$C$6,$C$7,U39,$C$8)</f>
        <v>2.1338581837393532E-2</v>
      </c>
      <c r="X39">
        <f>_xll.acq_options_bachelier_price($C$4,T39,$C$6,$C$7,V39,$C$8)</f>
        <v>2.1450492412639993E-2</v>
      </c>
      <c r="AJ39">
        <v>5.3999999999999999E-2</v>
      </c>
      <c r="AK39">
        <f>_xll.acq_options_sabr_blackvol($C$4,AJ39,$C$6,$AB$7,$AB$6,$AB$8,$AB$9)</f>
        <v>0.40828647468930329</v>
      </c>
    </row>
    <row r="40" spans="6:37" x14ac:dyDescent="0.25">
      <c r="F40">
        <v>5.6000000000000001E-2</v>
      </c>
      <c r="G40">
        <f>_xll.acq_options_sabr_blackvol($C$4,F40,$C$6,$C$12,$C$13,$C$14,$C$15)</f>
        <v>0.41889202402446946</v>
      </c>
      <c r="H40">
        <f>_xll.acq_options_sabr_normvol($C$4,F40,$C$6,$C$12,$C$13,$C$14,$C$15)</f>
        <v>1.8549515527094718E-2</v>
      </c>
      <c r="I40">
        <f>_xll.acq_options_black_price($C$4,F40,$C$6,$C$7,G40,$C$8)</f>
        <v>2.2233099938258918E-2</v>
      </c>
      <c r="J40">
        <f>_xll.acq_options_bachelier_price($C$4,F40,$C$6,$C$7,H40,$C$8)</f>
        <v>2.2345685668179582E-2</v>
      </c>
      <c r="M40">
        <v>5.6000000000000001E-2</v>
      </c>
      <c r="N40">
        <f>_xll.acq_options_sabr_blackvol($C$4,M40,$C$6,$C$18,$C$19,$C$20,$C$21)</f>
        <v>0.42028078541780323</v>
      </c>
      <c r="O40">
        <f>_xll.acq_options_sabr_normvol($C$4,M40,$C$6,$C$18,$C$19,$C$20,$C$21)</f>
        <v>1.8603814422230455E-2</v>
      </c>
      <c r="P40">
        <f>_xll.acq_options_black_price($C$4,M40,$C$6,$C$7,N40,$C$8)</f>
        <v>2.226087068577149E-2</v>
      </c>
      <c r="Q40">
        <f>_xll.acq_options_bachelier_price($C$4,M40,$C$6,$C$7,O40,$C$8)</f>
        <v>2.2371784347584561E-2</v>
      </c>
      <c r="T40">
        <v>5.6000000000000001E-2</v>
      </c>
      <c r="U40">
        <f>_xll.acq_options_sabr_blackvol($C$4,T40,$C$6,$C$24,$C$25,$C$26,$C$27)</f>
        <v>0.41244859578787552</v>
      </c>
      <c r="V40">
        <f>_xll.acq_options_sabr_normvol($C$4,T40,$C$6,$C$24,$C$25,$C$26,$C$27)</f>
        <v>1.8286026193673147E-2</v>
      </c>
      <c r="W40">
        <f>_xll.acq_options_black_price($C$4,T40,$C$6,$C$7,U40,$C$8)</f>
        <v>2.2104605363151428E-2</v>
      </c>
      <c r="X40">
        <f>_xll.acq_options_bachelier_price($C$4,T40,$C$6,$C$7,V40,$C$8)</f>
        <v>2.2219507642031809E-2</v>
      </c>
      <c r="AJ40">
        <v>5.5E-2</v>
      </c>
      <c r="AK40">
        <f>_xll.acq_options_sabr_blackvol($C$4,AJ40,$C$6,$AB$7,$AB$6,$AB$8,$AB$9)</f>
        <v>0.41038388207150489</v>
      </c>
    </row>
    <row r="41" spans="6:37" x14ac:dyDescent="0.25">
      <c r="F41">
        <v>5.7000000000000002E-2</v>
      </c>
      <c r="G41">
        <f>_xll.acq_options_sabr_blackvol($C$4,F41,$C$6,$C$12,$C$13,$C$14,$C$15)</f>
        <v>0.4216879078743051</v>
      </c>
      <c r="H41">
        <f>_xll.acq_options_sabr_normvol($C$4,F41,$C$6,$C$12,$C$13,$C$14,$C$15)</f>
        <v>1.8854051484105908E-2</v>
      </c>
      <c r="I41">
        <f>_xll.acq_options_black_price($C$4,F41,$C$6,$C$7,G41,$C$8)</f>
        <v>2.3017478552744799E-2</v>
      </c>
      <c r="J41">
        <f>_xll.acq_options_bachelier_price($C$4,F41,$C$6,$C$7,H41,$C$8)</f>
        <v>2.313356739376422E-2</v>
      </c>
      <c r="M41">
        <v>5.7000000000000002E-2</v>
      </c>
      <c r="N41">
        <f>_xll.acq_options_sabr_blackvol($C$4,M41,$C$6,$C$18,$C$19,$C$20,$C$21)</f>
        <v>0.42323916734968781</v>
      </c>
      <c r="O41">
        <f>_xll.acq_options_sabr_normvol($C$4,M41,$C$6,$C$18,$C$19,$C$20,$C$21)</f>
        <v>1.8915847570246828E-2</v>
      </c>
      <c r="P41">
        <f>_xll.acq_options_black_price($C$4,M41,$C$6,$C$7,N41,$C$8)</f>
        <v>2.3048342493300636E-2</v>
      </c>
      <c r="Q41">
        <f>_xll.acq_options_bachelier_price($C$4,M41,$C$6,$C$7,O41,$C$8)</f>
        <v>2.3162880151220384E-2</v>
      </c>
      <c r="T41">
        <v>5.7000000000000002E-2</v>
      </c>
      <c r="U41">
        <f>_xll.acq_options_sabr_blackvol($C$4,T41,$C$6,$C$24,$C$25,$C$26,$C$27)</f>
        <v>0.41447898099541108</v>
      </c>
      <c r="V41">
        <f>_xll.acq_options_sabr_normvol($C$4,T41,$C$6,$C$24,$C$25,$C$26,$C$27)</f>
        <v>1.8554953736568409E-2</v>
      </c>
      <c r="W41">
        <f>_xll.acq_options_black_price($C$4,T41,$C$6,$C$7,U41,$C$8)</f>
        <v>2.2874523933463863E-2</v>
      </c>
      <c r="X41">
        <f>_xll.acq_options_bachelier_price($C$4,T41,$C$6,$C$7,V41,$C$8)</f>
        <v>2.2992313899022603E-2</v>
      </c>
      <c r="AJ41">
        <v>5.6000000000000001E-2</v>
      </c>
      <c r="AK41">
        <f>_xll.acq_options_sabr_blackvol($C$4,AJ41,$C$6,$AB$7,$AB$6,$AB$8,$AB$9)</f>
        <v>0.41244859578787552</v>
      </c>
    </row>
    <row r="42" spans="6:37" x14ac:dyDescent="0.25">
      <c r="F42">
        <v>5.8000000000000003E-2</v>
      </c>
      <c r="G42">
        <f>_xll.acq_options_sabr_blackvol($C$4,F42,$C$6,$C$12,$C$13,$C$14,$C$15)</f>
        <v>0.4244588043052489</v>
      </c>
      <c r="H42">
        <f>_xll.acq_options_sabr_normvol($C$4,F42,$C$6,$C$12,$C$13,$C$14,$C$15)</f>
        <v>1.9158875631157039E-2</v>
      </c>
      <c r="I42">
        <f>_xll.acq_options_black_price($C$4,F42,$C$6,$C$7,G42,$C$8)</f>
        <v>2.3805509355322527E-2</v>
      </c>
      <c r="J42">
        <f>_xll.acq_options_bachelier_price($C$4,F42,$C$6,$C$7,H42,$C$8)</f>
        <v>2.3925067799531931E-2</v>
      </c>
      <c r="M42">
        <v>5.8000000000000003E-2</v>
      </c>
      <c r="N42">
        <f>_xll.acq_options_sabr_blackvol($C$4,M42,$C$6,$C$18,$C$19,$C$20,$C$21)</f>
        <v>0.42617485935385951</v>
      </c>
      <c r="O42">
        <f>_xll.acq_options_sabr_normvol($C$4,M42,$C$6,$C$18,$C$19,$C$20,$C$21)</f>
        <v>1.9228408228988296E-2</v>
      </c>
      <c r="P42">
        <f>_xll.acq_options_black_price($C$4,M42,$C$6,$C$7,N42,$C$8)</f>
        <v>2.3839476705063759E-2</v>
      </c>
      <c r="Q42">
        <f>_xll.acq_options_bachelier_price($C$4,M42,$C$6,$C$7,O42,$C$8)</f>
        <v>2.3957619732721251E-2</v>
      </c>
      <c r="T42">
        <v>5.8000000000000003E-2</v>
      </c>
      <c r="U42">
        <f>_xll.acq_options_sabr_blackvol($C$4,T42,$C$6,$C$24,$C$25,$C$26,$C$27)</f>
        <v>0.41647383276481537</v>
      </c>
      <c r="V42">
        <f>_xll.acq_options_sabr_normvol($C$4,T42,$C$6,$C$24,$C$25,$C$26,$C$27)</f>
        <v>1.8823035903722401E-2</v>
      </c>
      <c r="W42">
        <f>_xll.acq_options_black_price($C$4,T42,$C$6,$C$7,U42,$C$8)</f>
        <v>2.3648076986677462E-2</v>
      </c>
      <c r="X42">
        <f>_xll.acq_options_bachelier_price($C$4,T42,$C$6,$C$7,V42,$C$8)</f>
        <v>2.3768651039239502E-2</v>
      </c>
      <c r="AJ42">
        <v>5.7000000000000002E-2</v>
      </c>
      <c r="AK42">
        <f>_xll.acq_options_sabr_blackvol($C$4,AJ42,$C$6,$AB$7,$AB$6,$AB$8,$AB$9)</f>
        <v>0.41447898099541108</v>
      </c>
    </row>
    <row r="43" spans="6:37" x14ac:dyDescent="0.25">
      <c r="F43">
        <v>5.8999999999999997E-2</v>
      </c>
      <c r="G43">
        <f>_xll.acq_options_sabr_blackvol($C$4,F43,$C$6,$C$12,$C$13,$C$14,$C$15)</f>
        <v>0.42720235315943755</v>
      </c>
      <c r="H43">
        <f>_xll.acq_options_sabr_normvol($C$4,F43,$C$6,$C$12,$C$13,$C$14,$C$15)</f>
        <v>1.9463854359195825E-2</v>
      </c>
      <c r="I43">
        <f>_xll.acq_options_black_price($C$4,F43,$C$6,$C$7,G43,$C$8)</f>
        <v>2.4596920392950413E-2</v>
      </c>
      <c r="J43">
        <f>_xll.acq_options_bachelier_price($C$4,F43,$C$6,$C$7,H43,$C$8)</f>
        <v>2.4719912573946418E-2</v>
      </c>
      <c r="M43">
        <v>5.8999999999999997E-2</v>
      </c>
      <c r="N43">
        <f>_xll.acq_options_sabr_blackvol($C$4,M43,$C$6,$C$18,$C$19,$C$20,$C$21)</f>
        <v>0.42908515261123237</v>
      </c>
      <c r="O43">
        <f>_xll.acq_options_sabr_normvol($C$4,M43,$C$6,$C$18,$C$19,$C$20,$C$21)</f>
        <v>1.9541348850470468E-2</v>
      </c>
      <c r="P43">
        <f>_xll.acq_options_black_price($C$4,M43,$C$6,$C$7,N43,$C$8)</f>
        <v>2.4633993830020913E-2</v>
      </c>
      <c r="Q43">
        <f>_xll.acq_options_bachelier_price($C$4,M43,$C$6,$C$7,O43,$C$8)</f>
        <v>2.4755720723367465E-2</v>
      </c>
      <c r="T43">
        <v>5.8999999999999997E-2</v>
      </c>
      <c r="U43">
        <f>_xll.acq_options_sabr_blackvol($C$4,T43,$C$6,$C$24,$C$25,$C$26,$C$27)</f>
        <v>0.41843230345170845</v>
      </c>
      <c r="V43">
        <f>_xll.acq_options_sabr_normvol($C$4,T43,$C$6,$C$24,$C$25,$C$26,$C$27)</f>
        <v>1.9090199886110881E-2</v>
      </c>
      <c r="W43">
        <f>_xll.acq_options_black_price($C$4,T43,$C$6,$C$7,U43,$C$8)</f>
        <v>2.4425027549060372E-2</v>
      </c>
      <c r="X43">
        <f>_xll.acq_options_bachelier_price($C$4,T43,$C$6,$C$7,V43,$C$8)</f>
        <v>2.4548282857336592E-2</v>
      </c>
      <c r="AJ43">
        <v>5.8000000000000003E-2</v>
      </c>
      <c r="AK43">
        <f>_xll.acq_options_sabr_blackvol($C$4,AJ43,$C$6,$AB$7,$AB$6,$AB$8,$AB$9)</f>
        <v>0.41647383276481537</v>
      </c>
    </row>
    <row r="44" spans="6:37" x14ac:dyDescent="0.25">
      <c r="F44">
        <v>0.06</v>
      </c>
      <c r="G44">
        <f>_xll.acq_options_sabr_blackvol($C$4,F44,$C$6,$C$12,$C$13,$C$14,$C$15)</f>
        <v>0.42991666189440186</v>
      </c>
      <c r="H44">
        <f>_xll.acq_options_sabr_normvol($C$4,F44,$C$6,$C$12,$C$13,$C$14,$C$15)</f>
        <v>1.9768871492140679E-2</v>
      </c>
      <c r="I44">
        <f>_xll.acq_options_black_price($C$4,F44,$C$6,$C$7,G44,$C$8)</f>
        <v>2.5391465516392122E-2</v>
      </c>
      <c r="J44">
        <f>_xll.acq_options_bachelier_price($C$4,F44,$C$6,$C$7,H44,$C$8)</f>
        <v>2.5517853610898429E-2</v>
      </c>
      <c r="M44">
        <v>0.06</v>
      </c>
      <c r="N44">
        <f>_xll.acq_options_sabr_blackvol($C$4,M44,$C$6,$C$18,$C$19,$C$20,$C$21)</f>
        <v>0.43196784662041299</v>
      </c>
      <c r="O44">
        <f>_xll.acq_options_sabr_normvol($C$4,M44,$C$6,$C$18,$C$19,$C$20,$C$21)</f>
        <v>1.985454060594451E-2</v>
      </c>
      <c r="P44">
        <f>_xll.acq_options_black_price($C$4,M44,$C$6,$C$7,N44,$C$8)</f>
        <v>2.5431641259176962E-2</v>
      </c>
      <c r="Q44">
        <f>_xll.acq_options_bachelier_price($C$4,M44,$C$6,$C$7,O44,$C$8)</f>
        <v>2.5556928055782479E-2</v>
      </c>
      <c r="T44">
        <v>0.06</v>
      </c>
      <c r="U44">
        <f>_xll.acq_options_sabr_blackvol($C$4,T44,$C$6,$C$24,$C$25,$C$26,$C$27)</f>
        <v>0.42035384190282626</v>
      </c>
      <c r="V44">
        <f>_xll.acq_options_sabr_normvol($C$4,T44,$C$6,$C$24,$C$25,$C$26,$C$27)</f>
        <v>1.9356384943042322E-2</v>
      </c>
      <c r="W44">
        <f>_xll.acq_options_black_price($C$4,T44,$C$6,$C$7,U44,$C$8)</f>
        <v>2.520515967846999E-2</v>
      </c>
      <c r="X44">
        <f>_xll.acq_options_bachelier_price($C$4,T44,$C$6,$C$7,V44,$C$8)</f>
        <v>2.5330994472095261E-2</v>
      </c>
      <c r="AJ44">
        <v>5.8999999999999997E-2</v>
      </c>
      <c r="AK44">
        <f>_xll.acq_options_sabr_blackvol($C$4,AJ44,$C$6,$AB$7,$AB$6,$AB$8,$AB$9)</f>
        <v>0.41843230345170845</v>
      </c>
    </row>
    <row r="45" spans="6:37" x14ac:dyDescent="0.25">
      <c r="AJ45">
        <v>0.06</v>
      </c>
      <c r="AK45">
        <f>_xll.acq_options_sabr_blackvol($C$4,AJ45,$C$6,$AB$7,$AB$6,$AB$8,$AB$9)</f>
        <v>0.42035384190282626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workbookViewId="0">
      <selection activeCell="B3" sqref="B3:C9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60" t="s">
        <v>129</v>
      </c>
      <c r="B1" s="60"/>
      <c r="C1" s="60"/>
      <c r="D1" s="60"/>
    </row>
    <row r="2" spans="1:43" ht="16.5" thickTop="1" thickBot="1" x14ac:dyDescent="0.3">
      <c r="F2" s="59" t="s">
        <v>97</v>
      </c>
      <c r="G2" s="59"/>
      <c r="H2" s="59"/>
      <c r="I2" s="59"/>
      <c r="L2" s="59" t="s">
        <v>98</v>
      </c>
      <c r="M2" s="59"/>
      <c r="N2" s="59"/>
      <c r="O2" s="59"/>
      <c r="P2" s="59"/>
      <c r="S2" s="59" t="s">
        <v>107</v>
      </c>
      <c r="T2" s="59"/>
      <c r="U2" s="59"/>
      <c r="V2" s="59"/>
      <c r="W2" s="59"/>
      <c r="X2" s="59"/>
      <c r="Y2" s="59"/>
      <c r="Z2" s="59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_xll.acq_options_black_greeks(AC$3,$AB5,$C$5,$C$6,$C$8,$C$7,$C$9)</f>
        <v>15.519036627414497</v>
      </c>
      <c r="AD5" s="13">
        <f>_xll.acq_options_black_greeks(AD$3,$AB5,$C$5,$C$6,$C$8,$C$7,$C$9)</f>
        <v>-0.50257071403175657</v>
      </c>
      <c r="AE5" s="13">
        <f>_xll.acq_options_black_greeks(AE$3,$AB5,$C$5,$C$6,$C$8,$C$7,$C$9)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3">
        <f>_xll.acq_options_black_greeks(AC$3,$AB6,$C$5,$C$6,$C$8,$C$7,$C$9)</f>
        <v>15.518986370404006</v>
      </c>
      <c r="AD6" s="13">
        <f>_xll.acq_options_black_greeks(AD$3,$AB6,$C$5,$C$6,$C$8,$C$7,$C$9)</f>
        <v>-0.50256949581167554</v>
      </c>
      <c r="AE6" s="13">
        <f>_xll.acq_options_black_greeks(AE$3,$AB6,$C$5,$C$6,$C$8,$C$7,$C$9)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_xll.acq_options_black_greeks(AC$3,$AB7,$C$5,$C$6,$C$8,$C$7,$C$9)</f>
        <v>15.518936113515325</v>
      </c>
      <c r="AD7" s="13">
        <f>_xll.acq_options_black_greeks(AD$3,$AB7,$C$5,$C$6,$C$8,$C$7,$C$9)</f>
        <v>-0.50256827759219869</v>
      </c>
      <c r="AE7" s="13">
        <f>_xll.acq_options_black_greeks(AE$3,$AB7,$C$5,$C$6,$C$8,$C$7,$C$9)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5">
        <f>AD6-AD9</f>
        <v>3.1002755918052571E-11</v>
      </c>
      <c r="AE10" s="35">
        <f>AE6-AE9</f>
        <v>1.186034878804948E-6</v>
      </c>
      <c r="AF10" s="35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 s="47">
        <v>90</v>
      </c>
      <c r="G12" s="47">
        <f>_xll.acq_options_black_price($C$4,F12,$C$6,$C$8,$C$7,TRUE)</f>
        <v>9.9783611447713145</v>
      </c>
      <c r="H12" s="47">
        <f>_xll.acq_options_black_price($C$4,F12,$C$6,$C$8,$C$7,FALSE)</f>
        <v>9.9783611447713145</v>
      </c>
      <c r="I12" s="47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 s="13">
        <f>_xll.acq_options_black_greeks(AC$14,$C$4,$C$5,$C$6,$C$8,$AB16)</f>
        <v>15.514052686458282</v>
      </c>
      <c r="AD16" s="13">
        <f>_xll.acq_options_black_greeks(AD$14,$C$4,$C$5,$C$6,$C$8,$AB16)</f>
        <v>49.335777146424881</v>
      </c>
      <c r="AE16" s="13">
        <f>_xll.acq_options_black_greeks(AE$14,$C$4,$C$5,$C$6,$C$8,AC16)</f>
        <v>-1.1070078009949605E-30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59" t="s">
        <v>108</v>
      </c>
      <c r="T17" s="59"/>
      <c r="U17" s="59"/>
      <c r="V17" s="59"/>
      <c r="W17" s="59"/>
      <c r="X17" s="59"/>
      <c r="Y17" s="59"/>
      <c r="Z17" s="59"/>
      <c r="AB17" s="16">
        <f>C7</f>
        <v>0.2</v>
      </c>
      <c r="AC17" s="13">
        <f>_xll.acq_options_black_greeks(AC$14,$C$4,$C$5,$C$6,$C$8,$AB17)</f>
        <v>15.518986370404006</v>
      </c>
      <c r="AD17" s="13">
        <f>_xll.acq_options_black_greeks(AD$14,$C$4,$C$5,$C$6,$C$8,$AB17)</f>
        <v>49.3379010466398</v>
      </c>
      <c r="AE17" s="13">
        <f>_xll.acq_options_black_greeks(AE$14,$C$4,$C$5,$C$6,$C$8,$AB17)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 s="13">
        <f>_xll.acq_options_black_greeks(AC$14,$C$4,$C$5,$C$6,$C$8,$AB18)</f>
        <v>15.523920266523435</v>
      </c>
      <c r="AD18" s="13">
        <f>_xll.acq_options_black_greeks(AD$14,$C$4,$C$5,$C$6,$C$8,$AB18)</f>
        <v>49.340020622044484</v>
      </c>
      <c r="AE18" s="13">
        <f>_xll.acq_options_black_greeks(AE$14,$C$4,$C$5,$C$6,$C$8,$AB18)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5">
        <f>AD17-AD20</f>
        <v>7.2086890412492721E-7</v>
      </c>
      <c r="AE21" s="35">
        <f>AE17-AE20</f>
        <v>-5.0896470042971487E-6</v>
      </c>
      <c r="AF21" s="35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 s="13">
        <f>_xll.acq_options_black_greeks(AC$25,$C$4,$C$5,$C$6,$AB27,$C$7,$C$9)</f>
        <v>15.522866602005347</v>
      </c>
      <c r="AD27" s="13">
        <f>_xll.acq_options_black_greeks(AD$25,$C$4,$C$5,$C$6,$AB27,$C$7,$C$9)</f>
        <v>-38.80716650501337</v>
      </c>
      <c r="AE27" s="13"/>
      <c r="AF27" s="15">
        <f>AF28-AG31</f>
        <v>2.4998999999999998</v>
      </c>
      <c r="AG27" s="13">
        <f>_xll.acq_options_black_greeks(AG$25,$C$4,$C$5,$AF27,$C$8,$C$7,$C$9)</f>
        <v>15.518866611135088</v>
      </c>
      <c r="AH27" s="13">
        <f>_xll.acq_options_black_greeks(AH$25,$C$4,$C$5,$AF27,$C$8,$C$7,$C$9)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3">
        <f>_xll.acq_options_black_greeks(AC$25,$C$4,$C$5,$C$6,$AB28,$C$7,$C$9)</f>
        <v>15.518986370404006</v>
      </c>
      <c r="AD28" s="13">
        <f>_xll.acq_options_black_greeks(AD$25,$C$4,$C$5,$C$6,$AB28,$C$7,$C$9)</f>
        <v>-38.797465926010013</v>
      </c>
      <c r="AE28" s="13"/>
      <c r="AF28" s="16">
        <f>C6</f>
        <v>2.5</v>
      </c>
      <c r="AG28" s="13">
        <f>_xll.acq_options_black_greeks(AG$25,$C$4,$C$5,$AF28,$C$8,$C$7,$C$9)</f>
        <v>15.518986370404006</v>
      </c>
      <c r="AH28" s="13">
        <f>_xll.acq_options_black_greeks(AH$25,$C$4,$C$5,$AF28,$C$8,$C$7,$C$9)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 s="13">
        <f>_xll.acq_options_black_greeks(AC$25,$C$4,$C$5,$C$6,$AB29,$C$7,$C$9)</f>
        <v>15.515107108739317</v>
      </c>
      <c r="AD29" s="13">
        <f>_xll.acq_options_black_greeks(AD$25,$C$4,$C$5,$C$6,$AB29,$C$7,$C$9)</f>
        <v>-38.787767771848287</v>
      </c>
      <c r="AE29" s="13"/>
      <c r="AF29" s="15">
        <f>AF28+AG31</f>
        <v>2.5001000000000002</v>
      </c>
      <c r="AG29" s="13">
        <f>_xll.acq_options_black_greeks(AG$25,$C$4,$C$5,$AF29,$C$8,$C$7,$C$9)</f>
        <v>15.519106124479837</v>
      </c>
      <c r="AH29" s="13">
        <f>_xll.acq_options_black_greeks(AH$25,$C$4,$C$5,$AF29,$C$8,$C$7,$C$9)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5">
        <f>AD28-AD31</f>
        <v>4.0414267488131372E-7</v>
      </c>
      <c r="AE32" s="11"/>
      <c r="AF32" t="s">
        <v>111</v>
      </c>
      <c r="AH32" s="35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8" t="s">
        <v>120</v>
      </c>
      <c r="AC37" s="29">
        <f>AD37-AC42</f>
        <v>0.19990000000000002</v>
      </c>
      <c r="AD37" s="30">
        <f>C7</f>
        <v>0.2</v>
      </c>
      <c r="AE37" s="31">
        <f>AD37+AC42</f>
        <v>0.2001</v>
      </c>
    </row>
    <row r="38" spans="18:43" x14ac:dyDescent="0.25">
      <c r="T38" s="12"/>
      <c r="AB38" s="25">
        <f>AB39-AC42</f>
        <v>89.999899999999997</v>
      </c>
      <c r="AC38" s="19">
        <f>_xll.acq_options_black_price($AB38,$C$5,$C$6,$C$8,AC$37,$C$9)</f>
        <v>15.514102951988354</v>
      </c>
      <c r="AD38" s="20">
        <f>_xll.acq_options_black_price($AB38,$C$5,$C$6,$C$8,AD$37,$C$9)</f>
        <v>15.519036627414497</v>
      </c>
      <c r="AE38" s="32">
        <f>_xll.acq_options_black_price($AB38,$C$5,$C$6,$C$8,AE$37,$C$9)</f>
        <v>15.523970515019768</v>
      </c>
      <c r="AG38">
        <f>_xll.acq_options_black_greeks($AG$36,$AB38,$C$5,$C$6,$C$8,AC$37,$C$9)</f>
        <v>-0.50265591011290189</v>
      </c>
      <c r="AH38">
        <f>_xll.acq_options_black_greeks($AG$36,$AB38,$C$5,$C$6,$C$8,AD$37,$C$9)</f>
        <v>-0.50257071403175657</v>
      </c>
      <c r="AI38">
        <f>_xll.acq_options_black_greeks($AG$36,$AB38,$C$5,$C$6,$C$8,AE$37,$C$9)</f>
        <v>-0.50248557204699029</v>
      </c>
      <c r="AK38">
        <f>_xll.acq_options_black_greeks($AK$36,$AB38,$C$5,$C$6,$C$8,AC$37)</f>
        <v>49.335691923549369</v>
      </c>
      <c r="AL38">
        <f>_xll.acq_options_black_greeks($AK$36,$AB38,$C$5,$C$6,$C$8,AD$37)</f>
        <v>49.337815877897569</v>
      </c>
      <c r="AM38">
        <f>_xll.acq_options_black_greeks($AK$36,$AB38,$C$5,$C$6,$C$8,AE$37)</f>
        <v>49.339935507361311</v>
      </c>
      <c r="AO38">
        <f>_xll.acq_options_black_greeks($AO$36,$AB38,$C$5,$C$6,$C$8,AC$37)</f>
        <v>0.8522315408095249</v>
      </c>
      <c r="AP38">
        <f>_xll.acq_options_black_greeks($AO$36,$AB38,$C$5,$C$6,$C$8,AD$37)</f>
        <v>0.8516902058832212</v>
      </c>
      <c r="AQ38">
        <f>_xll.acq_options_black_greeks($AO$36,$AB38,$C$5,$C$6,$C$8,AE$37)</f>
        <v>0.85114961300657732</v>
      </c>
    </row>
    <row r="39" spans="18:43" x14ac:dyDescent="0.25">
      <c r="T39" s="12"/>
      <c r="AB39" s="26">
        <f>C4</f>
        <v>90</v>
      </c>
      <c r="AC39" s="33">
        <f>_xll.acq_options_black_price($AB39,$C$5,$C$6,$C$8,AC$37,$C$9)</f>
        <v>15.514052686458282</v>
      </c>
      <c r="AD39" s="21">
        <f>_xll.acq_options_black_price($AB39,$C$5,$C$6,$C$8,AD$37,$C$9)</f>
        <v>15.518986370404006</v>
      </c>
      <c r="AE39" s="22">
        <f>_xll.acq_options_black_price($AB39,$C$5,$C$6,$C$8,AE$37,$C$9)</f>
        <v>15.523920266523435</v>
      </c>
      <c r="AG39">
        <f>_xll.acq_options_black_greeks($AG$36,$AB39,$C$5,$C$6,$C$8,AC$37,$C$9)</f>
        <v>-0.50265469133587493</v>
      </c>
      <c r="AH39">
        <f>_xll.acq_options_black_greeks($AG$36,$AB39,$C$5,$C$6,$C$8,AD$37,$C$9)</f>
        <v>-0.50256949581167554</v>
      </c>
      <c r="AI39">
        <f>_xll.acq_options_black_greeks($AG$36,$AB39,$C$5,$C$6,$C$8,AE$37,$C$9)</f>
        <v>-0.50248435438340511</v>
      </c>
      <c r="AK39">
        <f>_xll.acq_options_black_greeks($AK$36,$AB39,$C$5,$C$6,$C$8,AC$37)</f>
        <v>49.335777146424881</v>
      </c>
      <c r="AL39">
        <f>_xll.acq_options_black_greeks($AK$36,$AB39,$C$5,$C$6,$C$8,AD$37)</f>
        <v>49.3379010466398</v>
      </c>
      <c r="AM39">
        <f>_xll.acq_options_black_greeks($AK$36,$AB39,$C$5,$C$6,$C$8,AE$37)</f>
        <v>49.340020622044484</v>
      </c>
      <c r="AO39">
        <f>_xll.acq_options_black_greeks($AO$36,$AB39,$C$5,$C$6,$C$8,AC$37)</f>
        <v>0.85222596910017023</v>
      </c>
      <c r="AP39">
        <f>_xll.acq_options_black_greeks($AO$36,$AB39,$C$5,$C$6,$C$8,AD$37)</f>
        <v>0.85168463867564059</v>
      </c>
      <c r="AQ39">
        <f>_xll.acq_options_black_greeks($AO$36,$AB39,$C$5,$C$6,$C$8,AE$37)</f>
        <v>0.85114405029591067</v>
      </c>
    </row>
    <row r="40" spans="18:43" x14ac:dyDescent="0.25">
      <c r="T40" s="12"/>
      <c r="AB40" s="27">
        <f>AB39+AC42</f>
        <v>90.000100000000003</v>
      </c>
      <c r="AC40" s="34">
        <f>_xll.acq_options_black_price($AB40,$C$5,$C$6,$C$8,AC$37,$C$9)</f>
        <v>15.514002421050082</v>
      </c>
      <c r="AD40" s="23">
        <f>_xll.acq_options_black_price($AB40,$C$5,$C$6,$C$8,AD$37,$C$9)</f>
        <v>15.518936113515325</v>
      </c>
      <c r="AE40" s="24">
        <f>_xll.acq_options_black_price($AB40,$C$5,$C$6,$C$8,AE$37,$C$9)</f>
        <v>15.523870018148884</v>
      </c>
      <c r="AG40">
        <f>_xll.acq_options_black_greeks($AG$36,$AB40,$C$5,$C$6,$C$8,AC$37,$C$9)</f>
        <v>-0.50265347255945125</v>
      </c>
      <c r="AH40">
        <f>_xll.acq_options_black_greeks($AG$36,$AB40,$C$5,$C$6,$C$8,AD$37,$C$9)</f>
        <v>-0.50256827759219869</v>
      </c>
      <c r="AI40">
        <f>_xll.acq_options_black_greeks($AG$36,$AB40,$C$5,$C$6,$C$8,AE$37,$C$9)</f>
        <v>-0.50248313672042533</v>
      </c>
      <c r="AK40">
        <f>_xll.acq_options_black_greeks($AK$36,$AB40,$C$5,$C$6,$C$8,AC$37)</f>
        <v>49.3358623687432</v>
      </c>
      <c r="AL40">
        <f>_xll.acq_options_black_greeks($AK$36,$AB40,$C$5,$C$6,$C$8,AD$37)</f>
        <v>49.337986214825321</v>
      </c>
      <c r="AM40">
        <f>_xll.acq_options_black_greeks($AK$36,$AB40,$C$5,$C$6,$C$8,AE$37)</f>
        <v>49.340105736171374</v>
      </c>
      <c r="AO40">
        <f>_xll.acq_options_black_greeks($AO$36,$AB40,$C$5,$C$6,$C$8,AC$37)</f>
        <v>0.85222039737928323</v>
      </c>
      <c r="AP40">
        <f>_xll.acq_options_black_greeks($AO$36,$AB40,$C$5,$C$6,$C$8,AD$37)</f>
        <v>0.85167907145655986</v>
      </c>
      <c r="AQ40">
        <f>_xll.acq_options_black_greeks($AO$36,$AB40,$C$5,$C$6,$C$8,AE$37)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5">
        <f>AP39-AD42</f>
        <v>-1.2367354518261209E-7</v>
      </c>
      <c r="AE43" s="35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topLeftCell="P16" workbookViewId="0">
      <selection activeCell="AJ34" sqref="AJ3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60" t="s">
        <v>128</v>
      </c>
      <c r="B1" s="60"/>
      <c r="C1" s="60"/>
      <c r="D1" s="60"/>
    </row>
    <row r="2" spans="1:43" ht="16.5" thickTop="1" thickBot="1" x14ac:dyDescent="0.3">
      <c r="F2" s="59" t="s">
        <v>97</v>
      </c>
      <c r="G2" s="59"/>
      <c r="H2" s="59"/>
      <c r="I2" s="59"/>
      <c r="L2" s="59" t="s">
        <v>98</v>
      </c>
      <c r="M2" s="59"/>
      <c r="N2" s="59"/>
      <c r="O2" s="59"/>
      <c r="P2" s="59"/>
      <c r="S2" s="59" t="s">
        <v>107</v>
      </c>
      <c r="T2" s="59"/>
      <c r="U2" s="59"/>
      <c r="V2" s="59"/>
      <c r="W2" s="59"/>
      <c r="X2" s="59"/>
      <c r="Y2" s="59"/>
      <c r="Z2" s="59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5">
        <f>AD6-AD9</f>
        <v>-7.0438099797343057E-13</v>
      </c>
      <c r="AE10" s="35">
        <f>AE6-AE9</f>
        <v>2.2344919848454881E-8</v>
      </c>
      <c r="AF10" s="35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59" t="s">
        <v>108</v>
      </c>
      <c r="T17" s="59"/>
      <c r="U17" s="59"/>
      <c r="V17" s="59"/>
      <c r="W17" s="59"/>
      <c r="X17" s="59"/>
      <c r="Y17" s="59"/>
      <c r="Z17" s="59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5">
        <f>AD17-AD20</f>
        <v>8.6886053907164751E-13</v>
      </c>
      <c r="AE21" s="35">
        <f>AE17-AE20</f>
        <v>1.8322181984152877E-7</v>
      </c>
      <c r="AF21" s="35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59" t="s">
        <v>131</v>
      </c>
      <c r="M32" s="59"/>
      <c r="N32" s="59"/>
      <c r="O32" s="59"/>
      <c r="P32" s="59"/>
      <c r="Q32" s="59"/>
      <c r="AB32" t="s">
        <v>111</v>
      </c>
      <c r="AD32" s="35">
        <f>AD28-AD31</f>
        <v>4.7191761609610694E-10</v>
      </c>
      <c r="AE32" s="11"/>
      <c r="AF32" t="s">
        <v>111</v>
      </c>
      <c r="AH32" s="35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8" t="s">
        <v>120</v>
      </c>
      <c r="AC37" s="29">
        <f>AD37-AC42</f>
        <v>19.9999</v>
      </c>
      <c r="AD37" s="30">
        <f>C7</f>
        <v>20</v>
      </c>
      <c r="AE37" s="31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5">
        <f>AB39-AC42</f>
        <v>79.999899999999997</v>
      </c>
      <c r="AC38" s="19">
        <f>_xll.acq_options_bachelier_price($AB38,$C$5,$C$6,$C$8,AC$37,$C$9)</f>
        <v>7.2727838073410682</v>
      </c>
      <c r="AD38" s="20">
        <f>_xll.acq_options_bachelier_price($AB38,$C$5,$C$6,$C$8,AD$37,$C$9)</f>
        <v>7.2728367588076281</v>
      </c>
      <c r="AE38" s="32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8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6">
        <f>C4</f>
        <v>80</v>
      </c>
      <c r="AC39" s="33">
        <f>_xll.acq_options_bachelier_price($AB39,$C$5,$C$6,$C$8,AC$37,$C$9)</f>
        <v>7.2728169816013324</v>
      </c>
      <c r="AD39" s="21">
        <f>_xll.acq_options_bachelier_price($AB39,$C$5,$C$6,$C$8,AD$37,$C$9)</f>
        <v>7.2728699331208437</v>
      </c>
      <c r="AE39" s="22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8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8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7">
        <f>AB39+AC42</f>
        <v>80.000100000000003</v>
      </c>
      <c r="AC40" s="34">
        <f>_xll.acq_options_bachelier_price($AB40,$C$5,$C$6,$C$8,AC$37,$C$9)</f>
        <v>7.2728501559674976</v>
      </c>
      <c r="AD40" s="23">
        <f>_xll.acq_options_bachelier_price($AB40,$C$5,$C$6,$C$8,AD$37,$C$9)</f>
        <v>7.2729031075399622</v>
      </c>
      <c r="AE40" s="24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8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5">
        <f>AP39-AD42</f>
        <v>9.7506204499442362E-14</v>
      </c>
      <c r="AE43" s="35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activeCell="I4" sqref="I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60" t="s">
        <v>130</v>
      </c>
      <c r="B1" s="60"/>
      <c r="C1" s="60"/>
      <c r="D1" s="60"/>
    </row>
    <row r="2" spans="1:45" ht="16.5" thickTop="1" thickBot="1" x14ac:dyDescent="0.3">
      <c r="F2" s="59" t="s">
        <v>97</v>
      </c>
      <c r="G2" s="59"/>
      <c r="H2" s="59"/>
      <c r="I2" s="59"/>
      <c r="L2" s="59" t="s">
        <v>98</v>
      </c>
      <c r="M2" s="59"/>
      <c r="N2" s="59"/>
      <c r="O2" s="59"/>
      <c r="P2" s="59"/>
      <c r="S2" s="59" t="s">
        <v>107</v>
      </c>
      <c r="T2" s="59"/>
      <c r="U2" s="59"/>
      <c r="V2" s="59"/>
      <c r="W2" s="59"/>
      <c r="X2" s="59"/>
      <c r="Y2" s="59"/>
      <c r="Z2" s="59"/>
      <c r="AA2" s="37"/>
      <c r="AB2" s="37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125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_xll.acq_options_blackscholes_greeks(AE$3,$AD5,$C$5,$C$6,$C$8,$C$9,$C$7,$C$10)</f>
        <v>4.1927240301498756</v>
      </c>
      <c r="AF5" s="13">
        <f>_xll.acq_options_blackscholes_greeks(AF$3,$AD5,$C$5,$C$6,$C$8,$C$9,$C$7,$C$10)</f>
        <v>0.26820378510747978</v>
      </c>
      <c r="AG5" s="13">
        <f>_xll.acq_options_blackscholes_greeks(AG$3,$AD5,$C$5,$C$6,$C$8,$C$9,$C$7,$C$10)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_xll.acq_options_blackscholes_greeks(AE$3,$AD6,$C$5,$C$6,$C$8,$C$9,$C$7,$C$10)</f>
        <v>4.1927508505818558</v>
      </c>
      <c r="AF6" s="13">
        <f>_xll.acq_options_blackscholes_greeks(AF$3,$AD6,$C$5,$C$6,$C$8,$C$9,$C$7,$C$10)</f>
        <v>0.2682048544347938</v>
      </c>
      <c r="AG6" s="13">
        <f>_xll.acq_options_blackscholes_greeks(AG$3,$AD6,$C$5,$C$6,$C$8,$C$9,$C$7,$C$10)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_xll.acq_options_blackscholes_greeks(AE$3,$AD7,$C$5,$C$6,$C$8,$C$9,$C$7,$C$10)</f>
        <v>4.1927776711207656</v>
      </c>
      <c r="AF7" s="13">
        <f>_xll.acq_options_blackscholes_greeks(AF$3,$AD7,$C$5,$C$6,$C$8,$C$9,$C$7,$C$10)</f>
        <v>0.26820592376276564</v>
      </c>
      <c r="AG7" s="13">
        <f>_xll.acq_options_blackscholes_greeks(AG$3,$AD7,$C$5,$C$6,$C$8,$C$9,$C$7,$C$10)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6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5">
        <f>AF6-AF9</f>
        <v>-6.3076210921053644E-12</v>
      </c>
      <c r="AG10" s="35">
        <f>AG6-AG9</f>
        <v>3.1879922541069861E-7</v>
      </c>
      <c r="AH10" s="35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 s="13">
        <f>_xll.acq_options_blackscholes_greeks(AE$14,$C$4,$C$5,$C$6,$C$8,$C$9,$AD16,$C$10)</f>
        <v>4.1884205033693505</v>
      </c>
      <c r="AF16" s="13">
        <f>_xll.acq_options_blackscholes_greeks(AF$14,$C$4,$C$5,$C$6,$C$8,$C$9,$AD16,$C$10)</f>
        <v>43.299172667915535</v>
      </c>
      <c r="AG16" s="13">
        <f>_xll.acq_options_blackscholes_greeks(AG$14,$C$4,$C$5,$C$6,$C$8,$C$9,$AD16,$C$10)</f>
        <v>86.030074254044706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59" t="s">
        <v>108</v>
      </c>
      <c r="T17" s="59"/>
      <c r="U17" s="59"/>
      <c r="V17" s="59"/>
      <c r="W17" s="59"/>
      <c r="X17" s="59"/>
      <c r="Y17" s="59"/>
      <c r="Z17" s="59"/>
      <c r="AA17" s="37"/>
      <c r="AB17" s="37"/>
      <c r="AD17" s="16">
        <f>C7</f>
        <v>0.2</v>
      </c>
      <c r="AE17" s="13">
        <f>_xll.acq_options_blackscholes_greeks(AE$14,$C$4,$C$5,$C$6,$C$8,$C$9,$AD17,$C$10)</f>
        <v>4.1927508505818558</v>
      </c>
      <c r="AF17" s="13">
        <f>_xll.acq_options_blackscholes_greeks(AF$14,$C$4,$C$5,$C$6,$C$8,$C$9,$AD17,$C$10)</f>
        <v>43.307769536514776</v>
      </c>
      <c r="AG17" s="13">
        <f>_xll.acq_options_blackscholes_greeks(AG$14,$C$4,$C$5,$C$6,$C$8,$C$9,$AD17,$C$10)</f>
        <v>85.907330130391927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 s="13">
        <f>_xll.acq_options_blackscholes_greeks(AE$14,$C$4,$C$5,$C$6,$C$8,$C$9,$AD18,$C$10)</f>
        <v>4.1970820568678278</v>
      </c>
      <c r="AF18" s="13">
        <f>_xll.acq_options_blackscholes_greeks(AF$14,$C$4,$C$5,$C$6,$C$8,$C$9,$AD18,$C$10)</f>
        <v>43.316354140415449</v>
      </c>
      <c r="AG18" s="13">
        <f>_xll.acq_options_blackscholes_greeks(AG$14,$C$4,$C$5,$C$6,$C$8,$C$9,$AD18,$C$10)</f>
        <v>85.784780222062437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43.307767492391285</v>
      </c>
      <c r="AG20" s="17">
        <f>_xll.acq_diff2_c3pt(AD16:AD18,AE16:AE18)</f>
        <v>85.907346658596367</v>
      </c>
      <c r="AH20" s="17">
        <f>_xll.acq_diff1_c3pt(AD16:AD18,AF16:AF18)</f>
        <v>85.907362499578227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5">
        <f>AF17-AF20</f>
        <v>2.0441234909185368E-6</v>
      </c>
      <c r="AG21" s="35">
        <f>AG17-AG20</f>
        <v>-1.6528204440646732E-5</v>
      </c>
      <c r="AH21" s="35">
        <f>AG17-AH20</f>
        <v>-3.2369186300229558E-5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_xll.acq_options_blackscholes_greeks(AE$25,$C$4,$C$5,$C$6,$AD27,$C$9,$C$7,$C$10)</f>
        <v>4.1877665123257053</v>
      </c>
      <c r="AF27">
        <f>_xll.acq_options_blackscholes_greeks(AF$25,$C$4,$C$5,$C$6,$AD27,$C$9,$C$7,$C$10)</f>
        <v>49.822551772366097</v>
      </c>
      <c r="AG27" s="13"/>
      <c r="AH27" s="15">
        <f>AH28-AI31</f>
        <v>2.4998999999999998</v>
      </c>
      <c r="AI27">
        <f>_xll.acq_options_blackscholes_greeks(AI$25,$C$4,$C$5,$AH27,$C$8,$C$9,$C$7,$C$10)</f>
        <v>4.1926825566795181</v>
      </c>
      <c r="AJ27">
        <f>_xll.acq_options_blackscholes_greeks(AJ$25,$C$4,$C$5,$AH27,$C$8,$C$9,$C$7,$C$10)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_xll.acq_options_blackscholes_greeks(AE$25,$C$4,$C$5,$C$6,$AD28,$C$9,$C$7,$C$10)</f>
        <v>4.1927508505818558</v>
      </c>
      <c r="AF28">
        <f>_xll.acq_options_blackscholes_greeks(AF$25,$C$4,$C$5,$C$6,$AD28,$C$9,$C$7,$C$10)</f>
        <v>49.864215121373967</v>
      </c>
      <c r="AG28" s="13"/>
      <c r="AH28" s="16">
        <f>C6</f>
        <v>2.5</v>
      </c>
      <c r="AI28">
        <f>_xll.acq_options_blackscholes_greeks(AI$25,$C$4,$C$5,$AH28,$C$8,$C$9,$C$7,$C$10)</f>
        <v>4.1927508505818558</v>
      </c>
      <c r="AJ28">
        <f>_xll.acq_options_blackscholes_greeks(AJ$25,$C$4,$C$5,$AH28,$C$8,$C$9,$C$7,$C$10)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_xll.acq_options_blackscholes_greeks(AE$25,$C$4,$C$5,$C$6,$AD29,$C$9,$C$7,$C$10)</f>
        <v>4.1977393557035931</v>
      </c>
      <c r="AF29">
        <f>_xll.acq_options_blackscholes_greeks(AF$25,$C$4,$C$5,$C$6,$AD29,$C$9,$C$7,$C$10)</f>
        <v>49.905889079206759</v>
      </c>
      <c r="AG29" s="13"/>
      <c r="AH29" s="15">
        <f>AH28+AI31</f>
        <v>2.5001000000000002</v>
      </c>
      <c r="AI29">
        <f>_xll.acq_options_blackscholes_greeks(AI$25,$C$4,$C$5,$AH29,$C$8,$C$9,$C$7,$C$10)</f>
        <v>4.1928191403372992</v>
      </c>
      <c r="AJ29">
        <f>_xll.acq_options_blackscholes_greeks(AJ$25,$C$4,$C$5,$AH29,$C$8,$C$9,$C$7,$C$10)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5">
        <f>AF28-AF31</f>
        <v>-1.7680655375329479E-6</v>
      </c>
      <c r="AG32" s="11"/>
      <c r="AH32" t="s">
        <v>111</v>
      </c>
      <c r="AJ32" s="35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8" t="s">
        <v>120</v>
      </c>
      <c r="AE37" s="41">
        <f>AF37-AE42</f>
        <v>0.19990000000000002</v>
      </c>
      <c r="AF37" s="20">
        <f>C7</f>
        <v>0.2</v>
      </c>
      <c r="AG37" s="42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8">
        <f>AD39-AE42</f>
        <v>89.999899999999997</v>
      </c>
      <c r="AE38" s="19">
        <f>_xll.acq_options_blackscholes_price($AD38,$C$5,$C$6,$C$8,$C$9,AE$37,$C$10)</f>
        <v>4.1883936952289851</v>
      </c>
      <c r="AF38" s="20">
        <f>_xll.acq_options_blackscholes_price($AD38,$C$5,$C$6,$C$8,$C$9,AF$37,$C$10)</f>
        <v>4.1927240301498756</v>
      </c>
      <c r="AG38" s="32">
        <f>_xll.acq_options_blackscholes_price($AD38,$C$5,$C$6,$C$8,$C$9,AG$37,$C$10)</f>
        <v>4.1970552241516685</v>
      </c>
      <c r="AI38">
        <f>_xll.acq_options_blackscholes_greeks($AI$36,$AD38,$C$5,$C$6,$C$8,$C$9,AE$37,$C$10)</f>
        <v>0.26808086872425324</v>
      </c>
      <c r="AJ38">
        <f>_xll.acq_options_blackscholes_greeks($AI$36,$AD38,$C$5,$C$6,$C$8,$C$9,AF$37,$C$10)</f>
        <v>0.26820378510747978</v>
      </c>
      <c r="AK38">
        <f>_xll.acq_options_blackscholes_greeks($AI$36,$AD38,$C$5,$C$6,$C$8,$C$9,AG$37,$C$10)</f>
        <v>0.26832662704654892</v>
      </c>
      <c r="AM38">
        <f>_xll.acq_options_blackscholes_greeks($AM$36,$AD38,$C$5,$C$6,$C$8,$C$9,AE$37,$C$10)</f>
        <v>43.299049714446767</v>
      </c>
      <c r="AN38">
        <f>_xll.acq_options_blackscholes_greeks($AM$36,$AD38,$C$5,$C$6,$C$8,$C$9,AF$37,$C$10)</f>
        <v>43.307646657527272</v>
      </c>
      <c r="AO38">
        <f>_xll.acq_options_blackscholes_greeks($AM$36,$AD38,$C$5,$C$6,$C$8,$C$9,AG$37,$C$10)</f>
        <v>43.316231335834985</v>
      </c>
      <c r="AQ38">
        <f>_xll.acq_options_blackscholes_greeks($AQ$36,$AD38,$C$5,$C$6,$C$8,$C$9,AE$37,$C$10)</f>
        <v>1.2295363005253457</v>
      </c>
      <c r="AR38">
        <f>_xll.acq_options_blackscholes_greeks($AQ$36,$AD38,$C$5,$C$6,$C$8,$C$9,AF$37,$C$10)</f>
        <v>1.2287914877713453</v>
      </c>
      <c r="AS38">
        <f>_xll.acq_options_blackscholes_greeks($AQ$36,$AD38,$C$5,$C$6,$C$8,$C$9,AG$37,$C$10)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39">
        <f>C4</f>
        <v>90</v>
      </c>
      <c r="AE39" s="33">
        <f>_xll.acq_options_blackscholes_price($AD39,$C$5,$C$6,$C$8,$C$9,AE$37,$C$10)</f>
        <v>4.1884205033693505</v>
      </c>
      <c r="AF39" s="21">
        <f>_xll.acq_options_blackscholes_price($AD39,$C$5,$C$6,$C$8,$C$9,AF$37,$C$10)</f>
        <v>4.1927508505818558</v>
      </c>
      <c r="AG39" s="22">
        <f>_xll.acq_options_blackscholes_price($AD39,$C$5,$C$6,$C$8,$C$9,AG$37,$C$10)</f>
        <v>4.1970820568678278</v>
      </c>
      <c r="AI39">
        <f>_xll.acq_options_blackscholes_greeks($AI$36,$AD39,$C$5,$C$6,$C$8,$C$9,AE$37,$C$10)</f>
        <v>0.2680819383741227</v>
      </c>
      <c r="AJ39">
        <f>_xll.acq_options_blackscholes_greeks($AI$36,$AD39,$C$5,$C$6,$C$8,$C$9,AF$37,$C$10)</f>
        <v>0.2682048544347938</v>
      </c>
      <c r="AK39">
        <f>_xll.acq_options_blackscholes_greeks($AI$36,$AD39,$C$5,$C$6,$C$8,$C$9,AG$37,$C$10)</f>
        <v>0.26832769605132722</v>
      </c>
      <c r="AM39">
        <f>_xll.acq_options_blackscholes_greeks($AM$36,$AD39,$C$5,$C$6,$C$8,$C$9,AE$37,$C$10)</f>
        <v>43.299172667915535</v>
      </c>
      <c r="AN39">
        <f>_xll.acq_options_blackscholes_greeks($AM$36,$AD39,$C$5,$C$6,$C$8,$C$9,AF$37,$C$10)</f>
        <v>43.307769536514776</v>
      </c>
      <c r="AO39">
        <f>_xll.acq_options_blackscholes_greeks($AM$36,$AD39,$C$5,$C$6,$C$8,$C$9,AG$37,$C$10)</f>
        <v>43.316354140415449</v>
      </c>
      <c r="AQ39">
        <f>_xll.acq_options_blackscholes_greeks($AQ$36,$AD39,$C$5,$C$6,$C$8,$C$9,AE$37,$C$10)</f>
        <v>1.2295330748740971</v>
      </c>
      <c r="AR39">
        <f>_xll.acq_options_blackscholes_greeks($AQ$36,$AD39,$C$5,$C$6,$C$8,$C$9,AF$37,$C$10)</f>
        <v>1.2287882623149675</v>
      </c>
      <c r="AS39">
        <f>_xll.acq_options_blackscholes_greeks($AQ$36,$AD39,$C$5,$C$6,$C$8,$C$9,AG$37,$C$10)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0">
        <f>AD39+AE42</f>
        <v>90.000100000000003</v>
      </c>
      <c r="AE40" s="34">
        <f>_xll.acq_options_blackscholes_price($AD40,$C$5,$C$6,$C$8,$C$9,AE$37,$C$10)</f>
        <v>4.1884473116166703</v>
      </c>
      <c r="AF40" s="23">
        <f>_xll.acq_options_blackscholes_price($AD40,$C$5,$C$6,$C$8,$C$9,AF$37,$C$10)</f>
        <v>4.1927776711207656</v>
      </c>
      <c r="AG40" s="24">
        <f>_xll.acq_options_blackscholes_price($AD40,$C$5,$C$6,$C$8,$C$9,AG$37,$C$10)</f>
        <v>4.197108889690881</v>
      </c>
      <c r="AI40">
        <f>_xll.acq_options_blackscholes_greeks($AI$36,$AD40,$C$5,$C$6,$C$8,$C$9,AE$37,$C$10)</f>
        <v>0.26808300802465251</v>
      </c>
      <c r="AJ40">
        <f>_xll.acq_options_blackscholes_greeks($AI$36,$AD40,$C$5,$C$6,$C$8,$C$9,AF$37,$C$10)</f>
        <v>0.26820592376276564</v>
      </c>
      <c r="AK40">
        <f>_xll.acq_options_blackscholes_greeks($AI$36,$AD40,$C$5,$C$6,$C$8,$C$9,AG$37,$C$10)</f>
        <v>0.26832876505676068</v>
      </c>
      <c r="AM40">
        <f>_xll.acq_options_blackscholes_greeks($AM$36,$AD40,$C$5,$C$6,$C$8,$C$9,AE$37,$C$10)</f>
        <v>43.299295621061738</v>
      </c>
      <c r="AN40">
        <f>_xll.acq_options_blackscholes_greeks($AM$36,$AD40,$C$5,$C$6,$C$8,$C$9,AF$37,$C$10)</f>
        <v>43.307892415179737</v>
      </c>
      <c r="AO40">
        <f>_xll.acq_options_blackscholes_greeks($AM$36,$AD40,$C$5,$C$6,$C$8,$C$9,AG$37,$C$10)</f>
        <v>43.31647694467339</v>
      </c>
      <c r="AQ40">
        <f>_xll.acq_options_blackscholes_greeks($AQ$36,$AD40,$C$5,$C$6,$C$8,$C$9,AE$37,$C$10)</f>
        <v>1.2295298491964135</v>
      </c>
      <c r="AR40">
        <f>_xll.acq_options_blackscholes_greeks($AQ$36,$AD40,$C$5,$C$6,$C$8,$C$9,AF$37,$C$10)</f>
        <v>1.2287850368322066</v>
      </c>
      <c r="AS40">
        <f>_xll.acq_options_blackscholes_greeks($AQ$36,$AD40,$C$5,$C$6,$C$8,$C$9,AG$37,$C$10)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5">
        <f>AR39-AF42</f>
        <v>-1.2370780688719663E-7</v>
      </c>
      <c r="AG43" s="35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B57"/>
  <sheetViews>
    <sheetView workbookViewId="0">
      <selection activeCell="C10" sqref="C10"/>
    </sheetView>
  </sheetViews>
  <sheetFormatPr defaultRowHeight="15" x14ac:dyDescent="0.25"/>
  <cols>
    <col min="2" max="2" width="14.28515625" customWidth="1"/>
    <col min="7" max="8" width="12" bestFit="1" customWidth="1"/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60" t="s">
        <v>135</v>
      </c>
      <c r="B1" s="60"/>
      <c r="C1" s="60"/>
      <c r="D1" s="60"/>
      <c r="E1" s="60"/>
      <c r="F1" s="60"/>
      <c r="G1" s="60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9" t="s">
        <v>139</v>
      </c>
      <c r="G3" s="59"/>
      <c r="H3" s="59"/>
      <c r="I3" s="59" t="s">
        <v>137</v>
      </c>
      <c r="J3" s="59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71.392920250250825</v>
      </c>
      <c r="H5">
        <f>_xll.acq_options_bjerksund_price($C$4,F5,$C$6,$C$8,$C$9,$C$7,FALSE)</f>
        <v>1.45451366506677E-8</v>
      </c>
      <c r="I5">
        <f>_xll.acq_options_blackscholes_price($C$4,F5,$C$6,$C$8,$C$9,$C$7,TRUE)</f>
        <v>71.392920250250825</v>
      </c>
      <c r="J5">
        <f>_xll.acq_options_blackscholes_price($C$4,F5,$C$6,$C$8,$C$9,$C$7,FALSE)</f>
        <v>1.4501407193372407E-8</v>
      </c>
      <c r="L5" s="45">
        <v>0.05</v>
      </c>
      <c r="M5">
        <f>_xll.acq_options_bjerksund_price(M$4,$C$5,$L5,$C$8,$C$9,$C$7,TRUE)</f>
        <v>7.0269787531536919E-5</v>
      </c>
      <c r="N5">
        <f>_xll.acq_options_bjerksund_price(N$4,$C$5,$L5,$C$8,$C$9,$C$7,TRUE)</f>
        <v>1.5318877920687868E-2</v>
      </c>
      <c r="O5">
        <f>_xll.acq_options_bjerksund_price(O$4,$C$5,$L5,$C$8,$C$9,$C$7,TRUE)</f>
        <v>0.47211228016601936</v>
      </c>
      <c r="P5">
        <f>_xll.acq_options_bjerksund_price(P$4,$C$5,$L5,$C$8,$C$9,$C$7,TRUE)</f>
        <v>3.5692572350085925</v>
      </c>
      <c r="Q5">
        <f>_xll.acq_options_bjerksund_price(Q$4,$C$5,$L5,$C$8,$C$9,$C$7,TRUE)</f>
        <v>10.92626360688061</v>
      </c>
      <c r="R5">
        <f>_xll.acq_options_bjerksund_price(R$4,$C$5,$L5,$C$8,$C$9,$C$7,TRUE)</f>
        <v>20.482661489883014</v>
      </c>
      <c r="S5">
        <f>_xll.acq_options_bjerksund_price(S$4,$C$5,$L5,$C$8,$C$9,$C$7,TRUE)</f>
        <v>30.450427267664622</v>
      </c>
      <c r="U5" s="45">
        <v>0.05</v>
      </c>
      <c r="V5">
        <f>_xll.acq_options_bjerksund_price(V$4,$C$5,$U5,$C$8,$C$9,$C$7,FALSE)</f>
        <v>30</v>
      </c>
      <c r="W5">
        <f>_xll.acq_options_bjerksund_price(W$4,$C$5,$U5,$C$8,$C$9,$C$7,FALSE)</f>
        <v>20</v>
      </c>
      <c r="X5">
        <f>_xll.acq_options_bjerksund_price(X$4,$C$5,$U5,$C$8,$C$9,$C$7,FALSE)</f>
        <v>10.18504362777812</v>
      </c>
      <c r="Y5">
        <f>_xll.acq_options_bjerksund_price(Y$4,$C$5,$U5,$C$8,$C$9,$C$7,FALSE)</f>
        <v>3.1384221077732235</v>
      </c>
      <c r="Z5">
        <f>_xll.acq_options_bjerksund_price(Z$4,$C$5,$U5,$C$8,$C$9,$C$7,FALSE)</f>
        <v>0.47775635971180463</v>
      </c>
      <c r="AA5">
        <f>_xll.acq_options_bjerksund_price(AA$4,$C$5,$U5,$C$8,$C$9,$C$7,FALSE)</f>
        <v>3.3349932689986872E-2</v>
      </c>
      <c r="AB5">
        <f>_xll.acq_options_bjerksund_price(AB$4,$C$5,$U5,$C$8,$C$9,$C$7,FALSE)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62.786009733671456</v>
      </c>
      <c r="H6">
        <f>_xll.acq_options_bjerksund_price($C$4,F6,$C$6,$C$8,$C$9,$C$7,FALSE)</f>
        <v>1.7144366461252503E-4</v>
      </c>
      <c r="I6">
        <f>_xll.acq_options_blackscholes_price($C$4,F6,$C$6,$C$8,$C$9,$C$7,TRUE)</f>
        <v>62.786009733671456</v>
      </c>
      <c r="J6">
        <f>_xll.acq_options_blackscholes_price($C$4,F6,$C$6,$C$8,$C$9,$C$7,FALSE)</f>
        <v>1.6926217260669423E-4</v>
      </c>
      <c r="L6" s="45">
        <v>0.1</v>
      </c>
      <c r="M6">
        <f>_xll.acq_options_bjerksund_price(M$4,$C$5,$L6,$C$8,$C$9,$C$7,TRUE)</f>
        <v>9.608024599748799E-3</v>
      </c>
      <c r="N6">
        <f>_xll.acq_options_bjerksund_price(N$4,$C$5,$L6,$C$8,$C$9,$C$7,TRUE)</f>
        <v>0.18499420634012598</v>
      </c>
      <c r="O6">
        <f>_xll.acq_options_bjerksund_price(O$4,$C$5,$L6,$C$8,$C$9,$C$7,TRUE)</f>
        <v>1.3801373932978436</v>
      </c>
      <c r="P6">
        <f>_xll.acq_options_bjerksund_price(P$4,$C$5,$L6,$C$8,$C$9,$C$7,TRUE)</f>
        <v>5.1777150139388084</v>
      </c>
      <c r="Q6">
        <f>_xll.acq_options_bjerksund_price(Q$4,$C$5,$L6,$C$8,$C$9,$C$7,TRUE)</f>
        <v>12.140569109259332</v>
      </c>
      <c r="R6">
        <f>_xll.acq_options_bjerksund_price(R$4,$C$5,$L6,$C$8,$C$9,$C$7,TRUE)</f>
        <v>21.15129483063177</v>
      </c>
      <c r="S6">
        <f>_xll.acq_options_bjerksund_price(S$4,$C$5,$L6,$C$8,$C$9,$C$7,TRUE)</f>
        <v>30.934462813115289</v>
      </c>
      <c r="U6" s="45">
        <v>0.1</v>
      </c>
      <c r="V6">
        <f>_xll.acq_options_bjerksund_price(V$4,$C$5,$U6,$C$8,$C$9,$C$7,FALSE)</f>
        <v>30</v>
      </c>
      <c r="W6">
        <f>_xll.acq_options_bjerksund_price(W$4,$C$5,$U6,$C$8,$C$9,$C$7,FALSE)</f>
        <v>20</v>
      </c>
      <c r="X6">
        <f>_xll.acq_options_bjerksund_price(X$4,$C$5,$U6,$C$8,$C$9,$C$7,FALSE)</f>
        <v>10.70274525100454</v>
      </c>
      <c r="Y6">
        <f>_xll.acq_options_bjerksund_price(Y$4,$C$5,$U6,$C$8,$C$9,$C$7,FALSE)</f>
        <v>4.323515151201903</v>
      </c>
      <c r="Z6">
        <f>_xll.acq_options_bjerksund_price(Z$4,$C$5,$U6,$C$8,$C$9,$C$7,FALSE)</f>
        <v>1.2488238283683302</v>
      </c>
      <c r="AA6">
        <f>_xll.acq_options_bjerksund_price(AA$4,$C$5,$U6,$C$8,$C$9,$C$7,FALSE)</f>
        <v>0.25445924170767853</v>
      </c>
      <c r="AB6">
        <f>_xll.acq_options_bjerksund_price(AB$4,$C$5,$U6,$C$8,$C$9,$C$7,FALSE)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54.189706931084629</v>
      </c>
      <c r="H7">
        <f>_xll.acq_options_bjerksund_price($C$4,F7,$C$6,$C$8,$C$9,$C$7,FALSE)</f>
        <v>1.1270787915449887E-2</v>
      </c>
      <c r="I7">
        <f>_xll.acq_options_blackscholes_price($C$4,F7,$C$6,$C$8,$C$9,$C$7,TRUE)</f>
        <v>54.189706931084629</v>
      </c>
      <c r="J7">
        <f>_xll.acq_options_blackscholes_price($C$4,F7,$C$6,$C$8,$C$9,$C$7,FALSE)</f>
        <v>1.0946223836368757E-2</v>
      </c>
      <c r="L7" s="45">
        <v>0.15</v>
      </c>
      <c r="M7">
        <f>_xll.acq_options_bjerksund_price(M$4,$C$5,$L7,$C$8,$C$9,$C$7,TRUE)</f>
        <v>6.1074811444477239E-2</v>
      </c>
      <c r="N7">
        <f>_xll.acq_options_bjerksund_price(N$4,$C$5,$L7,$C$8,$C$9,$C$7,TRUE)</f>
        <v>0.50968290092174939</v>
      </c>
      <c r="O7">
        <f>_xll.acq_options_bjerksund_price(O$4,$C$5,$L7,$C$8,$C$9,$C$7,TRUE)</f>
        <v>2.280395869736779</v>
      </c>
      <c r="P7">
        <f>_xll.acq_options_bjerksund_price(P$4,$C$5,$L7,$C$8,$C$9,$C$7,TRUE)</f>
        <v>6.4627468363879643</v>
      </c>
      <c r="Q7">
        <f>_xll.acq_options_bjerksund_price(Q$4,$C$5,$L7,$C$8,$C$9,$C$7,TRUE)</f>
        <v>13.269348157491947</v>
      </c>
      <c r="R7">
        <f>_xll.acq_options_bjerksund_price(R$4,$C$5,$L7,$C$8,$C$9,$C$7,TRUE)</f>
        <v>21.925966686726525</v>
      </c>
      <c r="S7">
        <f>_xll.acq_options_bjerksund_price(S$4,$C$5,$L7,$C$8,$C$9,$C$7,TRUE)</f>
        <v>31.487204442476525</v>
      </c>
      <c r="U7" s="45">
        <v>0.15</v>
      </c>
      <c r="V7">
        <f>_xll.acq_options_bjerksund_price(V$4,$C$5,$U7,$C$8,$C$9,$C$7,FALSE)</f>
        <v>30</v>
      </c>
      <c r="W7">
        <f>_xll.acq_options_bjerksund_price(W$4,$C$5,$U7,$C$8,$C$9,$C$7,FALSE)</f>
        <v>20.001920467055228</v>
      </c>
      <c r="X7">
        <f>_xll.acq_options_bjerksund_price(X$4,$C$5,$U7,$C$8,$C$9,$C$7,FALSE)</f>
        <v>11.215430755407048</v>
      </c>
      <c r="Y7">
        <f>_xll.acq_options_bjerksund_price(Y$4,$C$5,$U7,$C$8,$C$9,$C$7,FALSE)</f>
        <v>5.190490800613432</v>
      </c>
      <c r="Z7">
        <f>_xll.acq_options_bjerksund_price(Z$4,$C$5,$U7,$C$8,$C$9,$C$7,FALSE)</f>
        <v>1.9396936783394665</v>
      </c>
      <c r="AA7">
        <f>_xll.acq_options_bjerksund_price(AA$4,$C$5,$U7,$C$8,$C$9,$C$7,FALSE)</f>
        <v>0.58423039563368206</v>
      </c>
      <c r="AB7">
        <f>_xll.acq_options_bjerksund_price(AB$4,$C$5,$U7,$C$8,$C$9,$C$7,FALSE)</f>
        <v>0.14353303380678994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45.69222006469807</v>
      </c>
      <c r="H8">
        <f>_xll.acq_options_bjerksund_price($C$4,F8,$C$6,$C$8,$C$9,$C$7,FALSE)</f>
        <v>0.12687762656902635</v>
      </c>
      <c r="I8">
        <f>_xll.acq_options_blackscholes_price($C$4,F8,$C$6,$C$8,$C$9,$C$7,TRUE)</f>
        <v>45.69222006469807</v>
      </c>
      <c r="J8">
        <f>_xll.acq_options_blackscholes_price($C$4,F8,$C$6,$C$8,$C$9,$C$7,FALSE)</f>
        <v>0.12053912170037973</v>
      </c>
      <c r="L8" s="45">
        <v>0.2</v>
      </c>
      <c r="M8">
        <f>_xll.acq_options_bjerksund_price(M$4,$C$5,$L8,$C$8,$C$9,$C$7,TRUE)</f>
        <v>0.16959615165945596</v>
      </c>
      <c r="N8">
        <f>_xll.acq_options_bjerksund_price(N$4,$C$5,$L8,$C$8,$C$9,$C$7,TRUE)</f>
        <v>0.91976906847502349</v>
      </c>
      <c r="O8">
        <f>_xll.acq_options_bjerksund_price(O$4,$C$5,$L8,$C$8,$C$9,$C$7,TRUE)</f>
        <v>3.134761007022405</v>
      </c>
      <c r="P8">
        <f>_xll.acq_options_bjerksund_price(P$4,$C$5,$L8,$C$8,$C$9,$C$7,TRUE)</f>
        <v>7.5799320464732318</v>
      </c>
      <c r="Q8">
        <f>_xll.acq_options_bjerksund_price(Q$4,$C$5,$L8,$C$8,$C$9,$C$7,TRUE)</f>
        <v>14.311843176175486</v>
      </c>
      <c r="R8">
        <f>_xll.acq_options_bjerksund_price(R$4,$C$5,$L8,$C$8,$C$9,$C$7,TRUE)</f>
        <v>22.730330038198844</v>
      </c>
      <c r="S8">
        <f>_xll.acq_options_bjerksund_price(S$4,$C$5,$L8,$C$8,$C$9,$C$7,TRUE)</f>
        <v>32.093082123905162</v>
      </c>
      <c r="U8" s="45">
        <v>0.2</v>
      </c>
      <c r="V8">
        <f>_xll.acq_options_bjerksund_price(V$4,$C$5,$U8,$C$8,$C$9,$C$7,FALSE)</f>
        <v>30</v>
      </c>
      <c r="W8">
        <f>_xll.acq_options_bjerksund_price(W$4,$C$5,$U8,$C$8,$C$9,$C$7,FALSE)</f>
        <v>20.059879979875106</v>
      </c>
      <c r="X8">
        <f>_xll.acq_options_bjerksund_price(X$4,$C$5,$U8,$C$8,$C$9,$C$7,FALSE)</f>
        <v>11.685170289085562</v>
      </c>
      <c r="Y8">
        <f>_xll.acq_options_bjerksund_price(Y$4,$C$5,$U8,$C$8,$C$9,$C$7,FALSE)</f>
        <v>5.8941074536139695</v>
      </c>
      <c r="Z8">
        <f>_xll.acq_options_bjerksund_price(Z$4,$C$5,$U8,$C$8,$C$9,$C$7,FALSE)</f>
        <v>2.5490123498013304</v>
      </c>
      <c r="AA8">
        <f>_xll.acq_options_bjerksund_price(AA$4,$C$5,$U8,$C$8,$C$9,$C$7,FALSE)</f>
        <v>0.94675254931996733</v>
      </c>
      <c r="AB8">
        <f>_xll.acq_options_bjerksund_price(AB$4,$C$5,$U8,$C$8,$C$9,$C$7,FALSE)</f>
        <v>0.30487700103364546</v>
      </c>
    </row>
    <row r="9" spans="1:28" x14ac:dyDescent="0.25">
      <c r="B9" t="s">
        <v>123</v>
      </c>
      <c r="C9" s="52">
        <v>0</v>
      </c>
      <c r="F9">
        <v>50</v>
      </c>
      <c r="G9">
        <f>_xll.acq_options_bjerksund_price($C$4,F9,$C$6,$C$8,$C$9,$C$7,TRUE)</f>
        <v>37.536754461969039</v>
      </c>
      <c r="H9">
        <f>_xll.acq_options_bjerksund_price($C$4,F9,$C$6,$C$8,$C$9,$C$7,FALSE)</f>
        <v>0.61844884365571318</v>
      </c>
      <c r="I9">
        <f>_xll.acq_options_blackscholes_price($C$4,F9,$C$6,$C$8,$C$9,$C$7,TRUE)</f>
        <v>37.536754461969039</v>
      </c>
      <c r="J9">
        <f>_xll.acq_options_blackscholes_price($C$4,F9,$C$6,$C$8,$C$9,$C$7,FALSE)</f>
        <v>0.57215328322193582</v>
      </c>
      <c r="L9" s="45">
        <v>0.25</v>
      </c>
      <c r="M9">
        <f>_xll.acq_options_bjerksund_price(M$4,$C$5,$L9,$C$8,$C$9,$C$7,TRUE)</f>
        <v>0.33074415141765279</v>
      </c>
      <c r="N9">
        <f>_xll.acq_options_bjerksund_price(N$4,$C$5,$L9,$C$8,$C$9,$C$7,TRUE)</f>
        <v>1.3748042773679217</v>
      </c>
      <c r="O9">
        <f>_xll.acq_options_bjerksund_price(O$4,$C$5,$L9,$C$8,$C$9,$C$7,TRUE)</f>
        <v>3.9447312069836613</v>
      </c>
      <c r="P9">
        <f>_xll.acq_options_bjerksund_price(P$4,$C$5,$L9,$C$8,$C$9,$C$7,TRUE)</f>
        <v>8.5895456835264525</v>
      </c>
      <c r="Q9">
        <f>_xll.acq_options_bjerksund_price(Q$4,$C$5,$L9,$C$8,$C$9,$C$7,TRUE)</f>
        <v>15.284669592463871</v>
      </c>
      <c r="R9">
        <f>_xll.acq_options_bjerksund_price(R$4,$C$5,$L9,$C$8,$C$9,$C$7,TRUE)</f>
        <v>23.534713852979422</v>
      </c>
      <c r="S9">
        <f>_xll.acq_options_bjerksund_price(S$4,$C$5,$L9,$C$8,$C$9,$C$7,TRUE)</f>
        <v>32.730771232986228</v>
      </c>
      <c r="U9" s="45">
        <v>0.25</v>
      </c>
      <c r="V9">
        <f>_xll.acq_options_bjerksund_price(V$4,$C$5,$U9,$C$8,$C$9,$C$7,FALSE)</f>
        <v>30</v>
      </c>
      <c r="W9">
        <f>_xll.acq_options_bjerksund_price(W$4,$C$5,$U9,$C$8,$C$9,$C$7,FALSE)</f>
        <v>20.161734159445849</v>
      </c>
      <c r="X9">
        <f>_xll.acq_options_bjerksund_price(X$4,$C$5,$U9,$C$8,$C$9,$C$7,FALSE)</f>
        <v>12.113197097513428</v>
      </c>
      <c r="Y9">
        <f>_xll.acq_options_bjerksund_price(Y$4,$C$5,$U9,$C$8,$C$9,$C$7,FALSE)</f>
        <v>6.4941271274534387</v>
      </c>
      <c r="Z9">
        <f>_xll.acq_options_bjerksund_price(Z$4,$C$5,$U9,$C$8,$C$9,$C$7,FALSE)</f>
        <v>3.0929303826990946</v>
      </c>
      <c r="AA9">
        <f>_xll.acq_options_bjerksund_price(AA$4,$C$5,$U9,$C$8,$C$9,$C$7,FALSE)</f>
        <v>1.3124840209453339</v>
      </c>
      <c r="AB9">
        <f>_xll.acq_options_bjerksund_price(AB$4,$C$5,$U9,$C$8,$C$9,$C$7,FALSE)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30.054211883791304</v>
      </c>
      <c r="H10">
        <f>_xll.acq_options_bjerksund_price($C$4,F10,$C$6,$C$8,$C$9,$C$7,FALSE)</f>
        <v>1.8903923326725192</v>
      </c>
      <c r="I10">
        <f>_xll.acq_options_blackscholes_price($C$4,F10,$C$6,$C$8,$C$9,$C$7,TRUE)</f>
        <v>30.054211883791304</v>
      </c>
      <c r="J10">
        <f>_xll.acq_options_blackscholes_price($C$4,F10,$C$6,$C$8,$C$9,$C$7,FALSE)</f>
        <v>1.6966904692947784</v>
      </c>
      <c r="L10" s="45">
        <v>0.3</v>
      </c>
      <c r="M10">
        <f>_xll.acq_options_bjerksund_price(M$4,$C$5,$L10,$C$8,$C$9,$C$7,TRUE)</f>
        <v>0.53491546275643209</v>
      </c>
      <c r="N10">
        <f>_xll.acq_options_bjerksund_price(N$4,$C$5,$L10,$C$8,$C$9,$C$7,TRUE)</f>
        <v>1.8534951561197488</v>
      </c>
      <c r="O10">
        <f>_xll.acq_options_bjerksund_price(O$4,$C$5,$L10,$C$8,$C$9,$C$7,TRUE)</f>
        <v>4.7162546711505584</v>
      </c>
      <c r="P10">
        <f>_xll.acq_options_bjerksund_price(P$4,$C$5,$L10,$C$8,$C$9,$C$7,TRUE)</f>
        <v>9.5225068685665661</v>
      </c>
      <c r="Q10">
        <f>_xll.acq_options_bjerksund_price(Q$4,$C$5,$L10,$C$8,$C$9,$C$7,TRUE)</f>
        <v>16.20143818398995</v>
      </c>
      <c r="R10">
        <f>_xll.acq_options_bjerksund_price(R$4,$C$5,$L10,$C$8,$C$9,$C$7,TRUE)</f>
        <v>24.327671273265764</v>
      </c>
      <c r="S10">
        <f>_xll.acq_options_bjerksund_price(S$4,$C$5,$L10,$C$8,$C$9,$C$7,TRUE)</f>
        <v>33.385371305507988</v>
      </c>
      <c r="U10" s="45">
        <v>0.3</v>
      </c>
      <c r="V10">
        <f>_xll.acq_options_bjerksund_price(V$4,$C$5,$U10,$C$8,$C$9,$C$7,FALSE)</f>
        <v>30</v>
      </c>
      <c r="W10">
        <f>_xll.acq_options_bjerksund_price(W$4,$C$5,$U10,$C$8,$C$9,$C$7,FALSE)</f>
        <v>20.28856722306762</v>
      </c>
      <c r="X10">
        <f>_xll.acq_options_bjerksund_price(X$4,$C$5,$U10,$C$8,$C$9,$C$7,FALSE)</f>
        <v>12.50527118864953</v>
      </c>
      <c r="Y10">
        <f>_xll.acq_options_bjerksund_price(Y$4,$C$5,$U10,$C$8,$C$9,$C$7,FALSE)</f>
        <v>7.0210995775381946</v>
      </c>
      <c r="Z10">
        <f>_xll.acq_options_bjerksund_price(Z$4,$C$5,$U10,$C$8,$C$9,$C$7,FALSE)</f>
        <v>3.5847032433122621</v>
      </c>
      <c r="AA10">
        <f>_xll.acq_options_bjerksund_price(AA$4,$C$5,$U10,$C$8,$C$9,$C$7,FALSE)</f>
        <v>1.6699745140907396</v>
      </c>
      <c r="AB10">
        <f>_xll.acq_options_bjerksund_price(AB$4,$C$5,$U10,$C$8,$C$9,$C$7,FALSE)</f>
        <v>0.7146162868865531</v>
      </c>
    </row>
    <row r="11" spans="1:28" x14ac:dyDescent="0.25">
      <c r="B11" t="s">
        <v>161</v>
      </c>
      <c r="C11" s="50">
        <f>C8-C9</f>
        <v>0.06</v>
      </c>
      <c r="F11">
        <v>70</v>
      </c>
      <c r="G11">
        <f>_xll.acq_options_bjerksund_price($C$4,F11,$C$6,$C$8,$C$9,$C$7,TRUE)</f>
        <v>23.515911805401906</v>
      </c>
      <c r="H11">
        <f>_xll.acq_options_bjerksund_price($C$4,F11,$C$6,$C$8,$C$9,$C$7,FALSE)</f>
        <v>4.3382949849802444</v>
      </c>
      <c r="I11">
        <f>_xll.acq_options_blackscholes_price($C$4,F11,$C$6,$C$8,$C$9,$C$7,TRUE)</f>
        <v>23.515911805401906</v>
      </c>
      <c r="J11">
        <f>_xll.acq_options_blackscholes_price($C$4,F11,$C$6,$C$8,$C$9,$C$7,FALSE)</f>
        <v>3.7654701551559562</v>
      </c>
      <c r="L11" s="45">
        <v>0.35</v>
      </c>
      <c r="M11">
        <f>_xll.acq_options_bjerksund_price(M$4,$C$5,$L11,$C$8,$C$9,$C$7,TRUE)</f>
        <v>0.77291817651611616</v>
      </c>
      <c r="N11">
        <f>_xll.acq_options_bjerksund_price(N$4,$C$5,$L11,$C$8,$C$9,$C$7,TRUE)</f>
        <v>2.3442139265024586</v>
      </c>
      <c r="O11">
        <f>_xll.acq_options_bjerksund_price(O$4,$C$5,$L11,$C$8,$C$9,$C$7,TRUE)</f>
        <v>5.4549467173737654</v>
      </c>
      <c r="P11">
        <f>_xll.acq_options_bjerksund_price(P$4,$C$5,$L11,$C$8,$C$9,$C$7,TRUE)</f>
        <v>10.397186859138571</v>
      </c>
      <c r="Q11">
        <f>_xll.acq_options_bjerksund_price(Q$4,$C$5,$L11,$C$8,$C$9,$C$7,TRUE)</f>
        <v>17.072233275187926</v>
      </c>
      <c r="R11">
        <f>_xll.acq_options_bjerksund_price(R$4,$C$5,$L11,$C$8,$C$9,$C$7,TRUE)</f>
        <v>25.104898510980362</v>
      </c>
      <c r="S11">
        <f>_xll.acq_options_bjerksund_price(S$4,$C$5,$L11,$C$8,$C$9,$C$7,TRUE)</f>
        <v>34.047485356226503</v>
      </c>
      <c r="U11" s="45">
        <v>0.35</v>
      </c>
      <c r="V11">
        <f>_xll.acq_options_bjerksund_price(V$4,$C$5,$U11,$C$8,$C$9,$C$7,FALSE)</f>
        <v>30</v>
      </c>
      <c r="W11">
        <f>_xll.acq_options_bjerksund_price(W$4,$C$5,$U11,$C$8,$C$9,$C$7,FALSE)</f>
        <v>20.429110201976329</v>
      </c>
      <c r="X11">
        <f>_xll.acq_options_bjerksund_price(X$4,$C$5,$U11,$C$8,$C$9,$C$7,FALSE)</f>
        <v>12.866860834687323</v>
      </c>
      <c r="Y11">
        <f>_xll.acq_options_bjerksund_price(Y$4,$C$5,$U11,$C$8,$C$9,$C$7,FALSE)</f>
        <v>7.4931101832985831</v>
      </c>
      <c r="Z11">
        <f>_xll.acq_options_bjerksund_price(Z$4,$C$5,$U11,$C$8,$C$9,$C$7,FALSE)</f>
        <v>4.0341331984300837</v>
      </c>
      <c r="AA11">
        <f>_xll.acq_options_bjerksund_price(AA$4,$C$5,$U11,$C$8,$C$9,$C$7,FALSE)</f>
        <v>2.0148616348597272</v>
      </c>
      <c r="AB11">
        <f>_xll.acq_options_bjerksund_price(AB$4,$C$5,$U11,$C$8,$C$9,$C$7,FALSE)</f>
        <v>0.93898654017260696</v>
      </c>
    </row>
    <row r="12" spans="1:28" x14ac:dyDescent="0.25">
      <c r="F12">
        <v>80</v>
      </c>
      <c r="G12">
        <f>_xll.acq_options_bjerksund_price($C$4,F12,$C$6,$C$8,$C$9,$C$7,TRUE)</f>
        <v>18.049751405860384</v>
      </c>
      <c r="H12">
        <f>_xll.acq_options_bjerksund_price($C$4,F12,$C$6,$C$8,$C$9,$C$7,FALSE)</f>
        <v>8.2510544914383672</v>
      </c>
      <c r="I12">
        <f>_xll.acq_options_blackscholes_price($C$4,F12,$C$6,$C$8,$C$9,$C$7,TRUE)</f>
        <v>18.049751405860384</v>
      </c>
      <c r="J12">
        <f>_xll.acq_options_blackscholes_price($C$4,F12,$C$6,$C$8,$C$9,$C$7,FALSE)</f>
        <v>6.9063895198650052</v>
      </c>
      <c r="L12" s="45">
        <v>0.4</v>
      </c>
      <c r="M12">
        <f>_xll.acq_options_bjerksund_price(M$4,$C$5,$L12,$C$8,$C$9,$C$7,TRUE)</f>
        <v>1.0372358425528798</v>
      </c>
      <c r="N12">
        <f>_xll.acq_options_bjerksund_price(N$4,$C$5,$L12,$C$8,$C$9,$C$7,TRUE)</f>
        <v>2.8403201325280598</v>
      </c>
      <c r="O12">
        <f>_xll.acq_options_bjerksund_price(O$4,$C$5,$L12,$C$8,$C$9,$C$7,TRUE)</f>
        <v>6.1654456883714559</v>
      </c>
      <c r="P12">
        <f>_xll.acq_options_bjerksund_price(P$4,$C$5,$L12,$C$8,$C$9,$C$7,TRUE)</f>
        <v>11.225558159391866</v>
      </c>
      <c r="Q12">
        <f>_xll.acq_options_bjerksund_price(Q$4,$C$5,$L12,$C$8,$C$9,$C$7,TRUE)</f>
        <v>17.90455420307805</v>
      </c>
      <c r="R12">
        <f>_xll.acq_options_bjerksund_price(R$4,$C$5,$L12,$C$8,$C$9,$C$7,TRUE)</f>
        <v>25.865087536391698</v>
      </c>
      <c r="S12">
        <f>_xll.acq_options_bjerksund_price(S$4,$C$5,$L12,$C$8,$C$9,$C$7,TRUE)</f>
        <v>34.711282282152041</v>
      </c>
      <c r="U12" s="45">
        <v>0.4</v>
      </c>
      <c r="V12">
        <f>_xll.acq_options_bjerksund_price(V$4,$C$5,$U12,$C$8,$C$9,$C$7,FALSE)</f>
        <v>30</v>
      </c>
      <c r="W12">
        <f>_xll.acq_options_bjerksund_price(W$4,$C$5,$U12,$C$8,$C$9,$C$7,FALSE)</f>
        <v>20.576702408336132</v>
      </c>
      <c r="X12">
        <f>_xll.acq_options_bjerksund_price(X$4,$C$5,$U12,$C$8,$C$9,$C$7,FALSE)</f>
        <v>13.202481650454104</v>
      </c>
      <c r="Y12">
        <f>_xll.acq_options_bjerksund_price(Y$4,$C$5,$U12,$C$8,$C$9,$C$7,FALSE)</f>
        <v>7.9219003176608709</v>
      </c>
      <c r="Z12">
        <f>_xll.acq_options_bjerksund_price(Z$4,$C$5,$U12,$C$8,$C$9,$C$7,FALSE)</f>
        <v>4.448487889031</v>
      </c>
      <c r="AA12">
        <f>_xll.acq_options_bjerksund_price(AA$4,$C$5,$U12,$C$8,$C$9,$C$7,FALSE)</f>
        <v>2.3457563802716948</v>
      </c>
      <c r="AB12">
        <f>_xll.acq_options_bjerksund_price(AB$4,$C$5,$U12,$C$8,$C$9,$C$7,FALSE)</f>
        <v>1.1674803035433001</v>
      </c>
    </row>
    <row r="13" spans="1:28" x14ac:dyDescent="0.25">
      <c r="F13">
        <v>90</v>
      </c>
      <c r="G13">
        <f>_xll.acq_options_bjerksund_price($C$4,F13,$C$6,$C$8,$C$9,$C$7,TRUE)</f>
        <v>13.64387625522145</v>
      </c>
      <c r="H13">
        <f>_xll.acq_options_bjerksund_price($C$4,F13,$C$6,$C$8,$C$9,$C$7,FALSE)</f>
        <v>13.793321561722518</v>
      </c>
      <c r="I13">
        <f>_xll.acq_options_blackscholes_price($C$4,F13,$C$6,$C$8,$C$9,$C$7,TRUE)</f>
        <v>13.64387625522145</v>
      </c>
      <c r="J13">
        <f>_xll.acq_options_blackscholes_price($C$4,F13,$C$6,$C$8,$C$9,$C$7,FALSE)</f>
        <v>11.107594133476663</v>
      </c>
      <c r="L13" s="45">
        <v>0.45</v>
      </c>
      <c r="M13">
        <f>_xll.acq_options_bjerksund_price(M$4,$C$5,$L13,$C$8,$C$9,$C$7,TRUE)</f>
        <v>1.3220076263873874</v>
      </c>
      <c r="N13">
        <f>_xll.acq_options_bjerksund_price(N$4,$C$5,$L13,$C$8,$C$9,$C$7,TRUE)</f>
        <v>3.3378814660780236</v>
      </c>
      <c r="O13">
        <f>_xll.acq_options_bjerksund_price(O$4,$C$5,$L13,$C$8,$C$9,$C$7,TRUE)</f>
        <v>6.8514884557864519</v>
      </c>
      <c r="P13">
        <f>_xll.acq_options_bjerksund_price(P$4,$C$5,$L13,$C$8,$C$9,$C$7,TRUE)</f>
        <v>12.015938789816275</v>
      </c>
      <c r="Q13">
        <f>_xll.acq_options_bjerksund_price(Q$4,$C$5,$L13,$C$8,$C$9,$C$7,TRUE)</f>
        <v>18.704094599156875</v>
      </c>
      <c r="R13">
        <f>_xll.acq_options_bjerksund_price(R$4,$C$5,$L13,$C$8,$C$9,$C$7,TRUE)</f>
        <v>26.608241237567285</v>
      </c>
      <c r="S13">
        <f>_xll.acq_options_bjerksund_price(S$4,$C$5,$L13,$C$8,$C$9,$C$7,TRUE)</f>
        <v>35.373138265944448</v>
      </c>
      <c r="U13" s="45">
        <v>0.45</v>
      </c>
      <c r="V13">
        <f>_xll.acq_options_bjerksund_price(V$4,$C$5,$U13,$C$8,$C$9,$C$7,FALSE)</f>
        <v>30</v>
      </c>
      <c r="W13">
        <f>_xll.acq_options_bjerksund_price(W$4,$C$5,$U13,$C$8,$C$9,$C$7,FALSE)</f>
        <v>20.727323879111289</v>
      </c>
      <c r="X13">
        <f>_xll.acq_options_bjerksund_price(X$4,$C$5,$U13,$C$8,$C$9,$C$7,FALSE)</f>
        <v>13.51576476330748</v>
      </c>
      <c r="Y13">
        <f>_xll.acq_options_bjerksund_price(Y$4,$C$5,$U13,$C$8,$C$9,$C$7,FALSE)</f>
        <v>8.3155956253103511</v>
      </c>
      <c r="Z13">
        <f>_xll.acq_options_bjerksund_price(Z$4,$C$5,$U13,$C$8,$C$9,$C$7,FALSE)</f>
        <v>4.8332655650513772</v>
      </c>
      <c r="AA13">
        <f>_xll.acq_options_bjerksund_price(AA$4,$C$5,$U13,$C$8,$C$9,$C$7,FALSE)</f>
        <v>2.662572789779432</v>
      </c>
      <c r="AB13">
        <f>_xll.acq_options_bjerksund_price(AB$4,$C$5,$U13,$C$8,$C$9,$C$7,FALSE)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_xll.acq_options_bjerksund_price($C$4,F14,$C$6,$C$8,$C$9,$C$7,TRUE)</f>
        <v>10.193272005183939</v>
      </c>
      <c r="H14">
        <f>_xll.acq_options_bjerksund_price($C$4,F14,$C$6,$C$8,$C$9,$C$7,FALSE)</f>
        <v>21.034358320176022</v>
      </c>
      <c r="I14">
        <f>_xll.acq_options_blackscholes_price($C$4,F14,$C$6,$C$8,$C$9,$C$7,TRUE)</f>
        <v>10.193272005183939</v>
      </c>
      <c r="J14">
        <f>_xll.acq_options_blackscholes_price($C$4,F14,$C$6,$C$8,$C$9,$C$7,FALSE)</f>
        <v>16.26406964768973</v>
      </c>
      <c r="L14" s="45">
        <v>0.5</v>
      </c>
      <c r="M14">
        <f>_xll.acq_options_bjerksund_price(M$4,$C$5,$L14,$C$8,$C$9,$C$7,TRUE)</f>
        <v>1.6227218735392519</v>
      </c>
      <c r="N14">
        <f>_xll.acq_options_bjerksund_price(N$4,$C$5,$L14,$C$8,$C$9,$C$7,TRUE)</f>
        <v>3.8345092401585674</v>
      </c>
      <c r="O14">
        <f>_xll.acq_options_bjerksund_price(O$4,$C$5,$L14,$C$8,$C$9,$C$7,TRUE)</f>
        <v>7.5160898111802226</v>
      </c>
      <c r="P14">
        <f>_xll.acq_options_bjerksund_price(P$4,$C$5,$L14,$C$8,$C$9,$C$7,TRUE)</f>
        <v>12.774386491242922</v>
      </c>
      <c r="Q14">
        <f>_xll.acq_options_bjerksund_price(Q$4,$C$5,$L14,$C$8,$C$9,$C$7,TRUE)</f>
        <v>19.475275165999435</v>
      </c>
      <c r="R14">
        <f>_xll.acq_options_bjerksund_price(R$4,$C$5,$L14,$C$8,$C$9,$C$7,TRUE)</f>
        <v>27.33493684806686</v>
      </c>
      <c r="S14">
        <f>_xll.acq_options_bjerksund_price(S$4,$C$5,$L14,$C$8,$C$9,$C$7,TRUE)</f>
        <v>36.030798991139974</v>
      </c>
      <c r="U14" s="45">
        <v>0.5</v>
      </c>
      <c r="V14">
        <f>_xll.acq_options_bjerksund_price(V$4,$C$5,$U14,$C$8,$C$9,$C$7,FALSE)</f>
        <v>30</v>
      </c>
      <c r="W14">
        <f>_xll.acq_options_bjerksund_price(W$4,$C$5,$U14,$C$8,$C$9,$C$7,FALSE)</f>
        <v>20.878498091942536</v>
      </c>
      <c r="X14">
        <f>_xll.acq_options_bjerksund_price(X$4,$C$5,$U14,$C$8,$C$9,$C$7,FALSE)</f>
        <v>13.809632330257585</v>
      </c>
      <c r="Y14">
        <f>_xll.acq_options_bjerksund_price(Y$4,$C$5,$U14,$C$8,$C$9,$C$7,FALSE)</f>
        <v>8.6800903822513931</v>
      </c>
      <c r="Z14">
        <f>_xll.acq_options_bjerksund_price(Z$4,$C$5,$U14,$C$8,$C$9,$C$7,FALSE)</f>
        <v>5.1927188835421703</v>
      </c>
      <c r="AA14">
        <f>_xll.acq_options_bjerksund_price(AA$4,$C$5,$U14,$C$8,$C$9,$C$7,FALSE)</f>
        <v>2.9657980624896823</v>
      </c>
      <c r="AB14">
        <f>_xll.acq_options_bjerksund_price(AB$4,$C$5,$U14,$C$8,$C$9,$C$7,FALSE)</f>
        <v>1.6237713217188059</v>
      </c>
    </row>
    <row r="15" spans="1:28" x14ac:dyDescent="0.25">
      <c r="B15" s="44" t="s">
        <v>142</v>
      </c>
      <c r="F15">
        <v>110</v>
      </c>
      <c r="G15">
        <f>_xll.acq_options_bjerksund_price($C$4,F15,$C$6,$C$8,$C$9,$C$7,TRUE)</f>
        <v>7.5495839691497224</v>
      </c>
      <c r="H15">
        <f>_xll.acq_options_bjerksund_price($C$4,F15,$C$6,$C$8,$C$9,$C$7,FALSE)</f>
        <v>30</v>
      </c>
      <c r="I15">
        <f>_xll.acq_options_blackscholes_price($C$4,F15,$C$6,$C$8,$C$9,$C$7,TRUE)</f>
        <v>7.5495839691497224</v>
      </c>
      <c r="J15">
        <f>_xll.acq_options_blackscholes_price($C$4,F15,$C$6,$C$8,$C$9,$C$7,FALSE)</f>
        <v>22.227461375906074</v>
      </c>
      <c r="L15" s="45">
        <v>0.55000000000000004</v>
      </c>
      <c r="M15">
        <f>_xll.acq_options_bjerksund_price(M$4,$C$5,$L15,$C$8,$C$9,$C$7,TRUE)</f>
        <v>1.9359037949518303</v>
      </c>
      <c r="N15">
        <f>_xll.acq_options_bjerksund_price(N$4,$C$5,$L15,$C$8,$C$9,$C$7,TRUE)</f>
        <v>4.3287315102680708</v>
      </c>
      <c r="O15">
        <f>_xll.acq_options_bjerksund_price(O$4,$C$5,$L15,$C$8,$C$9,$C$7,TRUE)</f>
        <v>8.1617044786651789</v>
      </c>
      <c r="P15">
        <f>_xll.acq_options_bjerksund_price(P$4,$C$5,$L15,$C$8,$C$9,$C$7,TRUE)</f>
        <v>13.505475510640622</v>
      </c>
      <c r="Q15">
        <f>_xll.acq_options_bjerksund_price(Q$4,$C$5,$L15,$C$8,$C$9,$C$7,TRUE)</f>
        <v>20.221599997811651</v>
      </c>
      <c r="R15">
        <f>_xll.acq_options_bjerksund_price(R$4,$C$5,$L15,$C$8,$C$9,$C$7,TRUE)</f>
        <v>28.045986426643253</v>
      </c>
      <c r="S15">
        <f>_xll.acq_options_bjerksund_price(S$4,$C$5,$L15,$C$8,$C$9,$C$7,TRUE)</f>
        <v>36.68287223338848</v>
      </c>
      <c r="U15" s="45">
        <v>0.55000000000000004</v>
      </c>
      <c r="V15">
        <f>_xll.acq_options_bjerksund_price(V$4,$C$5,$U15,$C$8,$C$9,$C$7,FALSE)</f>
        <v>30</v>
      </c>
      <c r="W15">
        <f>_xll.acq_options_bjerksund_price(W$4,$C$5,$U15,$C$8,$C$9,$C$7,FALSE)</f>
        <v>21.028678254900704</v>
      </c>
      <c r="X15">
        <f>_xll.acq_options_bjerksund_price(X$4,$C$5,$U15,$C$8,$C$9,$C$7,FALSE)</f>
        <v>14.086457106078548</v>
      </c>
      <c r="Y15">
        <f>_xll.acq_options_bjerksund_price(Y$4,$C$5,$U15,$C$8,$C$9,$C$7,FALSE)</f>
        <v>9.0198177682868135</v>
      </c>
      <c r="Z15">
        <f>_xll.acq_options_bjerksund_price(Z$4,$C$5,$U15,$C$8,$C$9,$C$7,FALSE)</f>
        <v>5.5302052099230963</v>
      </c>
      <c r="AA15">
        <f>_xll.acq_options_bjerksund_price(AA$4,$C$5,$U15,$C$8,$C$9,$C$7,FALSE)</f>
        <v>3.2561561952630882</v>
      </c>
      <c r="AB15">
        <f>_xll.acq_options_bjerksund_price(AB$4,$C$5,$U15,$C$8,$C$9,$C$7,FALSE)</f>
        <v>1.8479046798663319</v>
      </c>
    </row>
    <row r="16" spans="1:28" x14ac:dyDescent="0.25">
      <c r="F16">
        <v>120</v>
      </c>
      <c r="G16">
        <f>_xll.acq_options_bjerksund_price($C$4,F16,$C$6,$C$8,$C$9,$C$7,TRUE)</f>
        <v>5.5572058532914603</v>
      </c>
      <c r="H16">
        <f>_xll.acq_options_bjerksund_price($C$4,F16,$C$6,$C$8,$C$9,$C$7,FALSE)</f>
        <v>40</v>
      </c>
      <c r="I16">
        <f>_xll.acq_options_blackscholes_price($C$4,F16,$C$6,$C$8,$C$9,$C$7,TRUE)</f>
        <v>5.5572058532914603</v>
      </c>
      <c r="J16">
        <f>_xll.acq_options_blackscholes_price($C$4,F16,$C$6,$C$8,$C$9,$C$7,FALSE)</f>
        <v>28.842163024298387</v>
      </c>
      <c r="L16" s="45">
        <v>0.6</v>
      </c>
      <c r="M16">
        <f>_xll.acq_options_bjerksund_price(M$4,$C$5,$L16,$C$8,$C$9,$C$7,TRUE)</f>
        <v>2.258861243040176</v>
      </c>
      <c r="N16">
        <f>_xll.acq_options_bjerksund_price(N$4,$C$5,$L16,$C$8,$C$9,$C$7,TRUE)</f>
        <v>4.8196393772779302</v>
      </c>
      <c r="O16">
        <f>_xll.acq_options_bjerksund_price(O$4,$C$5,$L16,$C$8,$C$9,$C$7,TRUE)</f>
        <v>8.7903539078867752</v>
      </c>
      <c r="P16">
        <f>_xll.acq_options_bjerksund_price(P$4,$C$5,$L16,$C$8,$C$9,$C$7,TRUE)</f>
        <v>14.212760516317701</v>
      </c>
      <c r="Q16">
        <f>_xll.acq_options_bjerksund_price(Q$4,$C$5,$L16,$C$8,$C$9,$C$7,TRUE)</f>
        <v>20.945897916596991</v>
      </c>
      <c r="R16">
        <f>_xll.acq_options_bjerksund_price(R$4,$C$5,$L16,$C$8,$C$9,$C$7,TRUE)</f>
        <v>28.742275367622042</v>
      </c>
      <c r="S16">
        <f>_xll.acq_options_bjerksund_price(S$4,$C$5,$L16,$C$8,$C$9,$C$7,TRUE)</f>
        <v>37.328517349387681</v>
      </c>
      <c r="U16" s="45">
        <v>0.6</v>
      </c>
      <c r="V16">
        <f>_xll.acq_options_bjerksund_price(V$4,$C$5,$U16,$C$8,$C$9,$C$7,FALSE)</f>
        <v>30.005345917754727</v>
      </c>
      <c r="W16">
        <f>_xll.acq_options_bjerksund_price(W$4,$C$5,$U16,$C$8,$C$9,$C$7,FALSE)</f>
        <v>21.176894025870496</v>
      </c>
      <c r="X16">
        <f>_xll.acq_options_bjerksund_price(X$4,$C$5,$U16,$C$8,$C$9,$C$7,FALSE)</f>
        <v>14.348187494698188</v>
      </c>
      <c r="Y16">
        <f>_xll.acq_options_bjerksund_price(Y$4,$C$5,$U16,$C$8,$C$9,$C$7,FALSE)</f>
        <v>9.3382092346537036</v>
      </c>
      <c r="Z16">
        <f>_xll.acq_options_bjerksund_price(Z$4,$C$5,$U16,$C$8,$C$9,$C$7,FALSE)</f>
        <v>5.8484237377127499</v>
      </c>
      <c r="AA16">
        <f>_xll.acq_options_bjerksund_price(AA$4,$C$5,$U16,$C$8,$C$9,$C$7,FALSE)</f>
        <v>3.5344479649784546</v>
      </c>
      <c r="AB16">
        <f>_xll.acq_options_bjerksund_price(AB$4,$C$5,$U16,$C$8,$C$9,$C$7,FALSE)</f>
        <v>2.068028069267541</v>
      </c>
    </row>
    <row r="17" spans="6:28" x14ac:dyDescent="0.25">
      <c r="F17">
        <v>130</v>
      </c>
      <c r="G17">
        <f>_xll.acq_options_bjerksund_price($C$4,F17,$C$6,$C$8,$C$9,$C$7,TRUE)</f>
        <v>4.0737494988621421</v>
      </c>
      <c r="H17">
        <f>_xll.acq_options_bjerksund_price($C$4,F17,$C$6,$C$8,$C$9,$C$7,FALSE)</f>
        <v>50</v>
      </c>
      <c r="I17">
        <f>_xll.acq_options_blackscholes_price($C$4,F17,$C$6,$C$8,$C$9,$C$7,TRUE)</f>
        <v>4.0737494988621421</v>
      </c>
      <c r="J17">
        <f>_xll.acq_options_blackscholes_price($C$4,F17,$C$6,$C$8,$C$9,$C$7,FALSE)</f>
        <v>35.965786434119664</v>
      </c>
      <c r="L17" s="45">
        <v>0.65</v>
      </c>
      <c r="M17">
        <f>_xll.acq_options_bjerksund_price(M$4,$C$5,$L17,$C$8,$C$9,$C$7,TRUE)</f>
        <v>2.5894915623839694</v>
      </c>
      <c r="N17">
        <f>_xll.acq_options_bjerksund_price(N$4,$C$5,$L17,$C$8,$C$9,$C$7,TRUE)</f>
        <v>5.3066791898033259</v>
      </c>
      <c r="O17">
        <f>_xll.acq_options_bjerksund_price(O$4,$C$5,$L17,$C$8,$C$9,$C$7,TRUE)</f>
        <v>9.4037218920352075</v>
      </c>
      <c r="P17">
        <f>_xll.acq_options_bjerksund_price(P$4,$C$5,$L17,$C$8,$C$9,$C$7,TRUE)</f>
        <v>14.899069131369856</v>
      </c>
      <c r="Q17">
        <f>_xll.acq_options_bjerksund_price(Q$4,$C$5,$L17,$C$8,$C$9,$C$7,TRUE)</f>
        <v>21.650489437910764</v>
      </c>
      <c r="R17">
        <f>_xll.acq_options_bjerksund_price(R$4,$C$5,$L17,$C$8,$C$9,$C$7,TRUE)</f>
        <v>29.424685054017914</v>
      </c>
      <c r="S17">
        <f>_xll.acq_options_bjerksund_price(S$4,$C$5,$L17,$C$8,$C$9,$C$7,TRUE)</f>
        <v>37.96725174397325</v>
      </c>
      <c r="U17" s="45">
        <v>0.65</v>
      </c>
      <c r="V17">
        <f>_xll.acq_options_bjerksund_price(V$4,$C$5,$U17,$C$8,$C$9,$C$7,FALSE)</f>
        <v>30.019387489338804</v>
      </c>
      <c r="W17">
        <f>_xll.acq_options_bjerksund_price(W$4,$C$5,$U17,$C$8,$C$9,$C$7,FALSE)</f>
        <v>21.322541467052218</v>
      </c>
      <c r="X17">
        <f>_xll.acq_options_bjerksund_price(X$4,$C$5,$U17,$C$8,$C$9,$C$7,FALSE)</f>
        <v>14.596441833137632</v>
      </c>
      <c r="Y17">
        <f>_xll.acq_options_bjerksund_price(Y$4,$C$5,$U17,$C$8,$C$9,$C$7,FALSE)</f>
        <v>9.637983728017673</v>
      </c>
      <c r="Z17">
        <f>_xll.acq_options_bjerksund_price(Z$4,$C$5,$U17,$C$8,$C$9,$C$7,FALSE)</f>
        <v>6.1495793862091972</v>
      </c>
      <c r="AA17">
        <f>_xll.acq_options_bjerksund_price(AA$4,$C$5,$U17,$C$8,$C$9,$C$7,FALSE)</f>
        <v>3.8014742129426224</v>
      </c>
      <c r="AB17">
        <f>_xll.acq_options_bjerksund_price(AB$4,$C$5,$U17,$C$8,$C$9,$C$7,FALSE)</f>
        <v>2.283627586778664</v>
      </c>
    </row>
    <row r="18" spans="6:28" x14ac:dyDescent="0.25">
      <c r="F18">
        <v>140</v>
      </c>
      <c r="G18">
        <f>_xll.acq_options_bjerksund_price($C$4,F18,$C$6,$C$8,$C$9,$C$7,TRUE)</f>
        <v>2.9787847831490559</v>
      </c>
      <c r="H18">
        <f>_xll.acq_options_bjerksund_price($C$4,F18,$C$6,$C$8,$C$9,$C$7,FALSE)</f>
        <v>60</v>
      </c>
      <c r="I18">
        <f>_xll.acq_options_blackscholes_price($C$4,F18,$C$6,$C$8,$C$9,$C$7,TRUE)</f>
        <v>2.9787847831490559</v>
      </c>
      <c r="J18">
        <f>_xll.acq_options_blackscholes_price($C$4,F18,$C$6,$C$8,$C$9,$C$7,FALSE)</f>
        <v>43.477901482657145</v>
      </c>
      <c r="L18" s="45">
        <v>0.7</v>
      </c>
      <c r="M18">
        <f>_xll.acq_options_bjerksund_price(M$4,$C$5,$L18,$C$8,$C$9,$C$7,TRUE)</f>
        <v>2.9261382049111546</v>
      </c>
      <c r="N18">
        <f>_xll.acq_options_bjerksund_price(N$4,$C$5,$L18,$C$8,$C$9,$C$7,TRUE)</f>
        <v>5.7895261989538227</v>
      </c>
      <c r="O18">
        <f>_xll.acq_options_bjerksund_price(O$4,$C$5,$L18,$C$8,$C$9,$C$7,TRUE)</f>
        <v>10.003226240717751</v>
      </c>
      <c r="P18">
        <f>_xll.acq_options_bjerksund_price(P$4,$C$5,$L18,$C$8,$C$9,$C$7,TRUE)</f>
        <v>15.566694650132135</v>
      </c>
      <c r="Q18">
        <f>_xll.acq_options_bjerksund_price(Q$4,$C$5,$L18,$C$8,$C$9,$C$7,TRUE)</f>
        <v>22.337304917691952</v>
      </c>
      <c r="R18">
        <f>_xll.acq_options_bjerksund_price(R$4,$C$5,$L18,$C$8,$C$9,$C$7,TRUE)</f>
        <v>30.094056827394681</v>
      </c>
      <c r="S18">
        <f>_xll.acq_options_bjerksund_price(S$4,$C$5,$L18,$C$8,$C$9,$C$7,TRUE)</f>
        <v>38.598827848734857</v>
      </c>
      <c r="U18" s="45">
        <v>0.7</v>
      </c>
      <c r="V18">
        <f>_xll.acq_options_bjerksund_price(V$4,$C$5,$U18,$C$8,$C$9,$C$7,FALSE)</f>
        <v>30.040155624016606</v>
      </c>
      <c r="W18">
        <f>_xll.acq_options_bjerksund_price(W$4,$C$5,$U18,$C$8,$C$9,$C$7,FALSE)</f>
        <v>21.465254318063465</v>
      </c>
      <c r="X18">
        <f>_xll.acq_options_bjerksund_price(X$4,$C$5,$U18,$C$8,$C$9,$C$7,FALSE)</f>
        <v>14.832578998839985</v>
      </c>
      <c r="Y18">
        <f>_xll.acq_options_bjerksund_price(Y$4,$C$5,$U18,$C$8,$C$9,$C$7,FALSE)</f>
        <v>9.9213379184106572</v>
      </c>
      <c r="Z18">
        <f>_xll.acq_options_bjerksund_price(Z$4,$C$5,$U18,$C$8,$C$9,$C$7,FALSE)</f>
        <v>6.435498641492515</v>
      </c>
      <c r="AA18">
        <f>_xll.acq_options_bjerksund_price(AA$4,$C$5,$U18,$C$8,$C$9,$C$7,FALSE)</f>
        <v>4.0580000145426993</v>
      </c>
      <c r="AB18">
        <f>_xll.acq_options_bjerksund_price(AB$4,$C$5,$U18,$C$8,$C$9,$C$7,FALSE)</f>
        <v>2.4944205008523568</v>
      </c>
    </row>
    <row r="19" spans="6:28" x14ac:dyDescent="0.25">
      <c r="F19">
        <v>150</v>
      </c>
      <c r="G19">
        <f>_xll.acq_options_bjerksund_price($C$4,F19,$C$6,$C$8,$C$9,$C$7,TRUE)</f>
        <v>2.1754439786033046</v>
      </c>
      <c r="H19">
        <f>_xll.acq_options_bjerksund_price($C$4,F19,$C$6,$C$8,$C$9,$C$7,FALSE)</f>
        <v>70</v>
      </c>
      <c r="I19">
        <f>_xll.acq_options_blackscholes_price($C$4,F19,$C$6,$C$8,$C$9,$C$7,TRUE)</f>
        <v>2.1754439786033046</v>
      </c>
      <c r="J19">
        <f>_xll.acq_options_blackscholes_price($C$4,F19,$C$6,$C$8,$C$9,$C$7,FALSE)</f>
        <v>51.281640442361976</v>
      </c>
      <c r="L19" s="45">
        <v>0.75</v>
      </c>
      <c r="M19">
        <f>_xll.acq_options_bjerksund_price(M$4,$C$5,$L19,$C$8,$C$9,$C$7,TRUE)</f>
        <v>3.2674848321699592</v>
      </c>
      <c r="N19">
        <f>_xll.acq_options_bjerksund_price(N$4,$C$5,$L19,$C$8,$C$9,$C$7,TRUE)</f>
        <v>6.2680054749935081</v>
      </c>
      <c r="O19">
        <f>_xll.acq_options_bjerksund_price(O$4,$C$5,$L19,$C$8,$C$9,$C$7,TRUE)</f>
        <v>10.590072787991147</v>
      </c>
      <c r="P19">
        <f>_xll.acq_options_bjerksund_price(P$4,$C$5,$L19,$C$8,$C$9,$C$7,TRUE)</f>
        <v>16.217527656802034</v>
      </c>
      <c r="Q19">
        <f>_xll.acq_options_bjerksund_price(Q$4,$C$5,$L19,$C$8,$C$9,$C$7,TRUE)</f>
        <v>23.007969973594484</v>
      </c>
      <c r="R19">
        <f>_xll.acq_options_bjerksund_price(R$4,$C$5,$L19,$C$8,$C$9,$C$7,TRUE)</f>
        <v>30.751176742698817</v>
      </c>
      <c r="S19">
        <f>_xll.acq_options_bjerksund_price(S$4,$C$5,$L19,$C$8,$C$9,$C$7,TRUE)</f>
        <v>39.223153452007978</v>
      </c>
      <c r="U19" s="45">
        <v>0.75</v>
      </c>
      <c r="V19">
        <f>_xll.acq_options_bjerksund_price(V$4,$C$5,$U19,$C$8,$C$9,$C$7,FALSE)</f>
        <v>30.066381381137603</v>
      </c>
      <c r="W19">
        <f>_xll.acq_options_bjerksund_price(W$4,$C$5,$U19,$C$8,$C$9,$C$7,FALSE)</f>
        <v>21.604822951440077</v>
      </c>
      <c r="X19">
        <f>_xll.acq_options_bjerksund_price(X$4,$C$5,$U19,$C$8,$C$9,$C$7,FALSE)</f>
        <v>15.057751545192005</v>
      </c>
      <c r="Y19">
        <f>_xll.acq_options_bjerksund_price(Y$4,$C$5,$U19,$C$8,$C$9,$C$7,FALSE)</f>
        <v>10.190075896726043</v>
      </c>
      <c r="Z19">
        <f>_xll.acq_options_bjerksund_price(Z$4,$C$5,$U19,$C$8,$C$9,$C$7,FALSE)</f>
        <v>6.7077131968609081</v>
      </c>
      <c r="AA19">
        <f>_xll.acq_options_bjerksund_price(AA$4,$C$5,$U19,$C$8,$C$9,$C$7,FALSE)</f>
        <v>4.3047394093293008</v>
      </c>
      <c r="AB19">
        <f>_xll.acq_options_bjerksund_price(AB$4,$C$5,$U19,$C$8,$C$9,$C$7,FALSE)</f>
        <v>2.7002771269771699</v>
      </c>
    </row>
    <row r="20" spans="6:28" x14ac:dyDescent="0.25">
      <c r="F20">
        <v>160</v>
      </c>
      <c r="G20">
        <f>_xll.acq_options_bjerksund_price($C$4,F20,$C$6,$C$8,$C$9,$C$7,TRUE)</f>
        <v>1.5884016046392393</v>
      </c>
      <c r="H20">
        <f>_xll.acq_options_bjerksund_price($C$4,F20,$C$6,$C$8,$C$9,$C$7,FALSE)</f>
        <v>80</v>
      </c>
      <c r="I20">
        <f>_xll.acq_options_blackscholes_price($C$4,F20,$C$6,$C$8,$C$9,$C$7,TRUE)</f>
        <v>1.5884016046392393</v>
      </c>
      <c r="J20">
        <f>_xll.acq_options_blackscholes_price($C$4,F20,$C$6,$C$8,$C$9,$C$7,FALSE)</f>
        <v>59.301677832648494</v>
      </c>
      <c r="L20" s="45">
        <v>0.8</v>
      </c>
      <c r="M20">
        <f>_xll.acq_options_bjerksund_price(M$4,$C$5,$L20,$C$8,$C$9,$C$7,TRUE)</f>
        <v>3.6124768739890207</v>
      </c>
      <c r="N20">
        <f>_xll.acq_options_bjerksund_price(N$4,$C$5,$L20,$C$8,$C$9,$C$7,TRUE)</f>
        <v>6.7420411793595392</v>
      </c>
      <c r="O20">
        <f>_xll.acq_options_bjerksund_price(O$4,$C$5,$L20,$C$8,$C$9,$C$7,TRUE)</f>
        <v>11.165296483907433</v>
      </c>
      <c r="P20">
        <f>_xll.acq_options_bjerksund_price(P$4,$C$5,$L20,$C$8,$C$9,$C$7,TRUE)</f>
        <v>16.853148675567766</v>
      </c>
      <c r="Q20">
        <f>_xll.acq_options_bjerksund_price(Q$4,$C$5,$L20,$C$8,$C$9,$C$7,TRUE)</f>
        <v>23.663868481596595</v>
      </c>
      <c r="R20">
        <f>_xll.acq_options_bjerksund_price(R$4,$C$5,$L20,$C$8,$C$9,$C$7,TRUE)</f>
        <v>31.396770872801753</v>
      </c>
      <c r="S20">
        <f>_xll.acq_options_bjerksund_price(S$4,$C$5,$L20,$C$8,$C$9,$C$7,TRUE)</f>
        <v>39.84023923718388</v>
      </c>
      <c r="U20" s="45">
        <v>0.8</v>
      </c>
      <c r="V20">
        <f>_xll.acq_options_bjerksund_price(V$4,$C$5,$U20,$C$8,$C$9,$C$7,FALSE)</f>
        <v>30.097033642388915</v>
      </c>
      <c r="W20">
        <f>_xll.acq_options_bjerksund_price(W$4,$C$5,$U20,$C$8,$C$9,$C$7,FALSE)</f>
        <v>21.741142139247827</v>
      </c>
      <c r="X20">
        <f>_xll.acq_options_bjerksund_price(X$4,$C$5,$U20,$C$8,$C$9,$C$7,FALSE)</f>
        <v>15.2729460671897</v>
      </c>
      <c r="Y20">
        <f>_xll.acq_options_bjerksund_price(Y$4,$C$5,$U20,$C$8,$C$9,$C$7,FALSE)</f>
        <v>10.445700309453485</v>
      </c>
      <c r="Z20">
        <f>_xll.acq_options_bjerksund_price(Z$4,$C$5,$U20,$C$8,$C$9,$C$7,FALSE)</f>
        <v>6.9675215419987353</v>
      </c>
      <c r="AA20">
        <f>_xll.acq_options_bjerksund_price(AA$4,$C$5,$U20,$C$8,$C$9,$C$7,FALSE)</f>
        <v>4.5423505649096114</v>
      </c>
      <c r="AB20">
        <f>_xll.acq_options_bjerksund_price(AB$4,$C$5,$U20,$C$8,$C$9,$C$7,FALSE)</f>
        <v>2.901169441243951</v>
      </c>
    </row>
    <row r="21" spans="6:28" x14ac:dyDescent="0.25">
      <c r="F21">
        <v>170</v>
      </c>
      <c r="G21">
        <f>_xll.acq_options_bjerksund_price($C$4,F21,$C$6,$C$8,$C$9,$C$7,TRUE)</f>
        <v>1.1604388542201924</v>
      </c>
      <c r="H21">
        <f>_xll.acq_options_bjerksund_price($C$4,F21,$C$6,$C$8,$C$9,$C$7,FALSE)</f>
        <v>90</v>
      </c>
      <c r="I21">
        <f>_xll.acq_options_blackscholes_price($C$4,F21,$C$6,$C$8,$C$9,$C$7,TRUE)</f>
        <v>1.1604388542201924</v>
      </c>
      <c r="J21">
        <f>_xll.acq_options_blackscholes_price($C$4,F21,$C$6,$C$8,$C$9,$C$7,FALSE)</f>
        <v>67.480794846480023</v>
      </c>
      <c r="L21" s="45">
        <v>0.85</v>
      </c>
      <c r="M21">
        <f>_xll.acq_options_bjerksund_price(M$4,$C$5,$L21,$C$8,$C$9,$C$7,TRUE)</f>
        <v>3.9602630344811658</v>
      </c>
      <c r="N21">
        <f>_xll.acq_options_bjerksund_price(N$4,$C$5,$L21,$C$8,$C$9,$C$7,TRUE)</f>
        <v>7.2116233487736707</v>
      </c>
      <c r="O21">
        <f>_xll.acq_options_bjerksund_price(O$4,$C$5,$L21,$C$8,$C$9,$C$7,TRUE)</f>
        <v>11.729793010426683</v>
      </c>
      <c r="P21">
        <f>_xll.acq_options_bjerksund_price(P$4,$C$5,$L21,$C$8,$C$9,$C$7,TRUE)</f>
        <v>17.474895089987953</v>
      </c>
      <c r="Q21">
        <f>_xll.acq_options_bjerksund_price(Q$4,$C$5,$L21,$C$8,$C$9,$C$7,TRUE)</f>
        <v>24.30618987808279</v>
      </c>
      <c r="R21">
        <f>_xll.acq_options_bjerksund_price(R$4,$C$5,$L21,$C$8,$C$9,$C$7,TRUE)</f>
        <v>32.031505908628986</v>
      </c>
      <c r="S21">
        <f>_xll.acq_options_bjerksund_price(S$4,$C$5,$L21,$C$8,$C$9,$C$7,TRUE)</f>
        <v>40.450163738127458</v>
      </c>
      <c r="U21" s="45">
        <v>0.85</v>
      </c>
      <c r="V21">
        <f>_xll.acq_options_bjerksund_price(V$4,$C$5,$U21,$C$8,$C$9,$C$7,FALSE)</f>
        <v>30.131271677953357</v>
      </c>
      <c r="W21">
        <f>_xll.acq_options_bjerksund_price(W$4,$C$5,$U21,$C$8,$C$9,$C$7,FALSE)</f>
        <v>21.874176704910447</v>
      </c>
      <c r="X21">
        <f>_xll.acq_options_bjerksund_price(X$4,$C$5,$U21,$C$8,$C$9,$C$7,FALSE)</f>
        <v>15.479014206765569</v>
      </c>
      <c r="Y21">
        <f>_xll.acq_options_bjerksund_price(Y$4,$C$5,$U21,$C$8,$C$9,$C$7,FALSE)</f>
        <v>10.689478061153395</v>
      </c>
      <c r="Z21">
        <f>_xll.acq_options_bjerksund_price(Z$4,$C$5,$U21,$C$8,$C$9,$C$7,FALSE)</f>
        <v>7.2160351309845367</v>
      </c>
      <c r="AA21">
        <f>_xll.acq_options_bjerksund_price(AA$4,$C$5,$U21,$C$8,$C$9,$C$7,FALSE)</f>
        <v>4.7714361792330635</v>
      </c>
      <c r="AB21">
        <f>_xll.acq_options_bjerksund_price(AB$4,$C$5,$U21,$C$8,$C$9,$C$7,FALSE)</f>
        <v>3.0971367888594727</v>
      </c>
    </row>
    <row r="22" spans="6:28" x14ac:dyDescent="0.25">
      <c r="L22" s="45">
        <v>0.9</v>
      </c>
      <c r="M22">
        <f>_xll.acq_options_bjerksund_price(M$4,$C$5,$L22,$C$8,$C$9,$C$7,TRUE)</f>
        <v>4.3101513048814297</v>
      </c>
      <c r="N22">
        <f>_xll.acq_options_bjerksund_price(N$4,$C$5,$L22,$C$8,$C$9,$C$7,TRUE)</f>
        <v>7.6767857701179167</v>
      </c>
      <c r="O22">
        <f>_xll.acq_options_bjerksund_price(O$4,$C$5,$L22,$C$8,$C$9,$C$7,TRUE)</f>
        <v>12.284343387420471</v>
      </c>
      <c r="P22">
        <f>_xll.acq_options_bjerksund_price(P$4,$C$5,$L22,$C$8,$C$9,$C$7,TRUE)</f>
        <v>18.08391056175634</v>
      </c>
      <c r="Q22">
        <f>_xll.acq_options_bjerksund_price(Q$4,$C$5,$L22,$C$8,$C$9,$C$7,TRUE)</f>
        <v>24.935965259353111</v>
      </c>
      <c r="R22">
        <f>_xll.acq_options_bjerksund_price(R$4,$C$5,$L22,$C$8,$C$9,$C$7,TRUE)</f>
        <v>32.655992303727814</v>
      </c>
      <c r="S22">
        <f>_xll.acq_options_bjerksund_price(S$4,$C$5,$L22,$C$8,$C$9,$C$7,TRUE)</f>
        <v>41.053049648774646</v>
      </c>
      <c r="U22" s="45">
        <v>0.9</v>
      </c>
      <c r="V22">
        <f>_xll.acq_options_bjerksund_price(V$4,$C$5,$U22,$C$8,$C$9,$C$7,FALSE)</f>
        <v>30.168407147610274</v>
      </c>
      <c r="W22">
        <f>_xll.acq_options_bjerksund_price(W$4,$C$5,$U22,$C$8,$C$9,$C$7,FALSE)</f>
        <v>22.003938547541125</v>
      </c>
      <c r="X22">
        <f>_xll.acq_options_bjerksund_price(X$4,$C$5,$U22,$C$8,$C$9,$C$7,FALSE)</f>
        <v>15.676696740899636</v>
      </c>
      <c r="Y22">
        <f>_xll.acq_options_bjerksund_price(Y$4,$C$5,$U22,$C$8,$C$9,$C$7,FALSE)</f>
        <v>10.922488741216739</v>
      </c>
      <c r="Z22">
        <f>_xll.acq_options_bjerksund_price(Z$4,$C$5,$U22,$C$8,$C$9,$C$7,FALSE)</f>
        <v>7.4542135528883051</v>
      </c>
      <c r="AA22">
        <f>_xll.acq_options_bjerksund_price(AA$4,$C$5,$U22,$C$8,$C$9,$C$7,FALSE)</f>
        <v>4.992546402492394</v>
      </c>
      <c r="AB22">
        <f>_xll.acq_options_bjerksund_price(AB$4,$C$5,$U22,$C$8,$C$9,$C$7,FALSE)</f>
        <v>3.2882627227475894</v>
      </c>
    </row>
    <row r="23" spans="6:28" x14ac:dyDescent="0.25">
      <c r="L23" s="45">
        <v>0.95</v>
      </c>
      <c r="M23">
        <f>_xll.acq_options_bjerksund_price(M$4,$C$5,$L23,$C$8,$C$9,$C$7,TRUE)</f>
        <v>4.661575584393109</v>
      </c>
      <c r="N23">
        <f>_xll.acq_options_bjerksund_price(N$4,$C$5,$L23,$C$8,$C$9,$C$7,TRUE)</f>
        <v>8.1375910346079934</v>
      </c>
      <c r="O23">
        <f>_xll.acq_options_bjerksund_price(O$4,$C$5,$L23,$C$8,$C$9,$C$7,TRUE)</f>
        <v>12.829633338382564</v>
      </c>
      <c r="P23">
        <f>_xll.acq_options_bjerksund_price(P$4,$C$5,$L23,$C$8,$C$9,$C$7,TRUE)</f>
        <v>18.681182237692596</v>
      </c>
      <c r="Q23">
        <f>_xll.acq_options_bjerksund_price(Q$4,$C$5,$L23,$C$8,$C$9,$C$7,TRUE)</f>
        <v>25.554095338976467</v>
      </c>
      <c r="R23">
        <f>_xll.acq_options_bjerksund_price(R$4,$C$5,$L23,$C$8,$C$9,$C$7,TRUE)</f>
        <v>33.270788508861145</v>
      </c>
      <c r="S23">
        <f>_xll.acq_options_bjerksund_price(S$4,$C$5,$L23,$C$8,$C$9,$C$7,TRUE)</f>
        <v>41.649047657149481</v>
      </c>
      <c r="U23" s="45">
        <v>0.95</v>
      </c>
      <c r="V23">
        <f>_xll.acq_options_bjerksund_price(V$4,$C$5,$U23,$C$8,$C$9,$C$7,FALSE)</f>
        <v>30.207874016497883</v>
      </c>
      <c r="W23">
        <f>_xll.acq_options_bjerksund_price(W$4,$C$5,$U23,$C$8,$C$9,$C$7,FALSE)</f>
        <v>22.130471052706028</v>
      </c>
      <c r="X23">
        <f>_xll.acq_options_bjerksund_price(X$4,$C$5,$U23,$C$8,$C$9,$C$7,FALSE)</f>
        <v>15.866642505105219</v>
      </c>
      <c r="Y23">
        <f>_xll.acq_options_bjerksund_price(Y$4,$C$5,$U23,$C$8,$C$9,$C$7,FALSE)</f>
        <v>11.14566101178896</v>
      </c>
      <c r="Z23">
        <f>_xll.acq_options_bjerksund_price(Z$4,$C$5,$U23,$C$8,$C$9,$C$7,FALSE)</f>
        <v>7.6828917175824216</v>
      </c>
      <c r="AA23">
        <f>_xll.acq_options_bjerksund_price(AA$4,$C$5,$U23,$C$8,$C$9,$C$7,FALSE)</f>
        <v>5.2061828422575331</v>
      </c>
      <c r="AB23">
        <f>_xll.acq_options_bjerksund_price(AB$4,$C$5,$U23,$C$8,$C$9,$C$7,FALSE)</f>
        <v>3.4746592085344616</v>
      </c>
    </row>
    <row r="24" spans="6:28" x14ac:dyDescent="0.25">
      <c r="L24" s="45">
        <v>1</v>
      </c>
      <c r="M24">
        <f>_xll.acq_options_bjerksund_price(M$4,$C$5,$L24,$C$8,$C$9,$C$7,TRUE)</f>
        <v>5.0140701174890125</v>
      </c>
      <c r="N24">
        <f>_xll.acq_options_bjerksund_price(N$4,$C$5,$L24,$C$8,$C$9,$C$7,TRUE)</f>
        <v>8.5941203285764018</v>
      </c>
      <c r="O24">
        <f>_xll.acq_options_bjerksund_price(O$4,$C$5,$L24,$C$8,$C$9,$C$7,TRUE)</f>
        <v>13.366268694943344</v>
      </c>
      <c r="P24">
        <f>_xll.acq_options_bjerksund_price(P$4,$C$5,$L24,$C$8,$C$9,$C$7,TRUE)</f>
        <v>19.267569242584131</v>
      </c>
      <c r="Q24">
        <f>_xll.acq_options_bjerksund_price(Q$4,$C$5,$L24,$C$8,$C$9,$C$7,TRUE)</f>
        <v>26.161372388767646</v>
      </c>
      <c r="R24">
        <f>_xll.acq_options_bjerksund_price(R$4,$C$5,$L24,$C$8,$C$9,$C$7,TRUE)</f>
        <v>33.876405530139706</v>
      </c>
      <c r="S24">
        <f>_xll.acq_options_bjerksund_price(S$4,$C$5,$L24,$C$8,$C$9,$C$7,TRUE)</f>
        <v>42.238325339292729</v>
      </c>
      <c r="U24" s="45">
        <v>1</v>
      </c>
      <c r="V24">
        <f>_xll.acq_options_bjerksund_price(V$4,$C$5,$U24,$C$8,$C$9,$C$7,FALSE)</f>
        <v>30.249204819926547</v>
      </c>
      <c r="W24">
        <f>_xll.acq_options_bjerksund_price(W$4,$C$5,$U24,$C$8,$C$9,$C$7,FALSE)</f>
        <v>22.253838391226381</v>
      </c>
      <c r="X24">
        <f>_xll.acq_options_bjerksund_price(X$4,$C$5,$U24,$C$8,$C$9,$C$7,FALSE)</f>
        <v>16.049423418172978</v>
      </c>
      <c r="Y24">
        <f>_xll.acq_options_bjerksund_price(Y$4,$C$5,$U24,$C$8,$C$9,$C$7,FALSE)</f>
        <v>11.359800416866619</v>
      </c>
      <c r="Z24">
        <f>_xll.acq_options_bjerksund_price(Z$4,$C$5,$U24,$C$8,$C$9,$C$7,FALSE)</f>
        <v>7.902801148209889</v>
      </c>
      <c r="AA24">
        <f>_xll.acq_options_bjerksund_price(AA$4,$C$5,$U24,$C$8,$C$9,$C$7,FALSE)</f>
        <v>5.412802895372181</v>
      </c>
      <c r="AB24">
        <f>_xll.acq_options_bjerksund_price(AB$4,$C$5,$U24,$C$8,$C$9,$C$7,FALSE)</f>
        <v>3.6564557766512564</v>
      </c>
    </row>
    <row r="26" spans="6:28" x14ac:dyDescent="0.25">
      <c r="V26" s="46"/>
      <c r="W26" s="46"/>
      <c r="X26" s="46"/>
      <c r="Y26" s="46"/>
    </row>
    <row r="27" spans="6:28" x14ac:dyDescent="0.25"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9" t="s">
        <v>145</v>
      </c>
      <c r="H30" s="59"/>
      <c r="I30" s="59"/>
      <c r="J30" s="59"/>
      <c r="K30" s="59"/>
      <c r="L30" s="59"/>
      <c r="M30" s="59"/>
      <c r="N30" s="59"/>
      <c r="S30" s="59" t="s">
        <v>146</v>
      </c>
      <c r="T30" s="59"/>
      <c r="U30" s="59"/>
      <c r="V30" s="59"/>
      <c r="W30" s="59"/>
      <c r="X30" s="59"/>
      <c r="Y30" s="59"/>
      <c r="Z30" s="59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_xll.acq_options_bjerksund_greeks(G$31,$F32,$C$5,$C$6,$C$8,$C$9,$C$7,TRUE)</f>
        <v>6.9465073166143299</v>
      </c>
      <c r="H32">
        <f>_xll.acq_options_bjerksund_greeks(H$31,$F32,$C$5,$C$6,$C$8,$C$9,$C$7,TRUE)</f>
        <v>0.3268460935125006</v>
      </c>
      <c r="I32">
        <f>_xll.acq_options_bjerksund_greeks(I$31,$F32,$C$5,$C$6,$C$8,$C$9,$C$7,TRUE)</f>
        <v>9.1262654301260664E-3</v>
      </c>
      <c r="J32">
        <f>_xll.acq_options_bjerksund_greeks(J$31,$F32,$C$5,$C$6,$C$8,$C$9,$C$7,TRUE)</f>
        <v>57.039015191614645</v>
      </c>
      <c r="K32">
        <f>_xll.acq_options_bjerksund_greeks(K$31,$F32,$C$5,$C$6,$C$8,$C$9,$C$7,TRUE)</f>
        <v>86.385122070709031</v>
      </c>
      <c r="L32">
        <f>_xll.acq_options_bjerksund_greeks(L$31,$F32,$C$5,$C$6,$C$8,$C$9,$C$7,TRUE)</f>
        <v>1.2177808335067652</v>
      </c>
      <c r="M32">
        <f>_xll.acq_options_bjerksund_greeks(M$31,$F32,$C$5,$C$6,$C$8,$C$9,$C$7,TRUE)</f>
        <v>64.345349058148926</v>
      </c>
      <c r="N32">
        <f>_xll.acq_options_bjerksund_greeks(N$31,$F32,$C$5,$C$6,$C$8,$C$9,$C$7,TRUE)</f>
        <v>-4.3961104729248746</v>
      </c>
      <c r="R32" s="13">
        <v>100</v>
      </c>
      <c r="S32">
        <f>_xll.acq_options_blackscholes_greeks(S$31,$F32,$C$5,$C$6,$C$8,$C$9,$C$7,FALSE)</f>
        <v>36.052703780372994</v>
      </c>
      <c r="T32">
        <f>_xll.acq_options_blackscholes_greeks(T$31,$F32,$C$5,$C$6,$C$8,$C$9,$C$7,TRUE)</f>
        <v>0.32684607298191365</v>
      </c>
      <c r="U32">
        <f>_xll.acq_options_blackscholes_greeks(U$31,$F32,$C$5,$C$6,$C$8,$C$9,$C$7,TRUE)</f>
        <v>9.1262703877350686E-3</v>
      </c>
      <c r="V32">
        <f>_xll.acq_options_blackscholes_greeks(V$31,$F32,$C$5,$C$6,$C$8,$C$9,$C$7,TRUE)</f>
        <v>57.039189923344175</v>
      </c>
      <c r="W32">
        <f>_xll.acq_options_blackscholes_greeks(W$31,$F32,$C$5,$C$6,$C$8,$C$9,$C$7,TRUE)</f>
        <v>86.384027279888585</v>
      </c>
      <c r="X32">
        <f>_xll.acq_options_blackscholes_greeks(X$31,$F32,$C$5,$C$6,$C$8,$C$9,$C$7,TRUE)</f>
        <v>1.2177734101075526</v>
      </c>
      <c r="Y32">
        <f>_xll.acq_options_blackscholes_greeks(Y$31,$F32,$C$5,$C$6,$C$8,$C$9,$C$7,TRUE)</f>
        <v>64.345249953942599</v>
      </c>
      <c r="Z32">
        <f>_xll.acq_options_blackscholes_greeks(Z$31,$F32,$C$5,$C$6,$C$8,$C$9,$C$7,TRUE)</f>
        <v>-4.396245495061831</v>
      </c>
    </row>
    <row r="33" spans="6:28" x14ac:dyDescent="0.25">
      <c r="F33" s="13">
        <v>110</v>
      </c>
      <c r="G33">
        <f>_xll.acq_options_bjerksund_greeks(G$31,$F33,$C$5,$C$6,$C$8,$C$9,$C$7,TRUE)</f>
        <v>10.670991424465527</v>
      </c>
      <c r="H33">
        <f>_xll.acq_options_bjerksund_greeks(H$31,$F33,$C$5,$C$6,$C$8,$C$9,$C$7,TRUE)</f>
        <v>0.41780136890236269</v>
      </c>
      <c r="I33">
        <f>_xll.acq_options_bjerksund_greeks(I$31,$F33,$C$5,$C$6,$C$8,$C$9,$C$7,TRUE)</f>
        <v>8.9795735371161998E-3</v>
      </c>
      <c r="J33">
        <f>_xll.acq_options_bjerksund_greeks(J$31,$F33,$C$5,$C$6,$C$8,$C$9,$C$7,TRUE)</f>
        <v>67.90796371146962</v>
      </c>
      <c r="K33">
        <f>_xll.acq_options_bjerksund_greeks(K$31,$F33,$C$5,$C$6,$C$8,$C$9,$C$7,TRUE)</f>
        <v>33.980461068949808</v>
      </c>
      <c r="L33">
        <f>_xll.acq_options_bjerksund_greeks(L$31,$F33,$C$5,$C$6,$C$8,$C$9,$C$7,TRUE)</f>
        <v>0.94145537055112527</v>
      </c>
      <c r="M33">
        <f>_xll.acq_options_bjerksund_greeks(M$31,$F33,$C$5,$C$6,$C$8,$C$9,$C$7,TRUE)</f>
        <v>88.217876881071078</v>
      </c>
      <c r="N33">
        <f>_xll.acq_options_bjerksund_greeks(N$31,$F33,$C$5,$C$6,$C$8,$C$9,$C$7,TRUE)</f>
        <v>-5.5126909344025421</v>
      </c>
      <c r="R33" s="13">
        <v>110</v>
      </c>
      <c r="S33">
        <f>_xll.acq_options_blackscholes_greeks(S$31,$F33,$C$5,$C$6,$C$8,$C$9,$C$7,TRUE)</f>
        <v>10.670991424465527</v>
      </c>
      <c r="T33">
        <f>_xll.acq_options_blackscholes_greeks(T$31,$F33,$C$5,$C$6,$C$8,$C$9,$C$7,TRUE)</f>
        <v>0.41780144710065253</v>
      </c>
      <c r="U33">
        <f>_xll.acq_options_blackscholes_greeks(U$31,$F33,$C$5,$C$6,$C$8,$C$9,$C$7,TRUE)</f>
        <v>8.9795778027757234E-3</v>
      </c>
      <c r="V33">
        <f>_xll.acq_options_blackscholes_greeks(V$31,$F33,$C$5,$C$6,$C$8,$C$9,$C$7,TRUE)</f>
        <v>67.908057133491425</v>
      </c>
      <c r="W33">
        <f>_xll.acq_options_blackscholes_greeks(W$31,$F33,$C$5,$C$6,$C$8,$C$9,$C$7,TRUE)</f>
        <v>33.979819173289677</v>
      </c>
      <c r="X33">
        <f>_xll.acq_options_blackscholes_greeks(X$31,$F33,$C$5,$C$6,$C$8,$C$9,$C$7,TRUE)</f>
        <v>0.94144738821942553</v>
      </c>
      <c r="Y33">
        <f>_xll.acq_options_blackscholes_greeks(Y$31,$F33,$C$5,$C$6,$C$8,$C$9,$C$7,TRUE)</f>
        <v>88.217919391515636</v>
      </c>
      <c r="Z33">
        <f>_xll.acq_options_blackscholes_greeks(Z$31,$F33,$C$5,$C$6,$C$8,$C$9,$C$7,TRUE)</f>
        <v>-5.5126329220709458</v>
      </c>
    </row>
    <row r="34" spans="6:28" x14ac:dyDescent="0.25">
      <c r="F34" s="13">
        <v>120</v>
      </c>
      <c r="G34">
        <f>_xll.acq_options_bjerksund_greeks(G$31,$F34,$C$5,$C$6,$C$8,$C$9,$C$7,TRUE)</f>
        <v>15.289908007775914</v>
      </c>
      <c r="H34">
        <f>_xll.acq_options_bjerksund_greeks(H$31,$F34,$C$5,$C$6,$C$8,$C$9,$C$7,TRUE)</f>
        <v>0.5050272354453138</v>
      </c>
      <c r="I34">
        <f>_xll.acq_options_bjerksund_greeks(I$31,$F34,$C$5,$C$6,$C$8,$C$9,$C$7,TRUE)</f>
        <v>8.4097708994177213E-3</v>
      </c>
      <c r="J34">
        <f>_xll.acq_options_bjerksund_greeks(J$31,$F34,$C$5,$C$6,$C$8,$C$9,$C$7,TRUE)</f>
        <v>75.687936620806013</v>
      </c>
      <c r="K34">
        <f>_xll.acq_options_bjerksund_greeks(K$31,$F34,$C$5,$C$6,$C$8,$C$9,$C$7,TRUE)</f>
        <v>-1.4598946549426728</v>
      </c>
      <c r="L34">
        <f>_xll.acq_options_bjerksund_greeks(L$31,$F34,$C$5,$C$6,$C$8,$C$9,$C$7,TRUE)</f>
        <v>0.61062898559782752</v>
      </c>
      <c r="M34">
        <f>_xll.acq_options_bjerksund_greeks(M$31,$F34,$C$5,$C$6,$C$8,$C$9,$C$7,TRUE)</f>
        <v>113.28324526480316</v>
      </c>
      <c r="N34">
        <f>_xll.acq_options_bjerksund_greeks(N$31,$F34,$C$5,$C$6,$C$8,$C$9,$C$7,TRUE)</f>
        <v>-6.5034522182330079</v>
      </c>
      <c r="R34" s="13">
        <v>120</v>
      </c>
      <c r="S34">
        <f>_xll.acq_options_blackscholes_greeks(S$31,$F34,$C$5,$C$6,$C$8,$C$9,$C$7,TRUE)</f>
        <v>15.289908007775914</v>
      </c>
      <c r="T34">
        <f>_xll.acq_options_blackscholes_greeks(T$31,$F34,$C$5,$C$6,$C$8,$C$9,$C$7,TRUE)</f>
        <v>0.50502740900274612</v>
      </c>
      <c r="U34">
        <f>_xll.acq_options_blackscholes_greeks(U$31,$F34,$C$5,$C$6,$C$8,$C$9,$C$7,TRUE)</f>
        <v>8.4097739147731311E-3</v>
      </c>
      <c r="V34">
        <f>_xll.acq_options_blackscholes_greeks(V$31,$F34,$C$5,$C$6,$C$8,$C$9,$C$7,TRUE)</f>
        <v>75.687965232958177</v>
      </c>
      <c r="W34">
        <f>_xll.acq_options_blackscholes_greeks(W$31,$F34,$C$5,$C$6,$C$8,$C$9,$C$7,TRUE)</f>
        <v>-1.4600613476523561</v>
      </c>
      <c r="X34">
        <f>_xll.acq_options_blackscholes_greeks(X$31,$F34,$C$5,$C$6,$C$8,$C$9,$C$7,TRUE)</f>
        <v>0.61062447214452564</v>
      </c>
      <c r="Y34">
        <f>_xll.acq_options_blackscholes_greeks(Y$31,$F34,$C$5,$C$6,$C$8,$C$9,$C$7,TRUE)</f>
        <v>113.28345268138406</v>
      </c>
      <c r="Z34">
        <f>_xll.acq_options_blackscholes_greeks(Z$31,$F34,$C$5,$C$6,$C$8,$C$9,$C$7,TRUE)</f>
        <v>-6.5032011260011258</v>
      </c>
    </row>
    <row r="35" spans="6:28" x14ac:dyDescent="0.25">
      <c r="F35" s="13">
        <v>130</v>
      </c>
      <c r="G35">
        <f>_xll.acq_options_bjerksund_greeks(G$31,$F35,$C$5,$C$6,$C$8,$C$9,$C$7,TRUE)</f>
        <v>20.747698559422354</v>
      </c>
      <c r="H35">
        <f>_xll.acq_options_bjerksund_greeks(H$31,$F35,$C$5,$C$6,$C$8,$C$9,$C$7,TRUE)</f>
        <v>0.58515350692318269</v>
      </c>
      <c r="I35">
        <f>_xll.acq_options_bjerksund_greeks(I$31,$F35,$C$5,$C$6,$C$8,$C$9,$C$7,TRUE)</f>
        <v>7.5859506784061075E-3</v>
      </c>
      <c r="J35">
        <f>_xll.acq_options_bjerksund_greeks(J$31,$F35,$C$5,$C$6,$C$8,$C$9,$C$7,TRUE)</f>
        <v>80.126612325319186</v>
      </c>
      <c r="K35">
        <f>_xll.acq_options_bjerksund_greeks(K$31,$F35,$C$5,$C$6,$C$8,$C$9,$C$7,TRUE)</f>
        <v>-12.422145211132829</v>
      </c>
      <c r="L35">
        <f>_xll.acq_options_bjerksund_greeks(L$31,$F35,$C$5,$C$6,$C$8,$C$9,$C$7,TRUE)</f>
        <v>0.28096376603059525</v>
      </c>
      <c r="M35">
        <f>_xll.acq_options_bjerksund_greeks(M$31,$F35,$C$5,$C$6,$C$8,$C$9,$C$7,TRUE)</f>
        <v>138.30535437384484</v>
      </c>
      <c r="N35">
        <f>_xll.acq_options_bjerksund_greeks(N$31,$F35,$C$5,$C$6,$C$8,$C$9,$C$7,TRUE)</f>
        <v>-7.3260842762152834</v>
      </c>
      <c r="R35" s="13">
        <v>130</v>
      </c>
      <c r="S35">
        <f>_xll.acq_options_blackscholes_greeks(S$31,$F35,$C$5,$C$6,$C$8,$C$9,$C$7,TRUE)</f>
        <v>20.747698559422354</v>
      </c>
      <c r="T35">
        <f>_xll.acq_options_blackscholes_greeks(T$31,$F35,$C$5,$C$6,$C$8,$C$9,$C$7,TRUE)</f>
        <v>0.58515376072374226</v>
      </c>
      <c r="U35">
        <f>_xll.acq_options_blackscholes_greeks(U$31,$F35,$C$5,$C$6,$C$8,$C$9,$C$7,TRUE)</f>
        <v>7.5859522410552452E-3</v>
      </c>
      <c r="V35">
        <f>_xll.acq_options_blackscholes_greeks(V$31,$F35,$C$5,$C$6,$C$8,$C$9,$C$7,TRUE)</f>
        <v>80.126620546146029</v>
      </c>
      <c r="W35">
        <f>_xll.acq_options_blackscholes_greeks(W$31,$F35,$C$5,$C$6,$C$8,$C$9,$C$7,TRUE)</f>
        <v>-12.422148732776144</v>
      </c>
      <c r="X35">
        <f>_xll.acq_options_blackscholes_greeks(X$31,$F35,$C$5,$C$6,$C$8,$C$9,$C$7,TRUE)</f>
        <v>0.28096424105724838</v>
      </c>
      <c r="Y35">
        <f>_xll.acq_options_blackscholes_greeks(Y$31,$F35,$C$5,$C$6,$C$8,$C$9,$C$7,TRUE)</f>
        <v>138.30572583666037</v>
      </c>
      <c r="Z35">
        <f>_xll.acq_options_blackscholes_greeks(Z$31,$F35,$C$5,$C$6,$C$8,$C$9,$C$7,TRUE)</f>
        <v>-7.3256684473871498</v>
      </c>
    </row>
    <row r="36" spans="6:28" x14ac:dyDescent="0.25">
      <c r="F36" s="13">
        <v>140</v>
      </c>
      <c r="G36">
        <f>_xll.acq_options_bjerksund_greeks(G$31,$F36,$C$5,$C$6,$C$8,$C$9,$C$7,TRUE)</f>
        <v>26.963148585682376</v>
      </c>
      <c r="H36">
        <f>_xll.acq_options_bjerksund_greeks(H$31,$F36,$C$5,$C$6,$C$8,$C$9,$C$7,TRUE)</f>
        <v>0.65636959541244255</v>
      </c>
      <c r="I36">
        <f>_xll.acq_options_bjerksund_greeks(I$31,$F36,$C$5,$C$6,$C$8,$C$9,$C$7,TRUE)</f>
        <v>6.6478239983142392E-3</v>
      </c>
      <c r="J36">
        <f>_xll.acq_options_bjerksund_greeks(J$31,$F36,$C$5,$C$6,$C$8,$C$9,$C$7,TRUE)</f>
        <v>81.435810228910483</v>
      </c>
      <c r="K36">
        <f>_xll.acq_options_bjerksund_greeks(K$31,$F36,$C$5,$C$6,$C$8,$C$9,$C$7,TRUE)</f>
        <v>0.95636991659375781</v>
      </c>
      <c r="L36">
        <f>_xll.acq_options_bjerksund_greeks(L$31,$F36,$C$5,$C$6,$C$8,$C$9,$C$7,TRUE)</f>
        <v>-1.0734343192098095E-2</v>
      </c>
      <c r="M36">
        <f>_xll.acq_options_bjerksund_greeks(M$31,$F36,$C$5,$C$6,$C$8,$C$9,$C$7,TRUE)</f>
        <v>162.32108070906293</v>
      </c>
      <c r="N36">
        <f>_xll.acq_options_bjerksund_greeks(N$31,$F36,$C$5,$C$6,$C$8,$C$9,$C$7,TRUE)</f>
        <v>-7.9680478346091377</v>
      </c>
      <c r="R36" s="13">
        <v>140</v>
      </c>
      <c r="S36">
        <f>_xll.acq_options_blackscholes_greeks(S$31,$F36,$C$5,$C$6,$C$8,$C$9,$C$7,TRUE)</f>
        <v>26.963148585682376</v>
      </c>
      <c r="T36">
        <f>_xll.acq_options_blackscholes_greeks(T$31,$F36,$C$5,$C$6,$C$8,$C$9,$C$7,TRUE)</f>
        <v>0.65636990850526189</v>
      </c>
      <c r="U36">
        <f>_xll.acq_options_blackscholes_greeks(U$31,$F36,$C$5,$C$6,$C$8,$C$9,$C$7,TRUE)</f>
        <v>6.6478241690909289E-3</v>
      </c>
      <c r="V36">
        <f>_xll.acq_options_blackscholes_greeks(V$31,$F36,$C$5,$C$6,$C$8,$C$9,$C$7,TRUE)</f>
        <v>81.435846071363898</v>
      </c>
      <c r="W36">
        <f>_xll.acq_options_blackscholes_greeks(W$31,$F36,$C$5,$C$6,$C$8,$C$9,$C$7,TRUE)</f>
        <v>0.9561516787806924</v>
      </c>
      <c r="X36">
        <f>_xll.acq_options_blackscholes_greeks(X$31,$F36,$C$5,$C$6,$C$8,$C$9,$C$7,TRUE)</f>
        <v>-1.0729534808983428E-2</v>
      </c>
      <c r="Y36">
        <f>_xll.acq_options_blackscholes_greeks(Y$31,$F36,$C$5,$C$6,$C$8,$C$9,$C$7,TRUE)</f>
        <v>162.32159651263572</v>
      </c>
      <c r="Z36">
        <f>_xll.acq_options_blackscholes_greeks(Z$31,$F36,$C$5,$C$6,$C$8,$C$9,$C$7,TRUE)</f>
        <v>-7.9675106198714509</v>
      </c>
    </row>
    <row r="37" spans="6:28" x14ac:dyDescent="0.25">
      <c r="F37" s="13">
        <v>150</v>
      </c>
      <c r="G37">
        <f>_xll.acq_options_bjerksund_greeks(G$31,$F37,$C$5,$C$6,$C$8,$C$9,$C$7,TRUE)</f>
        <v>33.843283885988228</v>
      </c>
      <c r="H37">
        <f>_xll.acq_options_bjerksund_greeks(H$31,$F37,$C$5,$C$6,$C$8,$C$9,$C$7,TRUE)</f>
        <v>0.71806899097599819</v>
      </c>
      <c r="I37">
        <f>_xll.acq_options_bjerksund_greeks(I$31,$F37,$C$5,$C$6,$C$8,$C$9,$C$7,TRUE)</f>
        <v>5.6962004950694084E-3</v>
      </c>
      <c r="J37">
        <f>_xll.acq_options_bjerksund_greeks(J$31,$F37,$C$5,$C$6,$C$8,$C$9,$C$7,TRUE)</f>
        <v>80.10270710024507</v>
      </c>
      <c r="K37">
        <f>_xll.acq_options_bjerksund_greeks(K$31,$F37,$C$5,$C$6,$C$8,$C$9,$C$7,TRUE)</f>
        <v>33.623827917494964</v>
      </c>
      <c r="L37">
        <f>_xll.acq_options_bjerksund_greeks(L$31,$F37,$C$5,$C$6,$C$8,$C$9,$C$7,TRUE)</f>
        <v>-0.24565594003433944</v>
      </c>
      <c r="M37">
        <f>_xll.acq_options_bjerksund_greeks(M$31,$F37,$C$5,$C$6,$C$8,$C$9,$C$7,TRUE)</f>
        <v>184.66716458091526</v>
      </c>
      <c r="N37">
        <f>_xll.acq_options_bjerksund_greeks(N$31,$F37,$C$5,$C$6,$C$8,$C$9,$C$7,TRUE)</f>
        <v>-8.4377790046801238</v>
      </c>
      <c r="R37" s="13">
        <v>150</v>
      </c>
      <c r="S37">
        <f>_xll.acq_options_blackscholes_greeks(S$31,$F37,$C$5,$C$6,$C$8,$C$9,$C$7,TRUE)</f>
        <v>33.843283885988228</v>
      </c>
      <c r="T37">
        <f>_xll.acq_options_blackscholes_greeks(T$31,$F37,$C$5,$C$6,$C$8,$C$9,$C$7,TRUE)</f>
        <v>0.71806934129200195</v>
      </c>
      <c r="U37">
        <f>_xll.acq_options_blackscholes_greeks(U$31,$F37,$C$5,$C$6,$C$8,$C$9,$C$7,TRUE)</f>
        <v>5.6961994931021389E-3</v>
      </c>
      <c r="V37">
        <f>_xll.acq_options_blackscholes_greeks(V$31,$F37,$C$5,$C$6,$C$8,$C$9,$C$7,TRUE)</f>
        <v>80.102805371748843</v>
      </c>
      <c r="W37">
        <f>_xll.acq_options_blackscholes_greeks(W$31,$F37,$C$5,$C$6,$C$8,$C$9,$C$7,TRUE)</f>
        <v>33.623152554791588</v>
      </c>
      <c r="X37">
        <f>_xll.acq_options_blackscholes_greeks(X$31,$F37,$C$5,$C$6,$C$8,$C$9,$C$7,TRUE)</f>
        <v>-0.24564860314002981</v>
      </c>
      <c r="Y37">
        <f>_xll.acq_options_blackscholes_greeks(Y$31,$F37,$C$5,$C$6,$C$8,$C$9,$C$7,TRUE)</f>
        <v>184.66779326953019</v>
      </c>
      <c r="Z37">
        <f>_xll.acq_options_blackscholes_greeks(Z$31,$F37,$C$5,$C$6,$C$8,$C$9,$C$7,TRUE)</f>
        <v>-8.4371673070561659</v>
      </c>
    </row>
    <row r="38" spans="6:28" x14ac:dyDescent="0.25">
      <c r="F38" s="13">
        <v>160</v>
      </c>
      <c r="G38">
        <f>_xll.acq_options_bjerksund_greeks(G$31,$F38,$C$5,$C$6,$C$8,$C$9,$C$7,TRUE)</f>
        <v>41.293476619733852</v>
      </c>
      <c r="H38">
        <f>_xll.acq_options_bjerksund_greeks(H$31,$F38,$C$5,$C$6,$C$8,$C$9,$C$7,TRUE)</f>
        <v>0.77046692467108713</v>
      </c>
      <c r="I38">
        <f>_xll.acq_options_bjerksund_greeks(I$31,$F38,$C$5,$C$6,$C$8,$C$9,$C$7,TRUE)</f>
        <v>4.79563496913471E-3</v>
      </c>
      <c r="J38">
        <f>_xll.acq_options_bjerksund_greeks(J$31,$F38,$C$5,$C$6,$C$8,$C$9,$C$7,TRUE)</f>
        <v>76.72995380617202</v>
      </c>
      <c r="K38">
        <f>_xll.acq_options_bjerksund_greeks(K$31,$F38,$C$5,$C$6,$C$8,$C$9,$C$7,TRUE)</f>
        <v>78.422079397455491</v>
      </c>
      <c r="L38">
        <f>_xll.acq_options_bjerksund_greeks(L$31,$F38,$C$5,$C$6,$C$8,$C$9,$C$7,TRUE)</f>
        <v>-0.41868886668794403</v>
      </c>
      <c r="M38">
        <f>_xll.acq_options_bjerksund_greeks(M$31,$F38,$C$5,$C$6,$C$8,$C$9,$C$7,TRUE)</f>
        <v>204.95252024268495</v>
      </c>
      <c r="N38">
        <f>_xll.acq_options_bjerksund_greeks(N$31,$F38,$C$5,$C$6,$C$8,$C$9,$C$7,TRUE)</f>
        <v>-8.7560273361475538</v>
      </c>
      <c r="R38" s="13">
        <v>160</v>
      </c>
      <c r="S38">
        <f>_xll.acq_options_blackscholes_greeks(S$31,$F38,$C$5,$C$6,$C$8,$C$9,$C$7,TRUE)</f>
        <v>41.293476619733852</v>
      </c>
      <c r="T38">
        <f>_xll.acq_options_blackscholes_greeks(T$31,$F38,$C$5,$C$6,$C$8,$C$9,$C$7,TRUE)</f>
        <v>0.77046729208634823</v>
      </c>
      <c r="U38">
        <f>_xll.acq_options_blackscholes_greeks(U$31,$F38,$C$5,$C$6,$C$8,$C$9,$C$7,TRUE)</f>
        <v>4.7956330789171607E-3</v>
      </c>
      <c r="V38">
        <f>_xll.acq_options_blackscholes_greeks(V$31,$F38,$C$5,$C$6,$C$8,$C$9,$C$7,TRUE)</f>
        <v>76.730129262674581</v>
      </c>
      <c r="W38">
        <f>_xll.acq_options_blackscholes_greeks(W$31,$F38,$C$5,$C$6,$C$8,$C$9,$C$7,TRUE)</f>
        <v>78.420915452756077</v>
      </c>
      <c r="X38">
        <f>_xll.acq_options_blackscholes_greeks(X$31,$F38,$C$5,$C$6,$C$8,$C$9,$C$7,TRUE)</f>
        <v>-0.41868108440249696</v>
      </c>
      <c r="Y38">
        <f>_xll.acq_options_blackscholes_greeks(Y$31,$F38,$C$5,$C$6,$C$8,$C$9,$C$7,TRUE)</f>
        <v>204.95322528520464</v>
      </c>
      <c r="Z38">
        <f>_xll.acq_options_blackscholes_greeks(Z$31,$F38,$C$5,$C$6,$C$8,$C$9,$C$7,TRUE)</f>
        <v>-8.7553838699786404</v>
      </c>
    </row>
    <row r="39" spans="6:28" x14ac:dyDescent="0.25">
      <c r="F39" s="13">
        <v>170</v>
      </c>
      <c r="G39">
        <f>_xll.acq_options_bjerksund_greeks(G$31,$F39,$C$5,$C$6,$C$8,$C$9,$C$7,TRUE)</f>
        <v>49.223965014857257</v>
      </c>
      <c r="H39">
        <f>_xll.acq_options_bjerksund_greeks(H$31,$F39,$C$5,$C$6,$C$8,$C$9,$C$7,TRUE)</f>
        <v>0.81427344747298736</v>
      </c>
      <c r="I39">
        <f>_xll.acq_options_bjerksund_greeks(I$31,$F39,$C$5,$C$6,$C$8,$C$9,$C$7,TRUE)</f>
        <v>3.9819350326845719E-3</v>
      </c>
      <c r="J39">
        <f>_xll.acq_options_bjerksund_greeks(J$31,$F39,$C$5,$C$6,$C$8,$C$9,$C$7,TRUE)</f>
        <v>71.923408359353346</v>
      </c>
      <c r="K39">
        <f>_xll.acq_options_bjerksund_greeks(K$31,$F39,$C$5,$C$6,$C$8,$C$9,$C$7,TRUE)</f>
        <v>128.17288842370544</v>
      </c>
      <c r="L39">
        <f>_xll.acq_options_bjerksund_greeks(L$31,$F39,$C$5,$C$6,$C$8,$C$9,$C$7,TRUE)</f>
        <v>-0.53352951212559674</v>
      </c>
      <c r="M39">
        <f>_xll.acq_options_bjerksund_greeks(M$31,$F39,$C$5,$C$6,$C$8,$C$9,$C$7,TRUE)</f>
        <v>223.00571402836766</v>
      </c>
      <c r="N39">
        <f>_xll.acq_options_bjerksund_greeks(N$31,$F39,$C$5,$C$6,$C$8,$C$9,$C$7,TRUE)</f>
        <v>-8.9489786358427637</v>
      </c>
      <c r="R39" s="13">
        <v>170</v>
      </c>
      <c r="S39">
        <f>_xll.acq_options_blackscholes_greeks(S$31,$F39,$C$5,$C$6,$C$8,$C$9,$C$7,TRUE)</f>
        <v>49.223965014857257</v>
      </c>
      <c r="T39">
        <f>_xll.acq_options_blackscholes_greeks(T$31,$F39,$C$5,$C$6,$C$8,$C$9,$C$7,TRUE)</f>
        <v>0.81427381538855603</v>
      </c>
      <c r="U39">
        <f>_xll.acq_options_blackscholes_greeks(U$31,$F39,$C$5,$C$6,$C$8,$C$9,$C$7,TRUE)</f>
        <v>3.9819325455787945E-3</v>
      </c>
      <c r="V39">
        <f>_xll.acq_options_blackscholes_greeks(V$31,$F39,$C$5,$C$6,$C$8,$C$9,$C$7,TRUE)</f>
        <v>71.923656604516992</v>
      </c>
      <c r="W39">
        <f>_xll.acq_options_blackscholes_greeks(W$31,$F39,$C$5,$C$6,$C$8,$C$9,$C$7,TRUE)</f>
        <v>128.17138928403224</v>
      </c>
      <c r="X39">
        <f>_xll.acq_options_blackscholes_greeks(X$31,$F39,$C$5,$C$6,$C$8,$C$9,$C$7,TRUE)</f>
        <v>-0.53352296402129529</v>
      </c>
      <c r="Y39">
        <f>_xll.acq_options_blackscholes_greeks(Y$31,$F39,$C$5,$C$6,$C$8,$C$9,$C$7,TRUE)</f>
        <v>223.00645900299318</v>
      </c>
      <c r="Z39">
        <f>_xll.acq_options_blackscholes_greeks(Z$31,$F39,$C$5,$C$6,$C$8,$C$9,$C$7,TRUE)</f>
        <v>-8.9483378462976866</v>
      </c>
    </row>
    <row r="40" spans="6:28" x14ac:dyDescent="0.25">
      <c r="F40" s="13">
        <v>180</v>
      </c>
      <c r="G40">
        <f>_xll.acq_options_bjerksund_greeks(G$31,$F40,$C$5,$C$6,$C$8,$C$9,$C$7,TRUE)</f>
        <v>57.553503651408207</v>
      </c>
      <c r="H40">
        <f>_xll.acq_options_bjerksund_greeks(H$31,$F40,$C$5,$C$6,$C$8,$C$9,$C$7,TRUE)</f>
        <v>0.85044765298296143</v>
      </c>
      <c r="I40">
        <f>_xll.acq_options_bjerksund_greeks(I$31,$F40,$C$5,$C$6,$C$8,$C$9,$C$7,TRUE)</f>
        <v>3.2704165161449674E-3</v>
      </c>
      <c r="J40">
        <f>_xll.acq_options_bjerksund_greeks(J$31,$F40,$C$5,$C$6,$C$8,$C$9,$C$7,TRUE)</f>
        <v>66.225574551161458</v>
      </c>
      <c r="K40">
        <f>_xll.acq_options_bjerksund_greeks(K$31,$F40,$C$5,$C$6,$C$8,$C$9,$C$7,TRUE)</f>
        <v>176.88777818136714</v>
      </c>
      <c r="L40">
        <f>_xll.acq_options_bjerksund_greeks(L$31,$F40,$C$5,$C$6,$C$8,$C$9,$C$7,TRUE)</f>
        <v>-0.59856029821503398</v>
      </c>
      <c r="M40">
        <f>_xll.acq_options_bjerksund_greeks(M$31,$F40,$C$5,$C$6,$C$8,$C$9,$C$7,TRUE)</f>
        <v>238.81709281342722</v>
      </c>
      <c r="N40">
        <f>_xll.acq_options_bjerksund_greeks(N$31,$F40,$C$5,$C$6,$C$8,$C$9,$C$7,TRUE)</f>
        <v>-9.0435353515800898</v>
      </c>
      <c r="R40" s="13">
        <v>180</v>
      </c>
      <c r="S40">
        <f>_xll.acq_options_blackscholes_greeks(S$31,$F40,$C$5,$C$6,$C$8,$C$9,$C$7,TRUE)</f>
        <v>57.553503651408207</v>
      </c>
      <c r="T40">
        <f>_xll.acq_options_blackscholes_greeks(T$31,$F40,$C$5,$C$6,$C$8,$C$9,$C$7,TRUE)</f>
        <v>0.85044800882270322</v>
      </c>
      <c r="U40">
        <f>_xll.acq_options_blackscholes_greeks(U$31,$F40,$C$5,$C$6,$C$8,$C$9,$C$7,TRUE)</f>
        <v>3.2704136877450621E-3</v>
      </c>
      <c r="V40">
        <f>_xll.acq_options_blackscholes_greeks(V$31,$F40,$C$5,$C$6,$C$8,$C$9,$C$7,TRUE)</f>
        <v>66.225877176837514</v>
      </c>
      <c r="W40">
        <f>_xll.acq_options_blackscholes_greeks(W$31,$F40,$C$5,$C$6,$C$8,$C$9,$C$7,TRUE)</f>
        <v>176.88620519164158</v>
      </c>
      <c r="X40">
        <f>_xll.acq_options_blackscholes_greeks(X$31,$F40,$C$5,$C$6,$C$8,$C$9,$C$7,TRUE)</f>
        <v>-0.59855608707596197</v>
      </c>
      <c r="Y40">
        <f>_xll.acq_options_blackscholes_greeks(Y$31,$F40,$C$5,$C$6,$C$8,$C$9,$C$7,TRUE)</f>
        <v>238.81784484169597</v>
      </c>
      <c r="Z40">
        <f>_xll.acq_options_blackscholes_greeks(Z$31,$F40,$C$5,$C$6,$C$8,$C$9,$C$7,TRUE)</f>
        <v>-9.0429221350425788</v>
      </c>
    </row>
    <row r="41" spans="6:28" x14ac:dyDescent="0.25">
      <c r="F41" s="13">
        <v>190</v>
      </c>
      <c r="G41">
        <f>_xll.acq_options_bjerksund_greeks(G$31,$F41,$C$5,$C$6,$C$8,$C$9,$C$7,TRUE)</f>
        <v>66.21095473086649</v>
      </c>
      <c r="H41">
        <f>_xll.acq_options_bjerksund_greeks(H$31,$F41,$C$5,$C$6,$C$8,$C$9,$C$7,TRUE)</f>
        <v>0.8800297568994534</v>
      </c>
      <c r="I41">
        <f>_xll.acq_options_bjerksund_greeks(I$31,$F41,$C$5,$C$6,$C$8,$C$9,$C$7,TRUE)</f>
        <v>2.6630418502196673E-3</v>
      </c>
      <c r="J41">
        <f>_xll.acq_options_bjerksund_greeks(J$31,$F41,$C$5,$C$6,$C$8,$C$9,$C$7,TRUE)</f>
        <v>60.084483868145298</v>
      </c>
      <c r="K41">
        <f>_xll.acq_options_bjerksund_greeks(K$31,$F41,$C$5,$C$6,$C$8,$C$9,$C$7,TRUE)</f>
        <v>220.25636792477599</v>
      </c>
      <c r="L41">
        <f>_xll.acq_options_bjerksund_greeks(L$31,$F41,$C$5,$C$6,$C$8,$C$9,$C$7,TRUE)</f>
        <v>-0.62389944588403523</v>
      </c>
      <c r="M41">
        <f>_xll.acq_options_bjerksund_greeks(M$31,$F41,$C$5,$C$6,$C$8,$C$9,$C$7,TRUE)</f>
        <v>252.48617522344574</v>
      </c>
      <c r="N41">
        <f>_xll.acq_options_bjerksund_greeks(N$31,$F41,$C$5,$C$6,$C$8,$C$9,$C$7,TRUE)</f>
        <v>-9.0644962948260854</v>
      </c>
      <c r="R41" s="13">
        <v>190</v>
      </c>
      <c r="S41">
        <f>_xll.acq_options_blackscholes_greeks(S$31,$F41,$C$5,$C$6,$C$8,$C$9,$C$7,TRUE)</f>
        <v>66.21095473086649</v>
      </c>
      <c r="T41">
        <f>_xll.acq_options_blackscholes_greeks(T$31,$F41,$C$5,$C$6,$C$8,$C$9,$C$7,TRUE)</f>
        <v>0.88003009193149673</v>
      </c>
      <c r="U41">
        <f>_xll.acq_options_blackscholes_greeks(U$31,$F41,$C$5,$C$6,$C$8,$C$9,$C$7,TRUE)</f>
        <v>2.6630388852266315E-3</v>
      </c>
      <c r="V41">
        <f>_xll.acq_options_blackscholes_greeks(V$31,$F41,$C$5,$C$6,$C$8,$C$9,$C$7,TRUE)</f>
        <v>60.084814847925891</v>
      </c>
      <c r="W41">
        <f>_xll.acq_options_blackscholes_greeks(W$31,$F41,$C$5,$C$6,$C$8,$C$9,$C$7,TRUE)</f>
        <v>220.2550068361071</v>
      </c>
      <c r="X41">
        <f>_xll.acq_options_blackscholes_greeks(X$31,$F41,$C$5,$C$6,$C$8,$C$9,$C$7,TRUE)</f>
        <v>-0.62389800519785743</v>
      </c>
      <c r="Y41">
        <f>_xll.acq_options_blackscholes_greeks(Y$31,$F41,$C$5,$C$6,$C$8,$C$9,$C$7,TRUE)</f>
        <v>252.48690684029469</v>
      </c>
      <c r="Z41">
        <f>_xll.acq_options_blackscholes_greeks(Z$31,$F41,$C$5,$C$6,$C$8,$C$9,$C$7,TRUE)</f>
        <v>-9.0639265065633676</v>
      </c>
    </row>
    <row r="42" spans="6:28" x14ac:dyDescent="0.25">
      <c r="F42" s="13">
        <v>200</v>
      </c>
      <c r="G42">
        <f>_xll.acq_options_bjerksund_greeks(G$31,$F42,$C$5,$C$6,$C$8,$C$9,$C$7,TRUE)</f>
        <v>75.135529709478263</v>
      </c>
      <c r="H42">
        <f>_xll.acq_options_bjerksund_greeks(H$31,$F42,$C$5,$C$6,$C$8,$C$9,$C$7,TRUE)</f>
        <v>0.90403626538762438</v>
      </c>
      <c r="I42">
        <f>_xll.acq_options_bjerksund_greeks(I$31,$F42,$C$5,$C$6,$C$8,$C$9,$C$7,TRUE)</f>
        <v>2.1538728482539678E-3</v>
      </c>
      <c r="J42">
        <f>_xll.acq_options_bjerksund_greeks(J$31,$F42,$C$5,$C$6,$C$8,$C$9,$C$7,TRUE)</f>
        <v>53.846416141126902</v>
      </c>
      <c r="K42">
        <f>_xll.acq_options_bjerksund_greeks(K$31,$F42,$C$5,$C$6,$C$8,$C$9,$C$7,TRUE)</f>
        <v>255.65606844679678</v>
      </c>
      <c r="L42">
        <f>_xll.acq_options_bjerksund_greeks(L$31,$F42,$C$5,$C$6,$C$8,$C$9,$C$7,TRUE)</f>
        <v>-0.61955002905733636</v>
      </c>
      <c r="M42">
        <f>_xll.acq_options_bjerksund_greeks(M$31,$F42,$C$5,$C$6,$C$8,$C$9,$C$7,TRUE)</f>
        <v>264.17877299539327</v>
      </c>
      <c r="N42">
        <f>_xll.acq_options_bjerksund_greeks(N$31,$F42,$C$5,$C$6,$C$8,$C$9,$C$7,TRUE)</f>
        <v>-9.0331625947186467</v>
      </c>
      <c r="R42" s="13">
        <v>200</v>
      </c>
      <c r="S42">
        <f>_xll.acq_options_blackscholes_greeks(S$31,$F42,$C$5,$C$6,$C$8,$C$9,$C$7,TRUE)</f>
        <v>75.135529709478263</v>
      </c>
      <c r="T42">
        <f>_xll.acq_options_blackscholes_greeks(T$31,$F42,$C$5,$C$6,$C$8,$C$9,$C$7,TRUE)</f>
        <v>0.90403657419288219</v>
      </c>
      <c r="U42">
        <f>_xll.acq_options_blackscholes_greeks(U$31,$F42,$C$5,$C$6,$C$8,$C$9,$C$7,TRUE)</f>
        <v>2.1538699034187587E-3</v>
      </c>
      <c r="V42">
        <f>_xll.acq_options_blackscholes_greeks(V$31,$F42,$C$5,$C$6,$C$8,$C$9,$C$7,TRUE)</f>
        <v>53.846747585468975</v>
      </c>
      <c r="W42">
        <f>_xll.acq_options_blackscholes_greeks(W$31,$F42,$C$5,$C$6,$C$8,$C$9,$C$7,TRUE)</f>
        <v>255.655164365107</v>
      </c>
      <c r="X42">
        <f>_xll.acq_options_blackscholes_greeks(X$31,$F42,$C$5,$C$6,$C$8,$C$9,$C$7,TRUE)</f>
        <v>-0.61955132553219894</v>
      </c>
      <c r="Y42">
        <f>_xll.acq_options_blackscholes_greeks(Y$31,$F42,$C$5,$C$6,$C$8,$C$9,$C$7,TRUE)</f>
        <v>264.17946282274545</v>
      </c>
      <c r="Z42">
        <f>_xll.acq_options_blackscholes_greeks(Z$31,$F42,$C$5,$C$6,$C$8,$C$9,$C$7,TRUE)</f>
        <v>-9.0326444870193399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9" t="s">
        <v>148</v>
      </c>
      <c r="H45" s="59"/>
      <c r="I45" s="59"/>
      <c r="J45" s="59"/>
      <c r="K45" s="59"/>
      <c r="L45" s="59"/>
      <c r="M45" s="59"/>
      <c r="N45" s="59"/>
      <c r="S45" s="59" t="s">
        <v>147</v>
      </c>
      <c r="T45" s="59"/>
      <c r="U45" s="59"/>
      <c r="V45" s="59"/>
      <c r="W45" s="59"/>
      <c r="X45" s="59"/>
      <c r="Y45" s="59"/>
      <c r="Z45" s="59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_xll.acq_options_bjerksund_greeks(G$31,$F47,$C$5,$C$6,$C$8,$C$9,$C$7,FALSE)</f>
        <v>50</v>
      </c>
      <c r="H47">
        <f>_xll.acq_options_bjerksund_greeks(H$31,$F47,$C$5,$C$6,$C$8,$C$9,$C$7,FALSE)</f>
        <v>-0.99999999999994316</v>
      </c>
      <c r="I47">
        <f>_xll.acq_options_bjerksund_greeks(I$31,$F47,$C$5,$C$6,$C$8,$C$9,$C$7,FALSE)</f>
        <v>0</v>
      </c>
      <c r="J47">
        <f>_xll.acq_options_bjerksund_greeks(J$31,$F47,$C$5,$C$6,$C$8,$C$9,$C$7,FALSE)</f>
        <v>0</v>
      </c>
      <c r="K47">
        <f>_xll.acq_options_bjerksund_greeks(K$31,$F47,$C$5,$C$6,$C$8,$C$9,$C$7,FALSE)</f>
        <v>0</v>
      </c>
      <c r="L47">
        <f>_xll.acq_options_bjerksund_greeks(L$31,$F47,$C$5,$C$6,$C$8,$C$9,$C$7,FALSE)</f>
        <v>0</v>
      </c>
      <c r="M47">
        <f>_xll.acq_options_bjerksund_greeks(M$31,$F47,$C$5,$C$6,$C$8,$C$9,$C$7,FALSE)</f>
        <v>0</v>
      </c>
      <c r="N47">
        <f>_xll.acq_options_bjerksund_greeks(N$31,$F47,$C$5,$C$6,$C$8,$C$9,$C$7,FALSE)</f>
        <v>0</v>
      </c>
      <c r="R47" s="13">
        <v>100</v>
      </c>
      <c r="S47">
        <f>_xll.acq_options_blackscholes_greeks(S$31,$F47,$C$5,$C$6,$C$8,$C$9,$C$7,FALSE)</f>
        <v>36.052703780372994</v>
      </c>
      <c r="T47">
        <f>_xll.acq_options_blackscholes_greeks(T$31,$F47,$C$5,$C$6,$C$8,$C$9,$C$7,FALSE)</f>
        <v>-0.67315392701808641</v>
      </c>
      <c r="U47">
        <f>_xll.acq_options_blackscholes_greeks(U$31,$F47,$C$5,$C$6,$C$8,$C$9,$C$7,FALSE)</f>
        <v>9.1262703877350686E-3</v>
      </c>
      <c r="V47">
        <f>_xll.acq_options_blackscholes_greeks(V$31,$F47,$C$5,$C$6,$C$8,$C$9,$C$7,FALSE)</f>
        <v>57.039189923344175</v>
      </c>
      <c r="W47">
        <f>_xll.acq_options_blackscholes_greeks(W$31,$F47,$C$5,$C$6,$C$8,$C$9,$C$7,FALSE)</f>
        <v>86.384027279888585</v>
      </c>
      <c r="X47">
        <f>_xll.acq_options_blackscholes_greeks(X$31,$F47,$C$5,$C$6,$C$8,$C$9,$C$7,FALSE)</f>
        <v>1.2177734101075526</v>
      </c>
      <c r="Y47">
        <f>_xll.acq_options_blackscholes_greeks(Y$31,$F47,$C$5,$C$6,$C$8,$C$9,$C$7,FALSE)</f>
        <v>-258.42024120545409</v>
      </c>
      <c r="Z47">
        <f>_xll.acq_options_blackscholes_greeks(Z$31,$F47,$C$5,$C$6,$C$8,$C$9,$C$7,FALSE)</f>
        <v>3.3501262927636892</v>
      </c>
    </row>
    <row r="48" spans="6:28" x14ac:dyDescent="0.25">
      <c r="F48" s="13">
        <v>110</v>
      </c>
      <c r="G48">
        <f>_xll.acq_options_bjerksund_greeks(G$31,$F48,$C$5,$C$6,$C$8,$C$9,$C$7,FALSE)</f>
        <v>40.017066978067525</v>
      </c>
      <c r="H48">
        <f>_xll.acq_options_bjerksund_greeks(H$31,$F48,$C$5,$C$6,$C$8,$C$9,$C$7,FALSE)</f>
        <v>-0.95246216733655009</v>
      </c>
      <c r="I48">
        <f>_xll.acq_options_bjerksund_greeks(I$31,$F48,$C$5,$C$6,$C$8,$C$9,$C$7,FALSE)</f>
        <v>2.3058284080496545E-2</v>
      </c>
      <c r="J48">
        <f>_xll.acq_options_bjerksund_greeks(J$31,$F48,$C$5,$C$6,$C$8,$C$9,$C$7,FALSE)</f>
        <v>9.1474885001438988</v>
      </c>
      <c r="K48">
        <f>_xll.acq_options_bjerksund_greeks(K$31,$F48,$C$5,$C$6,$C$8,$C$9,$C$7,FALSE)</f>
        <v>913.89568926558695</v>
      </c>
      <c r="L48">
        <f>_xll.acq_options_bjerksund_greeks(L$31,$F48,$C$5,$C$6,$C$8,$C$9,$C$7,FALSE)</f>
        <v>4.6375371098861251</v>
      </c>
      <c r="M48">
        <f>_xll.acq_options_bjerksund_greeks(M$31,$F48,$C$5,$C$6,$C$8,$C$9,$C$7,FALSE)</f>
        <v>-14.261240529549468</v>
      </c>
      <c r="N48">
        <f>_xll.acq_options_bjerksund_greeks(N$31,$F48,$C$5,$C$6,$C$8,$C$9,$C$7,FALSE)</f>
        <v>-0.11525349011520802</v>
      </c>
      <c r="R48" s="13">
        <v>110</v>
      </c>
      <c r="S48">
        <f>_xll.acq_options_blackscholes_greeks(S$31,$F48,$C$5,$C$6,$C$8,$C$9,$C$7,FALSE)</f>
        <v>29.777187888224191</v>
      </c>
      <c r="T48">
        <f>_xll.acq_options_blackscholes_greeks(T$31,$F48,$C$5,$C$6,$C$8,$C$9,$C$7,FALSE)</f>
        <v>-0.58219855289934752</v>
      </c>
      <c r="U48">
        <f>_xll.acq_options_blackscholes_greeks(U$31,$F48,$C$5,$C$6,$C$8,$C$9,$C$7,FALSE)</f>
        <v>8.9795778027757234E-3</v>
      </c>
      <c r="V48">
        <f>_xll.acq_options_blackscholes_greeks(V$31,$F48,$C$5,$C$6,$C$8,$C$9,$C$7,FALSE)</f>
        <v>67.908057133491425</v>
      </c>
      <c r="W48">
        <f>_xll.acq_options_blackscholes_greeks(W$31,$F48,$C$5,$C$6,$C$8,$C$9,$C$7,FALSE)</f>
        <v>33.979819173289677</v>
      </c>
      <c r="X48">
        <f>_xll.acq_options_blackscholes_greeks(X$31,$F48,$C$5,$C$6,$C$8,$C$9,$C$7,FALSE)</f>
        <v>0.94144738821942553</v>
      </c>
      <c r="Y48">
        <f>_xll.acq_options_blackscholes_greeks(Y$31,$F48,$C$5,$C$6,$C$8,$C$9,$C$7,FALSE)</f>
        <v>-234.54757176788104</v>
      </c>
      <c r="Z48">
        <f>_xll.acq_options_blackscholes_greeks(Z$31,$F48,$C$5,$C$6,$C$8,$C$9,$C$7,FALSE)</f>
        <v>2.233738865754574</v>
      </c>
    </row>
    <row r="49" spans="6:26" x14ac:dyDescent="0.25">
      <c r="F49" s="13">
        <v>120</v>
      </c>
      <c r="G49">
        <f>_xll.acq_options_bjerksund_greeks(G$31,$F49,$C$5,$C$6,$C$8,$C$9,$C$7,FALSE)</f>
        <v>31.551537480264027</v>
      </c>
      <c r="H49">
        <f>_xll.acq_options_bjerksund_greeks(H$31,$F49,$C$5,$C$6,$C$8,$C$9,$C$7,FALSE)</f>
        <v>-0.74929285224634157</v>
      </c>
      <c r="I49">
        <f>_xll.acq_options_bjerksund_greeks(I$31,$F49,$C$5,$C$6,$C$8,$C$9,$C$7,FALSE)</f>
        <v>1.7856142876403348E-2</v>
      </c>
      <c r="J49">
        <f>_xll.acq_options_bjerksund_greeks(J$31,$F49,$C$5,$C$6,$C$8,$C$9,$C$7,FALSE)</f>
        <v>45.691085413423551</v>
      </c>
      <c r="K49">
        <f>_xll.acq_options_bjerksund_greeks(K$31,$F49,$C$5,$C$6,$C$8,$C$9,$C$7,FALSE)</f>
        <v>411.8373345320947</v>
      </c>
      <c r="L49">
        <f>_xll.acq_options_bjerksund_greeks(L$31,$F49,$C$5,$C$6,$C$8,$C$9,$C$7,FALSE)</f>
        <v>2.7927849330922072</v>
      </c>
      <c r="M49">
        <f>_xll.acq_options_bjerksund_greeks(M$31,$F49,$C$5,$C$6,$C$8,$C$9,$C$7,FALSE)</f>
        <v>-63.868170326660589</v>
      </c>
      <c r="N49">
        <f>_xll.acq_options_bjerksund_greeks(N$31,$F49,$C$5,$C$6,$C$8,$C$9,$C$7,FALSE)</f>
        <v>-0.75195685286999492</v>
      </c>
      <c r="R49" s="13">
        <v>120</v>
      </c>
      <c r="S49">
        <f>_xll.acq_options_blackscholes_greeks(S$31,$F49,$C$5,$C$6,$C$8,$C$9,$C$7,FALSE)</f>
        <v>24.396104471534578</v>
      </c>
      <c r="T49">
        <f>_xll.acq_options_blackscholes_greeks(T$31,$F49,$C$5,$C$6,$C$8,$C$9,$C$7,FALSE)</f>
        <v>-0.49497259099725383</v>
      </c>
      <c r="U49">
        <f>_xll.acq_options_blackscholes_greeks(U$31,$F49,$C$5,$C$6,$C$8,$C$9,$C$7,FALSE)</f>
        <v>8.4097739147731311E-3</v>
      </c>
      <c r="V49">
        <f>_xll.acq_options_blackscholes_greeks(V$31,$F49,$C$5,$C$6,$C$8,$C$9,$C$7,FALSE)</f>
        <v>75.687965232958177</v>
      </c>
      <c r="W49">
        <f>_xll.acq_options_blackscholes_greeks(W$31,$F49,$C$5,$C$6,$C$8,$C$9,$C$7,FALSE)</f>
        <v>-1.4600613476523561</v>
      </c>
      <c r="X49">
        <f>_xll.acq_options_blackscholes_greeks(X$31,$F49,$C$5,$C$6,$C$8,$C$9,$C$7,FALSE)</f>
        <v>0.61062447214452564</v>
      </c>
      <c r="Y49">
        <f>_xll.acq_options_blackscholes_greeks(Y$31,$F49,$C$5,$C$6,$C$8,$C$9,$C$7,FALSE)</f>
        <v>-209.48203847801261</v>
      </c>
      <c r="Z49">
        <f>_xll.acq_options_blackscholes_greeks(Z$31,$F49,$C$5,$C$6,$C$8,$C$9,$C$7,FALSE)</f>
        <v>1.2431706618243941</v>
      </c>
    </row>
    <row r="50" spans="6:26" x14ac:dyDescent="0.25">
      <c r="F50" s="13">
        <v>130</v>
      </c>
      <c r="G50">
        <f>_xll.acq_options_bjerksund_greeks(G$31,$F50,$C$5,$C$6,$C$8,$C$9,$C$7,FALSE)</f>
        <v>24.882702630293402</v>
      </c>
      <c r="H50">
        <f>_xll.acq_options_bjerksund_greeks(H$31,$F50,$C$5,$C$6,$C$8,$C$9,$C$7,FALSE)</f>
        <v>-0.59088408867811359</v>
      </c>
      <c r="I50">
        <f>_xll.acq_options_bjerksund_greeks(I$31,$F50,$C$5,$C$6,$C$8,$C$9,$C$7,FALSE)</f>
        <v>1.4004171121779867E-2</v>
      </c>
      <c r="J50">
        <f>_xll.acq_options_bjerksund_greeks(J$31,$F50,$C$5,$C$6,$C$8,$C$9,$C$7,FALSE)</f>
        <v>66.966709719586902</v>
      </c>
      <c r="K50">
        <f>_xll.acq_options_bjerksund_greeks(K$31,$F50,$C$5,$C$6,$C$8,$C$9,$C$7,FALSE)</f>
        <v>158.04938189489803</v>
      </c>
      <c r="L50">
        <f>_xll.acq_options_bjerksund_greeks(L$31,$F50,$C$5,$C$6,$C$8,$C$9,$C$7,FALSE)</f>
        <v>1.5419343046829681</v>
      </c>
      <c r="M50">
        <f>_xll.acq_options_bjerksund_greeks(M$31,$F50,$C$5,$C$6,$C$8,$C$9,$C$7,FALSE)</f>
        <v>-86.985094633970306</v>
      </c>
      <c r="N50">
        <f>_xll.acq_options_bjerksund_greeks(N$31,$F50,$C$5,$C$6,$C$8,$C$9,$C$7,FALSE)</f>
        <v>-1.261025860543441</v>
      </c>
      <c r="R50" s="13">
        <v>130</v>
      </c>
      <c r="S50">
        <f>_xll.acq_options_blackscholes_greeks(S$31,$F50,$C$5,$C$6,$C$8,$C$9,$C$7,FALSE)</f>
        <v>19.853895023181011</v>
      </c>
      <c r="T50">
        <f>_xll.acq_options_blackscholes_greeks(T$31,$F50,$C$5,$C$6,$C$8,$C$9,$C$7,FALSE)</f>
        <v>-0.41484623927625774</v>
      </c>
      <c r="U50">
        <f>_xll.acq_options_blackscholes_greeks(U$31,$F50,$C$5,$C$6,$C$8,$C$9,$C$7,FALSE)</f>
        <v>7.5859522410552452E-3</v>
      </c>
      <c r="V50">
        <f>_xll.acq_options_blackscholes_greeks(V$31,$F50,$C$5,$C$6,$C$8,$C$9,$C$7,FALSE)</f>
        <v>80.126620546146029</v>
      </c>
      <c r="W50">
        <f>_xll.acq_options_blackscholes_greeks(W$31,$F50,$C$5,$C$6,$C$8,$C$9,$C$7,FALSE)</f>
        <v>-12.422148732776144</v>
      </c>
      <c r="X50">
        <f>_xll.acq_options_blackscholes_greeks(X$31,$F50,$C$5,$C$6,$C$8,$C$9,$C$7,FALSE)</f>
        <v>0.28096424105724838</v>
      </c>
      <c r="Y50">
        <f>_xll.acq_options_blackscholes_greeks(Y$31,$F50,$C$5,$C$6,$C$8,$C$9,$C$7,FALSE)</f>
        <v>-184.4597653227363</v>
      </c>
      <c r="Z50">
        <f>_xll.acq_options_blackscholes_greeks(Z$31,$F50,$C$5,$C$6,$C$8,$C$9,$C$7,FALSE)</f>
        <v>0.42070334043837043</v>
      </c>
    </row>
    <row r="51" spans="6:26" x14ac:dyDescent="0.25">
      <c r="F51" s="13">
        <v>140</v>
      </c>
      <c r="G51">
        <f>_xll.acq_options_bjerksund_greeks(G$31,$F51,$C$5,$C$6,$C$8,$C$9,$C$7,FALSE)</f>
        <v>19.621669271250902</v>
      </c>
      <c r="H51">
        <f>_xll.acq_options_bjerksund_greeks(H$31,$F51,$C$5,$C$6,$C$8,$C$9,$C$7,FALSE)</f>
        <v>-0.4662449241301404</v>
      </c>
      <c r="I51">
        <f>_xll.acq_options_bjerksund_greeks(I$31,$F51,$C$5,$C$6,$C$8,$C$9,$C$7,FALSE)</f>
        <v>1.1047785857118464E-2</v>
      </c>
      <c r="J51">
        <f>_xll.acq_options_bjerksund_greeks(J$31,$F51,$C$5,$C$6,$C$8,$C$9,$C$7,FALSE)</f>
        <v>77.851583046236001</v>
      </c>
      <c r="K51">
        <f>_xll.acq_options_bjerksund_greeks(K$31,$F51,$C$5,$C$6,$C$8,$C$9,$C$7,FALSE)</f>
        <v>52.172649070314492</v>
      </c>
      <c r="L51">
        <f>_xll.acq_options_bjerksund_greeks(L$31,$F51,$C$5,$C$6,$C$8,$C$9,$C$7,FALSE)</f>
        <v>0.68998680546883406</v>
      </c>
      <c r="M51">
        <f>_xll.acq_options_bjerksund_greeks(M$31,$F51,$C$5,$C$6,$C$8,$C$9,$C$7,FALSE)</f>
        <v>-94.492726041533359</v>
      </c>
      <c r="N51">
        <f>_xll.acq_options_bjerksund_greeks(N$31,$F51,$C$5,$C$6,$C$8,$C$9,$C$7,FALSE)</f>
        <v>-1.6251578974220138</v>
      </c>
      <c r="R51" s="13">
        <v>140</v>
      </c>
      <c r="S51">
        <f>_xll.acq_options_blackscholes_greeks(S$31,$F51,$C$5,$C$6,$C$8,$C$9,$C$7,FALSE)</f>
        <v>16.069345049441033</v>
      </c>
      <c r="T51">
        <f>_xll.acq_options_blackscholes_greeks(T$31,$F51,$C$5,$C$6,$C$8,$C$9,$C$7,FALSE)</f>
        <v>-0.34363009149473817</v>
      </c>
      <c r="U51">
        <f>_xll.acq_options_blackscholes_greeks(U$31,$F51,$C$5,$C$6,$C$8,$C$9,$C$7,FALSE)</f>
        <v>6.6478241690909289E-3</v>
      </c>
      <c r="V51">
        <f>_xll.acq_options_blackscholes_greeks(V$31,$F51,$C$5,$C$6,$C$8,$C$9,$C$7,FALSE)</f>
        <v>81.435846071363898</v>
      </c>
      <c r="W51">
        <f>_xll.acq_options_blackscholes_greeks(W$31,$F51,$C$5,$C$6,$C$8,$C$9,$C$7,FALSE)</f>
        <v>0.9561516787806924</v>
      </c>
      <c r="X51">
        <f>_xll.acq_options_blackscholes_greeks(X$31,$F51,$C$5,$C$6,$C$8,$C$9,$C$7,FALSE)</f>
        <v>-1.0729534808983428E-2</v>
      </c>
      <c r="Y51">
        <f>_xll.acq_options_blackscholes_greeks(Y$31,$F51,$C$5,$C$6,$C$8,$C$9,$C$7,FALSE)</f>
        <v>-160.44389464676095</v>
      </c>
      <c r="Z51">
        <f>_xll.acq_options_blackscholes_greeks(Z$31,$F51,$C$5,$C$6,$C$8,$C$9,$C$7,FALSE)</f>
        <v>-0.2211388320459311</v>
      </c>
    </row>
    <row r="52" spans="6:26" x14ac:dyDescent="0.25">
      <c r="F52" s="13">
        <v>150</v>
      </c>
      <c r="G52">
        <f>_xll.acq_options_bjerksund_greeks(G$31,$F52,$C$5,$C$6,$C$8,$C$9,$C$7,FALSE)</f>
        <v>15.470727171446882</v>
      </c>
      <c r="H52">
        <f>_xll.acq_options_bjerksund_greeks(H$31,$F52,$C$5,$C$6,$C$8,$C$9,$C$7,FALSE)</f>
        <v>-0.36779793299326496</v>
      </c>
      <c r="I52">
        <f>_xll.acq_options_bjerksund_greeks(I$31,$F52,$C$5,$C$6,$C$8,$C$9,$C$7,FALSE)</f>
        <v>8.7335546538724884E-3</v>
      </c>
      <c r="J52">
        <f>_xll.acq_options_bjerksund_greeks(J$31,$F52,$C$5,$C$6,$C$8,$C$9,$C$7,FALSE)</f>
        <v>81.693935413177527</v>
      </c>
      <c r="K52">
        <f>_xll.acq_options_bjerksund_greeks(K$31,$F52,$C$5,$C$6,$C$8,$C$9,$C$7,FALSE)</f>
        <v>32.489372344457479</v>
      </c>
      <c r="L52">
        <f>_xll.acq_options_bjerksund_greeks(L$31,$F52,$C$5,$C$6,$C$8,$C$9,$C$7,FALSE)</f>
        <v>0.11754109507933208</v>
      </c>
      <c r="M52">
        <f>_xll.acq_options_bjerksund_greeks(M$31,$F52,$C$5,$C$6,$C$8,$C$9,$C$7,FALSE)</f>
        <v>-93.058091638951623</v>
      </c>
      <c r="N52">
        <f>_xll.acq_options_bjerksund_greeks(N$31,$F52,$C$5,$C$6,$C$8,$C$9,$C$7,FALSE)</f>
        <v>-1.8517460003693031</v>
      </c>
      <c r="R52" s="13">
        <v>150</v>
      </c>
      <c r="S52">
        <f>_xll.acq_options_blackscholes_greeks(S$31,$F52,$C$5,$C$6,$C$8,$C$9,$C$7,FALSE)</f>
        <v>12.949480349746878</v>
      </c>
      <c r="T52">
        <f>_xll.acq_options_blackscholes_greeks(T$31,$F52,$C$5,$C$6,$C$8,$C$9,$C$7,FALSE)</f>
        <v>-0.28193065870799805</v>
      </c>
      <c r="U52">
        <f>_xll.acq_options_blackscholes_greeks(U$31,$F52,$C$5,$C$6,$C$8,$C$9,$C$7,FALSE)</f>
        <v>5.6961994931021389E-3</v>
      </c>
      <c r="V52">
        <f>_xll.acq_options_blackscholes_greeks(V$31,$F52,$C$5,$C$6,$C$8,$C$9,$C$7,FALSE)</f>
        <v>80.102805371748843</v>
      </c>
      <c r="W52">
        <f>_xll.acq_options_blackscholes_greeks(W$31,$F52,$C$5,$C$6,$C$8,$C$9,$C$7,FALSE)</f>
        <v>33.623152554791588</v>
      </c>
      <c r="X52">
        <f>_xll.acq_options_blackscholes_greeks(X$31,$F52,$C$5,$C$6,$C$8,$C$9,$C$7,FALSE)</f>
        <v>-0.24564860314002981</v>
      </c>
      <c r="Y52">
        <f>_xll.acq_options_blackscholes_greeks(Y$31,$F52,$C$5,$C$6,$C$8,$C$9,$C$7,FALSE)</f>
        <v>-138.09769788986648</v>
      </c>
      <c r="Z52">
        <f>_xll.acq_options_blackscholes_greeks(Z$31,$F52,$C$5,$C$6,$C$8,$C$9,$C$7,FALSE)</f>
        <v>-0.69079551923064564</v>
      </c>
    </row>
    <row r="53" spans="6:26" x14ac:dyDescent="0.25">
      <c r="F53" s="13">
        <v>160</v>
      </c>
      <c r="G53">
        <f>_xll.acq_options_bjerksund_greeks(G$31,$F53,$C$5,$C$6,$C$8,$C$9,$C$7,FALSE)</f>
        <v>12.197163796635536</v>
      </c>
      <c r="H53">
        <f>_xll.acq_options_bjerksund_greeks(H$31,$F53,$C$5,$C$6,$C$8,$C$9,$C$7,FALSE)</f>
        <v>-0.28996158364855695</v>
      </c>
      <c r="I53">
        <f>_xll.acq_options_bjerksund_greeks(I$31,$F53,$C$5,$C$6,$C$8,$C$9,$C$7,FALSE)</f>
        <v>6.9045772072007239E-3</v>
      </c>
      <c r="J53">
        <f>_xll.acq_options_bjerksund_greeks(J$31,$F53,$C$5,$C$6,$C$8,$C$9,$C$7,FALSE)</f>
        <v>80.86597345334205</v>
      </c>
      <c r="K53">
        <f>_xll.acq_options_bjerksund_greeks(K$31,$F53,$C$5,$C$6,$C$8,$C$9,$C$7,FALSE)</f>
        <v>59.70711856662092</v>
      </c>
      <c r="L53">
        <f>_xll.acq_options_bjerksund_greeks(L$31,$F53,$C$5,$C$6,$C$8,$C$9,$C$7,FALSE)</f>
        <v>-0.25509156031944258</v>
      </c>
      <c r="M53">
        <f>_xll.acq_options_bjerksund_greeks(M$31,$F53,$C$5,$C$6,$C$8,$C$9,$C$7,FALSE)</f>
        <v>-86.797170441599292</v>
      </c>
      <c r="N53">
        <f>_xll.acq_options_bjerksund_greeks(N$31,$F53,$C$5,$C$6,$C$8,$C$9,$C$7,FALSE)</f>
        <v>-1.9606171560440089</v>
      </c>
      <c r="R53" s="13">
        <v>160</v>
      </c>
      <c r="S53">
        <f>_xll.acq_options_blackscholes_greeks(S$31,$F53,$C$5,$C$6,$C$8,$C$9,$C$7,FALSE)</f>
        <v>10.399673083492523</v>
      </c>
      <c r="T53">
        <f>_xll.acq_options_blackscholes_greeks(T$31,$F53,$C$5,$C$6,$C$8,$C$9,$C$7,FALSE)</f>
        <v>-0.22953270791365182</v>
      </c>
      <c r="U53">
        <f>_xll.acq_options_blackscholes_greeks(U$31,$F53,$C$5,$C$6,$C$8,$C$9,$C$7,FALSE)</f>
        <v>4.7956330789171607E-3</v>
      </c>
      <c r="V53">
        <f>_xll.acq_options_blackscholes_greeks(V$31,$F53,$C$5,$C$6,$C$8,$C$9,$C$7,FALSE)</f>
        <v>76.730129262674581</v>
      </c>
      <c r="W53">
        <f>_xll.acq_options_blackscholes_greeks(W$31,$F53,$C$5,$C$6,$C$8,$C$9,$C$7,FALSE)</f>
        <v>78.420915452756077</v>
      </c>
      <c r="X53">
        <f>_xll.acq_options_blackscholes_greeks(X$31,$F53,$C$5,$C$6,$C$8,$C$9,$C$7,FALSE)</f>
        <v>-0.41868108440249696</v>
      </c>
      <c r="Y53">
        <f>_xll.acq_options_blackscholes_greeks(Y$31,$F53,$C$5,$C$6,$C$8,$C$9,$C$7,FALSE)</f>
        <v>-117.81226587419204</v>
      </c>
      <c r="Z53">
        <f>_xll.acq_options_blackscholes_greeks(Z$31,$F53,$C$5,$C$6,$C$8,$C$9,$C$7,FALSE)</f>
        <v>-1.0090120821531201</v>
      </c>
    </row>
    <row r="54" spans="6:26" x14ac:dyDescent="0.25">
      <c r="F54" s="13">
        <v>170</v>
      </c>
      <c r="G54">
        <f>_xll.acq_options_bjerksund_greeks(G$31,$F54,$C$5,$C$6,$C$8,$C$9,$C$7,FALSE)</f>
        <v>9.6171978371390026</v>
      </c>
      <c r="H54">
        <f>_xll.acq_options_bjerksund_greeks(H$31,$F54,$C$5,$C$6,$C$8,$C$9,$C$7,FALSE)</f>
        <v>-0.22844870148705018</v>
      </c>
      <c r="I54">
        <f>_xll.acq_options_bjerksund_greeks(I$31,$F54,$C$5,$C$6,$C$8,$C$9,$C$7,FALSE)</f>
        <v>5.4538145107142916E-3</v>
      </c>
      <c r="J54">
        <f>_xll.acq_options_bjerksund_greeks(J$31,$F54,$C$5,$C$6,$C$8,$C$9,$C$7,FALSE)</f>
        <v>77.068142320911122</v>
      </c>
      <c r="K54">
        <f>_xll.acq_options_bjerksund_greeks(K$31,$F54,$C$5,$C$6,$C$8,$C$9,$C$7,FALSE)</f>
        <v>108.64543247635083</v>
      </c>
      <c r="L54">
        <f>_xll.acq_options_bjerksund_greeks(L$31,$F54,$C$5,$C$6,$C$8,$C$9,$C$7,FALSE)</f>
        <v>-0.48442463551623405</v>
      </c>
      <c r="M54">
        <f>_xll.acq_options_bjerksund_greeks(M$31,$F54,$C$5,$C$6,$C$8,$C$9,$C$7,FALSE)</f>
        <v>-78.239233110892314</v>
      </c>
      <c r="N54">
        <f>_xll.acq_options_bjerksund_greeks(N$31,$F54,$C$5,$C$6,$C$8,$C$9,$C$7,FALSE)</f>
        <v>-1.9760964076880327</v>
      </c>
      <c r="R54" s="13">
        <v>170</v>
      </c>
      <c r="S54">
        <f>_xll.acq_options_blackscholes_greeks(S$31,$F54,$C$5,$C$6,$C$8,$C$9,$C$7,FALSE)</f>
        <v>8.3301614786159028</v>
      </c>
      <c r="T54">
        <f>_xll.acq_options_blackscholes_greeks(T$31,$F54,$C$5,$C$6,$C$8,$C$9,$C$7,FALSE)</f>
        <v>-0.18572618461144402</v>
      </c>
      <c r="U54">
        <f>_xll.acq_options_blackscholes_greeks(U$31,$F54,$C$5,$C$6,$C$8,$C$9,$C$7,FALSE)</f>
        <v>3.9819325455787945E-3</v>
      </c>
      <c r="V54">
        <f>_xll.acq_options_blackscholes_greeks(V$31,$F54,$C$5,$C$6,$C$8,$C$9,$C$7,FALSE)</f>
        <v>71.923656604516992</v>
      </c>
      <c r="W54">
        <f>_xll.acq_options_blackscholes_greeks(W$31,$F54,$C$5,$C$6,$C$8,$C$9,$C$7,FALSE)</f>
        <v>128.17138928403224</v>
      </c>
      <c r="X54">
        <f>_xll.acq_options_blackscholes_greeks(X$31,$F54,$C$5,$C$6,$C$8,$C$9,$C$7,FALSE)</f>
        <v>-0.53352296402129529</v>
      </c>
      <c r="Y54">
        <f>_xll.acq_options_blackscholes_greeks(Y$31,$F54,$C$5,$C$6,$C$8,$C$9,$C$7,FALSE)</f>
        <v>-99.759032156403478</v>
      </c>
      <c r="Z54">
        <f>_xll.acq_options_blackscholes_greeks(Z$31,$F54,$C$5,$C$6,$C$8,$C$9,$C$7,FALSE)</f>
        <v>-1.2019660584721654</v>
      </c>
    </row>
    <row r="55" spans="6:26" x14ac:dyDescent="0.25">
      <c r="F55" s="13">
        <v>180</v>
      </c>
      <c r="G55">
        <f>_xll.acq_options_bjerksund_greeks(G$31,$F55,$C$5,$C$6,$C$8,$C$9,$C$7,FALSE)</f>
        <v>7.5851013072030753</v>
      </c>
      <c r="H55">
        <f>_xll.acq_options_bjerksund_greeks(H$31,$F55,$C$5,$C$6,$C$8,$C$9,$C$7,FALSE)</f>
        <v>-0.17988885330863821</v>
      </c>
      <c r="I55">
        <f>_xll.acq_options_bjerksund_greeks(I$31,$F55,$C$5,$C$6,$C$8,$C$9,$C$7,FALSE)</f>
        <v>4.3025650580338949E-3</v>
      </c>
      <c r="J55">
        <f>_xll.acq_options_bjerksund_greeks(J$31,$F55,$C$5,$C$6,$C$8,$C$9,$C$7,FALSE)</f>
        <v>71.515747619798674</v>
      </c>
      <c r="K55">
        <f>_xll.acq_options_bjerksund_greeks(K$31,$F55,$C$5,$C$6,$C$8,$C$9,$C$7,FALSE)</f>
        <v>163.50559144484578</v>
      </c>
      <c r="L55">
        <f>_xll.acq_options_bjerksund_greeks(L$31,$F55,$C$5,$C$6,$C$8,$C$9,$C$7,FALSE)</f>
        <v>-0.61192948663801872</v>
      </c>
      <c r="M55">
        <f>_xll.acq_options_bjerksund_greeks(M$31,$F55,$C$5,$C$6,$C$8,$C$9,$C$7,FALSE)</f>
        <v>-68.911088311693902</v>
      </c>
      <c r="N55">
        <f>_xll.acq_options_bjerksund_greeks(N$31,$F55,$C$5,$C$6,$C$8,$C$9,$C$7,FALSE)</f>
        <v>-1.9223128705050385</v>
      </c>
      <c r="R55" s="13">
        <v>180</v>
      </c>
      <c r="S55">
        <f>_xll.acq_options_blackscholes_greeks(S$31,$F55,$C$5,$C$6,$C$8,$C$9,$C$7,FALSE)</f>
        <v>6.6597001151668493</v>
      </c>
      <c r="T55">
        <f>_xll.acq_options_blackscholes_greeks(T$31,$F55,$C$5,$C$6,$C$8,$C$9,$C$7,FALSE)</f>
        <v>-0.14955199117729678</v>
      </c>
      <c r="U55">
        <f>_xll.acq_options_blackscholes_greeks(U$31,$F55,$C$5,$C$6,$C$8,$C$9,$C$7,FALSE)</f>
        <v>3.2704136877450621E-3</v>
      </c>
      <c r="V55">
        <f>_xll.acq_options_blackscholes_greeks(V$31,$F55,$C$5,$C$6,$C$8,$C$9,$C$7,FALSE)</f>
        <v>66.225877176837514</v>
      </c>
      <c r="W55">
        <f>_xll.acq_options_blackscholes_greeks(W$31,$F55,$C$5,$C$6,$C$8,$C$9,$C$7,FALSE)</f>
        <v>176.88620519164158</v>
      </c>
      <c r="X55">
        <f>_xll.acq_options_blackscholes_greeks(X$31,$F55,$C$5,$C$6,$C$8,$C$9,$C$7,FALSE)</f>
        <v>-0.59855608707596197</v>
      </c>
      <c r="Y55">
        <f>_xll.acq_options_blackscholes_greeks(Y$31,$F55,$C$5,$C$6,$C$8,$C$9,$C$7,FALSE)</f>
        <v>-83.947646317700688</v>
      </c>
      <c r="Z55">
        <f>_xll.acq_options_blackscholes_greeks(Z$31,$F55,$C$5,$C$6,$C$8,$C$9,$C$7,FALSE)</f>
        <v>-1.2965503472170585</v>
      </c>
    </row>
    <row r="56" spans="6:26" x14ac:dyDescent="0.25">
      <c r="F56" s="13">
        <v>190</v>
      </c>
      <c r="G56">
        <f>_xll.acq_options_bjerksund_greeks(G$31,$F56,$C$5,$C$6,$C$8,$C$9,$C$7,FALSE)</f>
        <v>5.9852452016453697</v>
      </c>
      <c r="H56">
        <f>_xll.acq_options_bjerksund_greeks(H$31,$F56,$C$5,$C$6,$C$8,$C$9,$C$7,FALSE)</f>
        <v>-0.14160288682205646</v>
      </c>
      <c r="I56">
        <f>_xll.acq_options_bjerksund_greeks(I$31,$F56,$C$5,$C$6,$C$8,$C$9,$C$7,FALSE)</f>
        <v>3.3900791888194048E-3</v>
      </c>
      <c r="J56">
        <f>_xll.acq_options_bjerksund_greeks(J$31,$F56,$C$5,$C$6,$C$8,$C$9,$C$7,FALSE)</f>
        <v>65.065301375625438</v>
      </c>
      <c r="K56">
        <f>_xll.acq_options_bjerksund_greeks(K$31,$F56,$C$5,$C$6,$C$8,$C$9,$C$7,FALSE)</f>
        <v>214.88322119012082</v>
      </c>
      <c r="L56">
        <f>_xll.acq_options_bjerksund_greeks(L$31,$F56,$C$5,$C$6,$C$8,$C$9,$C$7,FALSE)</f>
        <v>-0.66844872748106354</v>
      </c>
      <c r="M56">
        <f>_xll.acq_options_bjerksund_greeks(M$31,$F56,$C$5,$C$6,$C$8,$C$9,$C$7,FALSE)</f>
        <v>-59.702735426995446</v>
      </c>
      <c r="N56">
        <f>_xll.acq_options_bjerksund_greeks(N$31,$F56,$C$5,$C$6,$C$8,$C$9,$C$7,FALSE)</f>
        <v>-1.8207394613227734</v>
      </c>
      <c r="R56" s="13">
        <v>190</v>
      </c>
      <c r="S56">
        <f>_xll.acq_options_blackscholes_greeks(S$31,$F56,$C$5,$C$6,$C$8,$C$9,$C$7,FALSE)</f>
        <v>5.3171511946251648</v>
      </c>
      <c r="T56">
        <f>_xll.acq_options_blackscholes_greeks(T$31,$F56,$C$5,$C$6,$C$8,$C$9,$C$7,FALSE)</f>
        <v>-0.11996990806850333</v>
      </c>
      <c r="U56">
        <f>_xll.acq_options_blackscholes_greeks(U$31,$F56,$C$5,$C$6,$C$8,$C$9,$C$7,FALSE)</f>
        <v>2.6630388852266315E-3</v>
      </c>
      <c r="V56">
        <f>_xll.acq_options_blackscholes_greeks(V$31,$F56,$C$5,$C$6,$C$8,$C$9,$C$7,FALSE)</f>
        <v>60.084814847925891</v>
      </c>
      <c r="W56">
        <f>_xll.acq_options_blackscholes_greeks(W$31,$F56,$C$5,$C$6,$C$8,$C$9,$C$7,FALSE)</f>
        <v>220.2550068361071</v>
      </c>
      <c r="X56">
        <f>_xll.acq_options_blackscholes_greeks(X$31,$F56,$C$5,$C$6,$C$8,$C$9,$C$7,FALSE)</f>
        <v>-0.62389800519785743</v>
      </c>
      <c r="Y56">
        <f>_xll.acq_options_blackscholes_greeks(Y$31,$F56,$C$5,$C$6,$C$8,$C$9,$C$7,FALSE)</f>
        <v>-70.278584319101995</v>
      </c>
      <c r="Z56">
        <f>_xll.acq_options_blackscholes_greeks(Z$31,$F56,$C$5,$C$6,$C$8,$C$9,$C$7,FALSE)</f>
        <v>-1.3175547187378465</v>
      </c>
    </row>
    <row r="57" spans="6:26" x14ac:dyDescent="0.25">
      <c r="F57" s="13">
        <v>200</v>
      </c>
      <c r="G57">
        <f>_xll.acq_options_bjerksund_greeks(G$31,$F57,$C$5,$C$6,$C$8,$C$9,$C$7,FALSE)</f>
        <v>4.7259808316812553</v>
      </c>
      <c r="H57">
        <f>_xll.acq_options_bjerksund_greeks(H$31,$F57,$C$5,$C$6,$C$8,$C$9,$C$7,FALSE)</f>
        <v>-0.11145298184182195</v>
      </c>
      <c r="I57">
        <f>_xll.acq_options_bjerksund_greeks(I$31,$F57,$C$5,$C$6,$C$8,$C$9,$C$7,FALSE)</f>
        <v>2.6681893523061713E-3</v>
      </c>
      <c r="J57">
        <f>_xll.acq_options_bjerksund_greeks(J$31,$F57,$C$5,$C$6,$C$8,$C$9,$C$7,FALSE)</f>
        <v>58.30631981810081</v>
      </c>
      <c r="K57">
        <f>_xll.acq_options_bjerksund_greeks(K$31,$F57,$C$5,$C$6,$C$8,$C$9,$C$7,FALSE)</f>
        <v>257.72712953653354</v>
      </c>
      <c r="L57">
        <f>_xll.acq_options_bjerksund_greeks(L$31,$F57,$C$5,$C$6,$C$8,$C$9,$C$7,FALSE)</f>
        <v>-0.67690400840092479</v>
      </c>
      <c r="M57">
        <f>_xll.acq_options_bjerksund_greeks(M$31,$F57,$C$5,$C$6,$C$8,$C$9,$C$7,FALSE)</f>
        <v>-51.101136632198063</v>
      </c>
      <c r="N57">
        <f>_xll.acq_options_bjerksund_greeks(N$31,$F57,$C$5,$C$6,$C$8,$C$9,$C$7,FALSE)</f>
        <v>-1.6891712533890768</v>
      </c>
      <c r="R57" s="13">
        <v>200</v>
      </c>
      <c r="S57">
        <f>_xll.acq_options_blackscholes_greeks(S$31,$F57,$C$5,$C$6,$C$8,$C$9,$C$7,FALSE)</f>
        <v>4.2417261732369411</v>
      </c>
      <c r="T57">
        <f>_xll.acq_options_blackscholes_greeks(T$31,$F57,$C$5,$C$6,$C$8,$C$9,$C$7,FALSE)</f>
        <v>-9.5963425807117753E-2</v>
      </c>
      <c r="U57">
        <f>_xll.acq_options_blackscholes_greeks(U$31,$F57,$C$5,$C$6,$C$8,$C$9,$C$7,FALSE)</f>
        <v>2.1538699034187587E-3</v>
      </c>
      <c r="V57">
        <f>_xll.acq_options_blackscholes_greeks(V$31,$F57,$C$5,$C$6,$C$8,$C$9,$C$7,FALSE)</f>
        <v>53.846747585468975</v>
      </c>
      <c r="W57">
        <f>_xll.acq_options_blackscholes_greeks(W$31,$F57,$C$5,$C$6,$C$8,$C$9,$C$7,FALSE)</f>
        <v>255.655164365107</v>
      </c>
      <c r="X57">
        <f>_xll.acq_options_blackscholes_greeks(X$31,$F57,$C$5,$C$6,$C$8,$C$9,$C$7,FALSE)</f>
        <v>-0.61955132553219894</v>
      </c>
      <c r="Y57">
        <f>_xll.acq_options_blackscholes_greeks(Y$31,$F57,$C$5,$C$6,$C$8,$C$9,$C$7,FALSE)</f>
        <v>-58.586028336651239</v>
      </c>
      <c r="Z57">
        <f>_xll.acq_options_blackscholes_greeks(Z$31,$F57,$C$5,$C$6,$C$8,$C$9,$C$7,FALSE)</f>
        <v>-1.2862726991938187</v>
      </c>
    </row>
  </sheetData>
  <mergeCells count="7">
    <mergeCell ref="G45:N45"/>
    <mergeCell ref="S45:Z45"/>
    <mergeCell ref="S30:Z30"/>
    <mergeCell ref="A1:G1"/>
    <mergeCell ref="I3:J3"/>
    <mergeCell ref="F3:H3"/>
    <mergeCell ref="G30:N30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B6B9-5563-4A5A-994F-A4DB117E644D}">
  <sheetPr codeName="Sheet8"/>
  <dimension ref="A1:AT57"/>
  <sheetViews>
    <sheetView workbookViewId="0">
      <selection activeCell="J22" sqref="J22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46" ht="20.25" thickBot="1" x14ac:dyDescent="0.35">
      <c r="A1" s="60" t="s">
        <v>162</v>
      </c>
      <c r="B1" s="60"/>
      <c r="C1" s="60"/>
      <c r="D1" s="60"/>
      <c r="E1" s="60"/>
      <c r="F1" s="60"/>
      <c r="G1" s="60"/>
    </row>
    <row r="2" spans="1:46" ht="15.75" thickTop="1" x14ac:dyDescent="0.25">
      <c r="L2" t="s">
        <v>140</v>
      </c>
      <c r="U2" t="s">
        <v>141</v>
      </c>
      <c r="AD2" t="s">
        <v>140</v>
      </c>
      <c r="AM2" t="s">
        <v>141</v>
      </c>
    </row>
    <row r="3" spans="1:46" ht="15.75" thickBot="1" x14ac:dyDescent="0.3">
      <c r="B3" s="3" t="s">
        <v>92</v>
      </c>
      <c r="C3" s="3"/>
      <c r="F3" s="59" t="s">
        <v>139</v>
      </c>
      <c r="G3" s="59"/>
      <c r="H3" s="59"/>
      <c r="I3" s="59" t="s">
        <v>163</v>
      </c>
      <c r="J3" s="59"/>
      <c r="M3" t="s">
        <v>144</v>
      </c>
      <c r="V3" t="s">
        <v>144</v>
      </c>
      <c r="AE3" t="s">
        <v>144</v>
      </c>
      <c r="AN3" t="s">
        <v>144</v>
      </c>
    </row>
    <row r="4" spans="1:46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  <c r="AD4" t="s">
        <v>136</v>
      </c>
      <c r="AE4">
        <v>120</v>
      </c>
      <c r="AF4">
        <v>130</v>
      </c>
      <c r="AG4">
        <v>140</v>
      </c>
      <c r="AH4">
        <v>150</v>
      </c>
      <c r="AI4">
        <v>160</v>
      </c>
      <c r="AJ4">
        <v>170</v>
      </c>
      <c r="AK4">
        <v>180</v>
      </c>
      <c r="AM4" t="s">
        <v>136</v>
      </c>
      <c r="AN4">
        <v>120</v>
      </c>
      <c r="AO4">
        <v>130</v>
      </c>
      <c r="AP4">
        <v>140</v>
      </c>
      <c r="AQ4">
        <v>150</v>
      </c>
      <c r="AR4">
        <v>160</v>
      </c>
      <c r="AS4">
        <v>170</v>
      </c>
      <c r="AT4">
        <v>180</v>
      </c>
    </row>
    <row r="5" spans="1:46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70</v>
      </c>
      <c r="H5">
        <f>_xll.acq_options_bjerksund_price($C$4,F5,$C$6,$C$8,$C$9,$C$7,FALSE)</f>
        <v>2.0891434360237326E-8</v>
      </c>
      <c r="I5">
        <f>_xll.acq_options_binomial_american_price($C$4,F5,$C$6,$C$8,$C$9,$C$7,TRUE,500)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_xll.acq_options_binomial_american_price(M$4,$C$5,$L5,$C$8,$C$9,$C$7,TRUE)</f>
        <v>6.47885622121005E-5</v>
      </c>
      <c r="N5">
        <f>_xll.acq_options_binomial_american_price(N$4,$C$5,$L5,$C$8,$C$9,$C$7,TRUE)</f>
        <v>1.4806633008807357E-2</v>
      </c>
      <c r="O5">
        <f>_xll.acq_options_binomial_american_price(O$4,$C$5,$L5,$C$8,$C$9,$C$7,TRUE)</f>
        <v>0.46327538134639434</v>
      </c>
      <c r="P5">
        <f>_xll.acq_options_binomial_american_price(P$4,$C$5,$L5,$C$8,$C$9,$C$7,TRUE)</f>
        <v>3.5277905365628364</v>
      </c>
      <c r="Q5">
        <f>_xll.acq_options_binomial_american_price(Q$4,$C$5,$L5,$C$8,$C$9,$C$7,TRUE)</f>
        <v>10.854397955373866</v>
      </c>
      <c r="R5">
        <f>_xll.acq_options_binomial_american_price(R$4,$C$5,$L5,$C$8,$C$9,$C$7,TRUE)</f>
        <v>20.398245605225771</v>
      </c>
      <c r="S5">
        <f>_xll.acq_options_binomial_american_price(S$4,$C$5,$L5,$C$8,$C$9,$C$7,TRUE)</f>
        <v>30.360468484994357</v>
      </c>
      <c r="U5" s="45">
        <v>0.05</v>
      </c>
      <c r="V5">
        <f>_xll.acq_options_binomial_american_price(V$4,$C$5,$U5,$C$8,$C$9,$C$7,FALSE)</f>
        <v>30.000000000007944</v>
      </c>
      <c r="W5">
        <f>_xll.acq_options_binomial_american_price(W$4,$C$5,$U5,$C$8,$C$9,$C$7,FALSE)</f>
        <v>20.000000000008811</v>
      </c>
      <c r="X5">
        <f>_xll.acq_options_binomial_american_price(X$4,$C$5,$U5,$C$8,$C$9,$C$7,FALSE)</f>
        <v>10.226132459460437</v>
      </c>
      <c r="Y5">
        <f>_xll.acq_options_binomial_american_price(Y$4,$C$5,$U5,$C$8,$C$9,$C$7,FALSE)</f>
        <v>3.1790029284836754</v>
      </c>
      <c r="Z5">
        <f>_xll.acq_options_binomial_american_price(Z$4,$C$5,$U5,$C$8,$C$9,$C$7,FALSE)</f>
        <v>0.48754530179488176</v>
      </c>
      <c r="AA5">
        <f>_xll.acq_options_binomial_american_price(AA$4,$C$5,$U5,$C$8,$C$9,$C$7,FALSE)</f>
        <v>3.4019614928197786E-2</v>
      </c>
      <c r="AB5">
        <f>_xll.acq_options_binomial_american_price(AB$4,$C$5,$U5,$C$8,$C$9,$C$7,FALSE)</f>
        <v>1.1233079681879743E-3</v>
      </c>
      <c r="AD5">
        <v>0.05</v>
      </c>
      <c r="AE5">
        <v>6.47885622121005E-5</v>
      </c>
      <c r="AF5">
        <v>1.4806633008807357E-2</v>
      </c>
      <c r="AG5">
        <v>0.46327538134639434</v>
      </c>
      <c r="AH5">
        <v>3.5277905365628364</v>
      </c>
      <c r="AI5">
        <v>10.854397955373866</v>
      </c>
      <c r="AJ5">
        <v>20.398245605225771</v>
      </c>
      <c r="AK5">
        <v>30.360468484994357</v>
      </c>
      <c r="AM5">
        <v>0.05</v>
      </c>
      <c r="AN5">
        <v>30.000000000007944</v>
      </c>
      <c r="AO5">
        <v>20.000000000008811</v>
      </c>
      <c r="AP5">
        <v>10.226132459460437</v>
      </c>
      <c r="AQ5">
        <v>3.1790029284836754</v>
      </c>
      <c r="AR5">
        <v>0.48754530179488176</v>
      </c>
      <c r="AS5">
        <v>3.4019614928197786E-2</v>
      </c>
      <c r="AT5">
        <v>1.1233079681879743E-3</v>
      </c>
    </row>
    <row r="6" spans="1:46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60.834052446027073</v>
      </c>
      <c r="H6">
        <f>_xll.acq_options_bjerksund_price($C$4,F6,$C$6,$C$8,$C$9,$C$7,FALSE)</f>
        <v>2.215073388640576E-4</v>
      </c>
      <c r="I6">
        <f>_xll.acq_options_binomial_american_price($C$4,F6,$C$6,$C$8,$C$9,$C$7,TRUE,500)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_xll.acq_options_binomial_american_price(M$4,$C$5,$L6,$C$8,$C$9,$C$7,TRUE)</f>
        <v>9.1248830034959434E-3</v>
      </c>
      <c r="N6">
        <f>_xll.acq_options_binomial_american_price(N$4,$C$5,$L6,$C$8,$C$9,$C$7,TRUE)</f>
        <v>0.17885106898621184</v>
      </c>
      <c r="O6">
        <f>_xll.acq_options_binomial_american_price(O$4,$C$5,$L6,$C$8,$C$9,$C$7,TRUE)</f>
        <v>1.3493143126169751</v>
      </c>
      <c r="P6">
        <f>_xll.acq_options_binomial_american_price(P$4,$C$5,$L6,$C$8,$C$9,$C$7,TRUE)</f>
        <v>5.093879400981173</v>
      </c>
      <c r="Q6">
        <f>_xll.acq_options_binomial_american_price(Q$4,$C$5,$L6,$C$8,$C$9,$C$7,TRUE)</f>
        <v>12.008481773814808</v>
      </c>
      <c r="R6">
        <f>_xll.acq_options_binomial_american_price(R$4,$C$5,$L6,$C$8,$C$9,$C$7,TRUE)</f>
        <v>20.989035434736152</v>
      </c>
      <c r="S6">
        <f>_xll.acq_options_binomial_american_price(S$4,$C$5,$L6,$C$8,$C$9,$C$7,TRUE)</f>
        <v>30.755768827066532</v>
      </c>
      <c r="U6" s="45">
        <v>0.1</v>
      </c>
      <c r="V6">
        <f>_xll.acq_options_binomial_american_price(V$4,$C$5,$U6,$C$8,$C$9,$C$7,FALSE)</f>
        <v>29.999999999996874</v>
      </c>
      <c r="W6">
        <f>_xll.acq_options_binomial_american_price(W$4,$C$5,$U6,$C$8,$C$9,$C$7,FALSE)</f>
        <v>19.999999999996476</v>
      </c>
      <c r="X6">
        <f>_xll.acq_options_binomial_american_price(X$4,$C$5,$U6,$C$8,$C$9,$C$7,FALSE)</f>
        <v>10.797609727004986</v>
      </c>
      <c r="Y6">
        <f>_xll.acq_options_binomial_american_price(Y$4,$C$5,$U6,$C$8,$C$9,$C$7,FALSE)</f>
        <v>4.4028779916287712</v>
      </c>
      <c r="Z6">
        <f>_xll.acq_options_binomial_american_price(Z$4,$C$5,$U6,$C$8,$C$9,$C$7,FALSE)</f>
        <v>1.2825833785772736</v>
      </c>
      <c r="AA6">
        <f>_xll.acq_options_binomial_american_price(AA$4,$C$5,$U6,$C$8,$C$9,$C$7,FALSE)</f>
        <v>0.26342580573432217</v>
      </c>
      <c r="AB6">
        <f>_xll.acq_options_binomial_american_price(AB$4,$C$5,$U6,$C$8,$C$9,$C$7,FALSE)</f>
        <v>3.8583844005032689E-2</v>
      </c>
      <c r="AD6">
        <v>0.1</v>
      </c>
      <c r="AE6">
        <v>9.1248830034959434E-3</v>
      </c>
      <c r="AF6">
        <v>0.17885106898621184</v>
      </c>
      <c r="AG6">
        <v>1.3493143126169751</v>
      </c>
      <c r="AH6">
        <v>5.093879400981173</v>
      </c>
      <c r="AI6">
        <v>12.008481773814808</v>
      </c>
      <c r="AJ6">
        <v>20.989035434736152</v>
      </c>
      <c r="AK6">
        <v>30.755768827066532</v>
      </c>
      <c r="AM6">
        <v>0.1</v>
      </c>
      <c r="AN6">
        <v>29.999999999996874</v>
      </c>
      <c r="AO6">
        <v>19.999999999996476</v>
      </c>
      <c r="AP6">
        <v>10.797609727004986</v>
      </c>
      <c r="AQ6">
        <v>4.4028779916287712</v>
      </c>
      <c r="AR6">
        <v>1.2825833785772736</v>
      </c>
      <c r="AS6">
        <v>0.26342580573432217</v>
      </c>
      <c r="AT6">
        <v>3.8583844005032689E-2</v>
      </c>
    </row>
    <row r="7" spans="1:46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52.218845893752274</v>
      </c>
      <c r="H7">
        <f>_xll.acq_options_bjerksund_price($C$4,F7,$C$6,$C$8,$C$9,$C$7,FALSE)</f>
        <v>1.3695657760578683E-2</v>
      </c>
      <c r="I7">
        <f>_xll.acq_options_binomial_american_price($C$4,F7,$C$6,$C$8,$C$9,$C$7,TRUE,500)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_xll.acq_options_binomial_american_price(M$4,$C$5,$L7,$C$8,$C$9,$C$7,TRUE)</f>
        <v>5.8077899595978963E-2</v>
      </c>
      <c r="N7">
        <f>_xll.acq_options_binomial_american_price(N$4,$C$5,$L7,$C$8,$C$9,$C$7,TRUE)</f>
        <v>0.49244708697616602</v>
      </c>
      <c r="O7">
        <f>_xll.acq_options_binomial_american_price(O$4,$C$5,$L7,$C$8,$C$9,$C$7,TRUE)</f>
        <v>2.2192034827575045</v>
      </c>
      <c r="P7">
        <f>_xll.acq_options_binomial_american_price(P$4,$C$5,$L7,$C$8,$C$9,$C$7,TRUE)</f>
        <v>6.3354932334738869</v>
      </c>
      <c r="Q7">
        <f>_xll.acq_options_binomial_american_price(Q$4,$C$5,$L7,$C$8,$C$9,$C$7,TRUE)</f>
        <v>13.082256699580331</v>
      </c>
      <c r="R7">
        <f>_xll.acq_options_binomial_american_price(R$4,$C$5,$L7,$C$8,$C$9,$C$7,TRUE)</f>
        <v>21.691322996615757</v>
      </c>
      <c r="S7">
        <f>_xll.acq_options_binomial_american_price(S$4,$C$5,$L7,$C$8,$C$9,$C$7,TRUE)</f>
        <v>31.222516029227904</v>
      </c>
      <c r="U7" s="45">
        <v>0.15</v>
      </c>
      <c r="V7">
        <f>_xll.acq_options_binomial_american_price(V$4,$C$5,$U7,$C$8,$C$9,$C$7,FALSE)</f>
        <v>30.000000000002515</v>
      </c>
      <c r="W7">
        <f>_xll.acq_options_binomial_american_price(W$4,$C$5,$U7,$C$8,$C$9,$C$7,FALSE)</f>
        <v>20.027854351695026</v>
      </c>
      <c r="X7">
        <f>_xll.acq_options_binomial_american_price(X$4,$C$5,$U7,$C$8,$C$9,$C$7,FALSE)</f>
        <v>11.353356804736338</v>
      </c>
      <c r="Y7">
        <f>_xll.acq_options_binomial_american_price(Y$4,$C$5,$U7,$C$8,$C$9,$C$7,FALSE)</f>
        <v>5.3062813983176547</v>
      </c>
      <c r="Z7">
        <f>_xll.acq_options_binomial_american_price(Z$4,$C$5,$U7,$C$8,$C$9,$C$7,FALSE)</f>
        <v>2.0030892793519759</v>
      </c>
      <c r="AA7">
        <f>_xll.acq_options_binomial_american_price(AA$4,$C$5,$U7,$C$8,$C$9,$C$7,FALSE)</f>
        <v>0.60807550371991215</v>
      </c>
      <c r="AB7">
        <f>_xll.acq_options_binomial_american_price(AB$4,$C$5,$U7,$C$8,$C$9,$C$7,FALSE)</f>
        <v>0.14956122530436966</v>
      </c>
      <c r="AD7">
        <v>0.15</v>
      </c>
      <c r="AE7">
        <v>5.8077899595978963E-2</v>
      </c>
      <c r="AF7">
        <v>0.49244708697616602</v>
      </c>
      <c r="AG7">
        <v>2.2192034827575045</v>
      </c>
      <c r="AH7">
        <v>6.3354932334738869</v>
      </c>
      <c r="AI7">
        <v>13.082256699580331</v>
      </c>
      <c r="AJ7">
        <v>21.691322996615757</v>
      </c>
      <c r="AK7">
        <v>31.222516029227904</v>
      </c>
      <c r="AM7">
        <v>0.15</v>
      </c>
      <c r="AN7">
        <v>30.000000000002515</v>
      </c>
      <c r="AO7">
        <v>20.027854351695026</v>
      </c>
      <c r="AP7">
        <v>11.353356804736338</v>
      </c>
      <c r="AQ7">
        <v>5.3062813983176547</v>
      </c>
      <c r="AR7">
        <v>2.0030892793519759</v>
      </c>
      <c r="AS7">
        <v>0.60807550371991215</v>
      </c>
      <c r="AT7">
        <v>0.14956122530436966</v>
      </c>
    </row>
    <row r="8" spans="1:46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43.738469871296317</v>
      </c>
      <c r="H8">
        <f>_xll.acq_options_bjerksund_price($C$4,F8,$C$6,$C$8,$C$9,$C$7,FALSE)</f>
        <v>0.14766123860513858</v>
      </c>
      <c r="I8">
        <f>_xll.acq_options_binomial_american_price($C$4,F8,$C$6,$C$8,$C$9,$C$7,TRUE,500)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_xll.acq_options_binomial_american_price(M$4,$C$5,$L8,$C$8,$C$9,$C$7,TRUE)</f>
        <v>0.16136804829456403</v>
      </c>
      <c r="N8">
        <f>_xll.acq_options_binomial_american_price(N$4,$C$5,$L8,$C$8,$C$9,$C$7,TRUE)</f>
        <v>0.8860473909070643</v>
      </c>
      <c r="O8">
        <f>_xll.acq_options_binomial_american_price(O$4,$C$5,$L8,$C$8,$C$9,$C$7,TRUE)</f>
        <v>3.0435348720524895</v>
      </c>
      <c r="P8">
        <f>_xll.acq_options_binomial_american_price(P$4,$C$5,$L8,$C$8,$C$9,$C$7,TRUE)</f>
        <v>7.4083750302895854</v>
      </c>
      <c r="Q8">
        <f>_xll.acq_options_binomial_american_price(Q$4,$C$5,$L8,$C$8,$C$9,$C$7,TRUE)</f>
        <v>14.068853304358285</v>
      </c>
      <c r="R8">
        <f>_xll.acq_options_binomial_american_price(R$4,$C$5,$L8,$C$8,$C$9,$C$7,TRUE)</f>
        <v>22.426190917393427</v>
      </c>
      <c r="S8">
        <f>_xll.acq_options_binomial_american_price(S$4,$C$5,$L8,$C$8,$C$9,$C$7,TRUE)</f>
        <v>31.746454818833193</v>
      </c>
      <c r="U8" s="45">
        <v>0.2</v>
      </c>
      <c r="V8">
        <f>_xll.acq_options_binomial_american_price(V$4,$C$5,$U8,$C$8,$C$9,$C$7,FALSE)</f>
        <v>29.999999999993349</v>
      </c>
      <c r="W8">
        <f>_xll.acq_options_binomial_american_price(W$4,$C$5,$U8,$C$8,$C$9,$C$7,FALSE)</f>
        <v>20.13073400794984</v>
      </c>
      <c r="X8">
        <f>_xll.acq_options_binomial_american_price(X$4,$C$5,$U8,$C$8,$C$9,$C$7,FALSE)</f>
        <v>11.863106149450129</v>
      </c>
      <c r="Y8">
        <f>_xll.acq_options_binomial_american_price(Y$4,$C$5,$U8,$C$8,$C$9,$C$7,FALSE)</f>
        <v>6.0442186276654537</v>
      </c>
      <c r="Z8">
        <f>_xll.acq_options_binomial_american_price(Z$4,$C$5,$U8,$C$8,$C$9,$C$7,FALSE)</f>
        <v>2.6409942086201346</v>
      </c>
      <c r="AA8">
        <f>_xll.acq_options_binomial_american_price(AA$4,$C$5,$U8,$C$8,$C$9,$C$7,FALSE)</f>
        <v>0.98906799961525138</v>
      </c>
      <c r="AB8">
        <f>_xll.acq_options_binomial_american_price(AB$4,$C$5,$U8,$C$8,$C$9,$C$7,FALSE)</f>
        <v>0.3201665321074566</v>
      </c>
      <c r="AD8">
        <v>0.2</v>
      </c>
      <c r="AE8">
        <v>0.16136804829456403</v>
      </c>
      <c r="AF8">
        <v>0.8860473909070643</v>
      </c>
      <c r="AG8">
        <v>3.0435348720524895</v>
      </c>
      <c r="AH8">
        <v>7.4083750302895854</v>
      </c>
      <c r="AI8">
        <v>14.068853304358285</v>
      </c>
      <c r="AJ8">
        <v>22.426190917393427</v>
      </c>
      <c r="AK8">
        <v>31.746454818833193</v>
      </c>
      <c r="AM8">
        <v>0.2</v>
      </c>
      <c r="AN8">
        <v>29.999999999993349</v>
      </c>
      <c r="AO8">
        <v>20.13073400794984</v>
      </c>
      <c r="AP8">
        <v>11.863106149450129</v>
      </c>
      <c r="AQ8">
        <v>6.0442186276654537</v>
      </c>
      <c r="AR8">
        <v>2.6409942086201346</v>
      </c>
      <c r="AS8">
        <v>0.98906799961525138</v>
      </c>
      <c r="AT8">
        <v>0.3201665321074566</v>
      </c>
    </row>
    <row r="9" spans="1:46" x14ac:dyDescent="0.25">
      <c r="B9" t="s">
        <v>123</v>
      </c>
      <c r="C9" s="52">
        <v>0.01</v>
      </c>
      <c r="F9">
        <v>50</v>
      </c>
      <c r="G9">
        <f>_xll.acq_options_bjerksund_price($C$4,F9,$C$6,$C$8,$C$9,$C$7,TRUE)</f>
        <v>35.643402344547368</v>
      </c>
      <c r="H9">
        <f>_xll.acq_options_bjerksund_price($C$4,F9,$C$6,$C$8,$C$9,$C$7,FALSE)</f>
        <v>0.69626485422152484</v>
      </c>
      <c r="I9">
        <f>_xll.acq_options_binomial_american_price($C$4,F9,$C$6,$C$8,$C$9,$C$7,TRUE,500)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_xll.acq_options_binomial_american_price(M$4,$C$5,$L9,$C$8,$C$9,$C$7,TRUE)</f>
        <v>0.31325094901697909</v>
      </c>
      <c r="N9">
        <f>_xll.acq_options_binomial_american_price(N$4,$C$5,$L9,$C$8,$C$9,$C$7,TRUE)</f>
        <v>1.3206650122883798</v>
      </c>
      <c r="O9">
        <f>_xll.acq_options_binomial_american_price(O$4,$C$5,$L9,$C$8,$C$9,$C$7,TRUE)</f>
        <v>3.8215367979400421</v>
      </c>
      <c r="P9">
        <f>_xll.acq_options_binomial_american_price(P$4,$C$5,$L9,$C$8,$C$9,$C$7,TRUE)</f>
        <v>8.3729100913056413</v>
      </c>
      <c r="Q9">
        <f>_xll.acq_options_binomial_american_price(Q$4,$C$5,$L9,$C$8,$C$9,$C$7,TRUE)</f>
        <v>14.984356354747003</v>
      </c>
      <c r="R9">
        <f>_xll.acq_options_binomial_american_price(R$4,$C$5,$L9,$C$8,$C$9,$C$7,TRUE)</f>
        <v>23.161178919125021</v>
      </c>
      <c r="S9">
        <f>_xll.acq_options_binomial_american_price(S$4,$C$5,$L9,$C$8,$C$9,$C$7,TRUE)</f>
        <v>32.304511439276084</v>
      </c>
      <c r="U9" s="45">
        <v>0.25</v>
      </c>
      <c r="V9">
        <f>_xll.acq_options_binomial_american_price(V$4,$C$5,$U9,$C$8,$C$9,$C$7,FALSE)</f>
        <v>30.0000000000028</v>
      </c>
      <c r="W9">
        <f>_xll.acq_options_binomial_american_price(W$4,$C$5,$U9,$C$8,$C$9,$C$7,FALSE)</f>
        <v>20.274504805299543</v>
      </c>
      <c r="X9">
        <f>_xll.acq_options_binomial_american_price(X$4,$C$5,$U9,$C$8,$C$9,$C$7,FALSE)</f>
        <v>12.327876459814949</v>
      </c>
      <c r="Y9">
        <f>_xll.acq_options_binomial_american_price(Y$4,$C$5,$U9,$C$8,$C$9,$C$7,FALSE)</f>
        <v>6.6766919114698968</v>
      </c>
      <c r="Z9">
        <f>_xll.acq_options_binomial_american_price(Z$4,$C$5,$U9,$C$8,$C$9,$C$7,FALSE)</f>
        <v>3.2120003339687822</v>
      </c>
      <c r="AA9">
        <f>_xll.acq_options_binomial_american_price(AA$4,$C$5,$U9,$C$8,$C$9,$C$7,FALSE)</f>
        <v>1.3736497278310844</v>
      </c>
      <c r="AB9">
        <f>_xll.acq_options_binomial_american_price(AB$4,$C$5,$U9,$C$8,$C$9,$C$7,FALSE)</f>
        <v>0.52750606510265219</v>
      </c>
      <c r="AD9">
        <v>0.25</v>
      </c>
      <c r="AE9">
        <v>0.31325094901697909</v>
      </c>
      <c r="AF9">
        <v>1.3206650122883798</v>
      </c>
      <c r="AG9">
        <v>3.8215367979400421</v>
      </c>
      <c r="AH9">
        <v>8.3729100913056413</v>
      </c>
      <c r="AI9">
        <v>14.984356354747003</v>
      </c>
      <c r="AJ9">
        <v>23.161178919125021</v>
      </c>
      <c r="AK9">
        <v>32.304511439276084</v>
      </c>
      <c r="AM9">
        <v>0.25</v>
      </c>
      <c r="AN9">
        <v>30.0000000000028</v>
      </c>
      <c r="AO9">
        <v>20.274504805299543</v>
      </c>
      <c r="AP9">
        <v>12.327876459814949</v>
      </c>
      <c r="AQ9">
        <v>6.6766919114698968</v>
      </c>
      <c r="AR9">
        <v>3.2120003339687822</v>
      </c>
      <c r="AS9">
        <v>1.3736497278310844</v>
      </c>
      <c r="AT9">
        <v>0.52750606510265219</v>
      </c>
    </row>
    <row r="10" spans="1:46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28.279441719065261</v>
      </c>
      <c r="H10">
        <f>_xll.acq_options_bjerksund_price($C$4,F10,$C$6,$C$8,$C$9,$C$7,FALSE)</f>
        <v>2.071825152151348</v>
      </c>
      <c r="I10">
        <f>_xll.acq_options_binomial_american_price($C$4,F10,$C$6,$C$8,$C$9,$C$7,TRUE,500)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_xll.acq_options_binomial_american_price(M$4,$C$5,$L10,$C$8,$C$9,$C$7,TRUE)</f>
        <v>0.50723351768046687</v>
      </c>
      <c r="N10">
        <f>_xll.acq_options_binomial_american_price(N$4,$C$5,$L10,$C$8,$C$9,$C$7,TRUE)</f>
        <v>1.7778898294447549</v>
      </c>
      <c r="O10">
        <f>_xll.acq_options_binomial_american_price(O$4,$C$5,$L10,$C$8,$C$9,$C$7,TRUE)</f>
        <v>4.5610278170178651</v>
      </c>
      <c r="P10">
        <f>_xll.acq_options_binomial_american_price(P$4,$C$5,$L10,$C$8,$C$9,$C$7,TRUE)</f>
        <v>9.2600973651020233</v>
      </c>
      <c r="Q10">
        <f>_xll.acq_options_binomial_american_price(Q$4,$C$5,$L10,$C$8,$C$9,$C$7,TRUE)</f>
        <v>15.845950364108626</v>
      </c>
      <c r="R10">
        <f>_xll.acq_options_binomial_american_price(R$4,$C$5,$L10,$C$8,$C$9,$C$7,TRUE)</f>
        <v>23.88749944641949</v>
      </c>
      <c r="S10">
        <f>_xll.acq_options_binomial_american_price(S$4,$C$5,$L10,$C$8,$C$9,$C$7,TRUE)</f>
        <v>32.87973756386954</v>
      </c>
      <c r="U10" s="45">
        <v>0.3</v>
      </c>
      <c r="V10">
        <f>_xll.acq_options_binomial_american_price(V$4,$C$5,$U10,$C$8,$C$9,$C$7,FALSE)</f>
        <v>30.000000000002743</v>
      </c>
      <c r="W10">
        <f>_xll.acq_options_binomial_american_price(W$4,$C$5,$U10,$C$8,$C$9,$C$7,FALSE)</f>
        <v>20.440193582355914</v>
      </c>
      <c r="X10">
        <f>_xll.acq_options_binomial_american_price(X$4,$C$5,$U10,$C$8,$C$9,$C$7,FALSE)</f>
        <v>12.754290425942102</v>
      </c>
      <c r="Y10">
        <f>_xll.acq_options_binomial_american_price(Y$4,$C$5,$U10,$C$8,$C$9,$C$7,FALSE)</f>
        <v>7.2344336704707839</v>
      </c>
      <c r="Z10">
        <f>_xll.acq_options_binomial_american_price(Z$4,$C$5,$U10,$C$8,$C$9,$C$7,FALSE)</f>
        <v>3.7317306145519544</v>
      </c>
      <c r="AA10">
        <f>_xll.acq_options_binomial_american_price(AA$4,$C$5,$U10,$C$8,$C$9,$C$7,FALSE)</f>
        <v>1.7527580521189718</v>
      </c>
      <c r="AB10">
        <f>_xll.acq_options_binomial_american_price(AB$4,$C$5,$U10,$C$8,$C$9,$C$7,FALSE)</f>
        <v>0.75487996900595666</v>
      </c>
      <c r="AD10">
        <v>0.3</v>
      </c>
      <c r="AE10">
        <v>0.50723351768046687</v>
      </c>
      <c r="AF10">
        <v>1.7778898294447549</v>
      </c>
      <c r="AG10">
        <v>4.5610278170178651</v>
      </c>
      <c r="AH10">
        <v>9.2600973651020233</v>
      </c>
      <c r="AI10">
        <v>15.845950364108626</v>
      </c>
      <c r="AJ10">
        <v>23.88749944641949</v>
      </c>
      <c r="AK10">
        <v>32.87973756386954</v>
      </c>
      <c r="AM10">
        <v>0.3</v>
      </c>
      <c r="AN10">
        <v>30.000000000002743</v>
      </c>
      <c r="AO10">
        <v>20.440193582355914</v>
      </c>
      <c r="AP10">
        <v>12.754290425942102</v>
      </c>
      <c r="AQ10">
        <v>7.2344336704707839</v>
      </c>
      <c r="AR10">
        <v>3.7317306145519544</v>
      </c>
      <c r="AS10">
        <v>1.7527580521189718</v>
      </c>
      <c r="AT10">
        <v>0.75487996900595666</v>
      </c>
    </row>
    <row r="11" spans="1:46" x14ac:dyDescent="0.25">
      <c r="B11" t="s">
        <v>161</v>
      </c>
      <c r="C11" s="50">
        <f>C8-C9</f>
        <v>4.9999999999999996E-2</v>
      </c>
      <c r="F11">
        <v>70</v>
      </c>
      <c r="G11">
        <f>_xll.acq_options_bjerksund_price($C$4,F11,$C$6,$C$8,$C$9,$C$7,TRUE)</f>
        <v>21.91311176926208</v>
      </c>
      <c r="H11">
        <f>_xll.acq_options_bjerksund_price($C$4,F11,$C$6,$C$8,$C$9,$C$7,FALSE)</f>
        <v>4.6486349425354163</v>
      </c>
      <c r="I11">
        <f>_xll.acq_options_binomial_american_price($C$4,F11,$C$6,$C$8,$C$9,$C$7,TRUE,500)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_xll.acq_options_binomial_american_price(M$4,$C$5,$L11,$C$8,$C$9,$C$7,TRUE)</f>
        <v>0.73125251323826879</v>
      </c>
      <c r="N11">
        <f>_xll.acq_options_binomial_american_price(N$4,$C$5,$L11,$C$8,$C$9,$C$7,TRUE)</f>
        <v>2.2425629675526668</v>
      </c>
      <c r="O11">
        <f>_xll.acq_options_binomial_american_price(O$4,$C$5,$L11,$C$8,$C$9,$C$7,TRUE)</f>
        <v>5.2618578149379438</v>
      </c>
      <c r="P11">
        <f>_xll.acq_options_binomial_american_price(P$4,$C$5,$L11,$C$8,$C$9,$C$7,TRUE)</f>
        <v>10.08836927608</v>
      </c>
      <c r="Q11">
        <f>_xll.acq_options_binomial_american_price(Q$4,$C$5,$L11,$C$8,$C$9,$C$7,TRUE)</f>
        <v>16.658382519599211</v>
      </c>
      <c r="R11">
        <f>_xll.acq_options_binomial_american_price(R$4,$C$5,$L11,$C$8,$C$9,$C$7,TRUE)</f>
        <v>24.600440523935646</v>
      </c>
      <c r="S11">
        <f>_xll.acq_options_binomial_american_price(S$4,$C$5,$L11,$C$8,$C$9,$C$7,TRUE)</f>
        <v>33.465938073747651</v>
      </c>
      <c r="U11" s="45">
        <v>0.35</v>
      </c>
      <c r="V11">
        <f>_xll.acq_options_binomial_american_price(V$4,$C$5,$U11,$C$8,$C$9,$C$7,FALSE)</f>
        <v>29.999999999996248</v>
      </c>
      <c r="W11">
        <f>_xll.acq_options_binomial_american_price(W$4,$C$5,$U11,$C$8,$C$9,$C$7,FALSE)</f>
        <v>20.614981977575212</v>
      </c>
      <c r="X11">
        <f>_xll.acq_options_binomial_american_price(X$4,$C$5,$U11,$C$8,$C$9,$C$7,FALSE)</f>
        <v>13.14532203793252</v>
      </c>
      <c r="Y11">
        <f>_xll.acq_options_binomial_american_price(Y$4,$C$5,$U11,$C$8,$C$9,$C$7,FALSE)</f>
        <v>7.735689758679209</v>
      </c>
      <c r="Z11">
        <f>_xll.acq_options_binomial_american_price(Z$4,$C$5,$U11,$C$8,$C$9,$C$7,FALSE)</f>
        <v>4.2065120657730173</v>
      </c>
      <c r="AA11">
        <f>_xll.acq_options_binomial_american_price(AA$4,$C$5,$U11,$C$8,$C$9,$C$7,FALSE)</f>
        <v>2.1214486509235293</v>
      </c>
      <c r="AB11">
        <f>_xll.acq_options_binomial_american_price(AB$4,$C$5,$U11,$C$8,$C$9,$C$7,FALSE)</f>
        <v>0.99553681262010585</v>
      </c>
      <c r="AD11">
        <v>0.35</v>
      </c>
      <c r="AE11">
        <v>0.73125251323826879</v>
      </c>
      <c r="AF11">
        <v>2.2425629675526668</v>
      </c>
      <c r="AG11">
        <v>5.2618578149379438</v>
      </c>
      <c r="AH11">
        <v>10.08836927608</v>
      </c>
      <c r="AI11">
        <v>16.658382519599211</v>
      </c>
      <c r="AJ11">
        <v>24.600440523935646</v>
      </c>
      <c r="AK11">
        <v>33.465938073747651</v>
      </c>
      <c r="AM11">
        <v>0.35</v>
      </c>
      <c r="AN11">
        <v>29.999999999996248</v>
      </c>
      <c r="AO11">
        <v>20.614981977575212</v>
      </c>
      <c r="AP11">
        <v>13.14532203793252</v>
      </c>
      <c r="AQ11">
        <v>7.735689758679209</v>
      </c>
      <c r="AR11">
        <v>4.2065120657730173</v>
      </c>
      <c r="AS11">
        <v>2.1214486509235293</v>
      </c>
      <c r="AT11">
        <v>0.99553681262010585</v>
      </c>
    </row>
    <row r="12" spans="1:46" x14ac:dyDescent="0.25">
      <c r="F12">
        <v>80</v>
      </c>
      <c r="G12">
        <f>_xll.acq_options_bjerksund_price($C$4,F12,$C$6,$C$8,$C$9,$C$7,TRUE)</f>
        <v>16.652674296504312</v>
      </c>
      <c r="H12">
        <f>_xll.acq_options_bjerksund_price($C$4,F12,$C$6,$C$8,$C$9,$C$7,FALSE)</f>
        <v>8.6709751755216189</v>
      </c>
      <c r="I12">
        <f>_xll.acq_options_binomial_american_price($C$4,F12,$C$6,$C$8,$C$9,$C$7,TRUE,500)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_xll.acq_options_binomial_american_price(M$4,$C$5,$L12,$C$8,$C$9,$C$7,TRUE)</f>
        <v>0.98074725352978653</v>
      </c>
      <c r="N12">
        <f>_xll.acq_options_binomial_american_price(N$4,$C$5,$L12,$C$8,$C$9,$C$7,TRUE)</f>
        <v>2.7108623936882199</v>
      </c>
      <c r="O12">
        <f>_xll.acq_options_binomial_american_price(O$4,$C$5,$L12,$C$8,$C$9,$C$7,TRUE)</f>
        <v>5.9331503559943091</v>
      </c>
      <c r="P12">
        <f>_xll.acq_options_binomial_american_price(P$4,$C$5,$L12,$C$8,$C$9,$C$7,TRUE)</f>
        <v>10.869747155346124</v>
      </c>
      <c r="Q12">
        <f>_xll.acq_options_binomial_american_price(Q$4,$C$5,$L12,$C$8,$C$9,$C$7,TRUE)</f>
        <v>17.439320147336176</v>
      </c>
      <c r="R12">
        <f>_xll.acq_options_binomial_american_price(R$4,$C$5,$L12,$C$8,$C$9,$C$7,TRUE)</f>
        <v>25.292119275335775</v>
      </c>
      <c r="S12">
        <f>_xll.acq_options_binomial_american_price(S$4,$C$5,$L12,$C$8,$C$9,$C$7,TRUE)</f>
        <v>34.052619910449579</v>
      </c>
      <c r="U12" s="45">
        <v>0.4</v>
      </c>
      <c r="V12">
        <f>_xll.acq_options_binomial_american_price(V$4,$C$5,$U12,$C$8,$C$9,$C$7,FALSE)</f>
        <v>29.999999999999787</v>
      </c>
      <c r="W12">
        <f>_xll.acq_options_binomial_american_price(W$4,$C$5,$U12,$C$8,$C$9,$C$7,FALSE)</f>
        <v>20.79423171930236</v>
      </c>
      <c r="X12">
        <f>_xll.acq_options_binomial_american_price(X$4,$C$5,$U12,$C$8,$C$9,$C$7,FALSE)</f>
        <v>13.507534862877332</v>
      </c>
      <c r="Y12">
        <f>_xll.acq_options_binomial_american_price(Y$4,$C$5,$U12,$C$8,$C$9,$C$7,FALSE)</f>
        <v>8.1923374611286697</v>
      </c>
      <c r="Z12">
        <f>_xll.acq_options_binomial_american_price(Z$4,$C$5,$U12,$C$8,$C$9,$C$7,FALSE)</f>
        <v>4.6510025026004902</v>
      </c>
      <c r="AA12">
        <f>_xll.acq_options_binomial_american_price(AA$4,$C$5,$U12,$C$8,$C$9,$C$7,FALSE)</f>
        <v>2.4723128103769398</v>
      </c>
      <c r="AB12">
        <f>_xll.acq_options_binomial_american_price(AB$4,$C$5,$U12,$C$8,$C$9,$C$7,FALSE)</f>
        <v>1.2394163077110454</v>
      </c>
      <c r="AD12">
        <v>0.4</v>
      </c>
      <c r="AE12">
        <v>0.98074725352978653</v>
      </c>
      <c r="AF12">
        <v>2.7108623936882199</v>
      </c>
      <c r="AG12">
        <v>5.9331503559943091</v>
      </c>
      <c r="AH12">
        <v>10.869747155346124</v>
      </c>
      <c r="AI12">
        <v>17.439320147336176</v>
      </c>
      <c r="AJ12">
        <v>25.292119275335775</v>
      </c>
      <c r="AK12">
        <v>34.052619910449579</v>
      </c>
      <c r="AM12">
        <v>0.4</v>
      </c>
      <c r="AN12">
        <v>29.999999999999787</v>
      </c>
      <c r="AO12">
        <v>20.79423171930236</v>
      </c>
      <c r="AP12">
        <v>13.507534862877332</v>
      </c>
      <c r="AQ12">
        <v>8.1923374611286697</v>
      </c>
      <c r="AR12">
        <v>4.6510025026004902</v>
      </c>
      <c r="AS12">
        <v>2.4723128103769398</v>
      </c>
      <c r="AT12">
        <v>1.2394163077110454</v>
      </c>
    </row>
    <row r="13" spans="1:46" x14ac:dyDescent="0.25">
      <c r="F13">
        <v>90</v>
      </c>
      <c r="G13">
        <f>_xll.acq_options_bjerksund_price($C$4,F13,$C$6,$C$8,$C$9,$C$7,TRUE)</f>
        <v>12.463130758360883</v>
      </c>
      <c r="H13">
        <f>_xll.acq_options_bjerksund_price($C$4,F13,$C$6,$C$8,$C$9,$C$7,FALSE)</f>
        <v>14.248771349045811</v>
      </c>
      <c r="I13">
        <f>_xll.acq_options_binomial_american_price($C$4,F13,$C$6,$C$8,$C$9,$C$7,TRUE,500)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_xll.acq_options_binomial_american_price(M$4,$C$5,$L13,$C$8,$C$9,$C$7,TRUE)</f>
        <v>1.2470004782783017</v>
      </c>
      <c r="N13">
        <f>_xll.acq_options_binomial_american_price(N$4,$C$5,$L13,$C$8,$C$9,$C$7,TRUE)</f>
        <v>3.1843266342166752</v>
      </c>
      <c r="O13">
        <f>_xll.acq_options_binomial_american_price(O$4,$C$5,$L13,$C$8,$C$9,$C$7,TRUE)</f>
        <v>6.5857879830962656</v>
      </c>
      <c r="P13">
        <f>_xll.acq_options_binomial_american_price(P$4,$C$5,$L13,$C$8,$C$9,$C$7,TRUE)</f>
        <v>11.612589204012622</v>
      </c>
      <c r="Q13">
        <f>_xll.acq_options_binomial_american_price(Q$4,$C$5,$L13,$C$8,$C$9,$C$7,TRUE)</f>
        <v>18.18171358281873</v>
      </c>
      <c r="R13">
        <f>_xll.acq_options_binomial_american_price(R$4,$C$5,$L13,$C$8,$C$9,$C$7,TRUE)</f>
        <v>25.972533818763516</v>
      </c>
      <c r="S13">
        <f>_xll.acq_options_binomial_american_price(S$4,$C$5,$L13,$C$8,$C$9,$C$7,TRUE)</f>
        <v>34.63989179675373</v>
      </c>
      <c r="U13" s="45">
        <v>0.45</v>
      </c>
      <c r="V13">
        <f>_xll.acq_options_binomial_american_price(V$4,$C$5,$U13,$C$8,$C$9,$C$7,FALSE)</f>
        <v>29.999999999992809</v>
      </c>
      <c r="W13">
        <f>_xll.acq_options_binomial_american_price(W$4,$C$5,$U13,$C$8,$C$9,$C$7,FALSE)</f>
        <v>20.976031447468223</v>
      </c>
      <c r="X13">
        <f>_xll.acq_options_binomial_american_price(X$4,$C$5,$U13,$C$8,$C$9,$C$7,FALSE)</f>
        <v>13.850939518869161</v>
      </c>
      <c r="Y13">
        <f>_xll.acq_options_binomial_american_price(Y$4,$C$5,$U13,$C$8,$C$9,$C$7,FALSE)</f>
        <v>8.6126322014121452</v>
      </c>
      <c r="Z13">
        <f>_xll.acq_options_binomial_american_price(Z$4,$C$5,$U13,$C$8,$C$9,$C$7,FALSE)</f>
        <v>5.0602658139661454</v>
      </c>
      <c r="AA13">
        <f>_xll.acq_options_binomial_american_price(AA$4,$C$5,$U13,$C$8,$C$9,$C$7,FALSE)</f>
        <v>2.8133889019011615</v>
      </c>
      <c r="AB13">
        <f>_xll.acq_options_binomial_american_price(AB$4,$C$5,$U13,$C$8,$C$9,$C$7,FALSE)</f>
        <v>1.4858297365660946</v>
      </c>
      <c r="AD13">
        <v>0.45</v>
      </c>
      <c r="AE13">
        <v>1.2470004782783017</v>
      </c>
      <c r="AF13">
        <v>3.1843266342166752</v>
      </c>
      <c r="AG13">
        <v>6.5857879830962656</v>
      </c>
      <c r="AH13">
        <v>11.612589204012622</v>
      </c>
      <c r="AI13">
        <v>18.18171358281873</v>
      </c>
      <c r="AJ13">
        <v>25.972533818763516</v>
      </c>
      <c r="AK13">
        <v>34.63989179675373</v>
      </c>
      <c r="AM13">
        <v>0.45</v>
      </c>
      <c r="AN13">
        <v>29.999999999992809</v>
      </c>
      <c r="AO13">
        <v>20.976031447468223</v>
      </c>
      <c r="AP13">
        <v>13.850939518869161</v>
      </c>
      <c r="AQ13">
        <v>8.6126322014121452</v>
      </c>
      <c r="AR13">
        <v>5.0602658139661454</v>
      </c>
      <c r="AS13">
        <v>2.8133889019011615</v>
      </c>
      <c r="AT13">
        <v>1.4858297365660946</v>
      </c>
    </row>
    <row r="14" spans="1:46" x14ac:dyDescent="0.25">
      <c r="F14">
        <v>100</v>
      </c>
      <c r="G14">
        <f>_xll.acq_options_bjerksund_price($C$4,F14,$C$6,$C$8,$C$9,$C$7,TRUE)</f>
        <v>9.2205494082655974</v>
      </c>
      <c r="H14">
        <f>_xll.acq_options_bjerksund_price($C$4,F14,$C$6,$C$8,$C$9,$C$7,FALSE)</f>
        <v>21.396364685483899</v>
      </c>
      <c r="I14">
        <f>_xll.acq_options_binomial_american_price($C$4,F14,$C$6,$C$8,$C$9,$C$7,TRUE,500)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_xll.acq_options_binomial_american_price(M$4,$C$5,$L14,$C$8,$C$9,$C$7,TRUE)</f>
        <v>1.5281847509030895</v>
      </c>
      <c r="N14">
        <f>_xll.acq_options_binomial_american_price(N$4,$C$5,$L14,$C$8,$C$9,$C$7,TRUE)</f>
        <v>3.6455355589481657</v>
      </c>
      <c r="O14">
        <f>_xll.acq_options_binomial_american_price(O$4,$C$5,$L14,$C$8,$C$9,$C$7,TRUE)</f>
        <v>7.2111511027985165</v>
      </c>
      <c r="P14">
        <f>_xll.acq_options_binomial_american_price(P$4,$C$5,$L14,$C$8,$C$9,$C$7,TRUE)</f>
        <v>12.322987010315092</v>
      </c>
      <c r="Q14">
        <f>_xll.acq_options_binomial_american_price(Q$4,$C$5,$L14,$C$8,$C$9,$C$7,TRUE)</f>
        <v>18.891665822159915</v>
      </c>
      <c r="R14">
        <f>_xll.acq_options_binomial_american_price(R$4,$C$5,$L14,$C$8,$C$9,$C$7,TRUE)</f>
        <v>26.629771214566016</v>
      </c>
      <c r="S14">
        <f>_xll.acq_options_binomial_american_price(S$4,$C$5,$L14,$C$8,$C$9,$C$7,TRUE)</f>
        <v>35.225855437579256</v>
      </c>
      <c r="U14" s="45">
        <v>0.5</v>
      </c>
      <c r="V14">
        <f>_xll.acq_options_binomial_american_price(V$4,$C$5,$U14,$C$8,$C$9,$C$7,FALSE)</f>
        <v>30.01357994271202</v>
      </c>
      <c r="W14">
        <f>_xll.acq_options_binomial_american_price(W$4,$C$5,$U14,$C$8,$C$9,$C$7,FALSE)</f>
        <v>21.15200671396223</v>
      </c>
      <c r="X14">
        <f>_xll.acq_options_binomial_american_price(X$4,$C$5,$U14,$C$8,$C$9,$C$7,FALSE)</f>
        <v>14.170235970354575</v>
      </c>
      <c r="Y14">
        <f>_xll.acq_options_binomial_american_price(Y$4,$C$5,$U14,$C$8,$C$9,$C$7,FALSE)</f>
        <v>9.0025754232218205</v>
      </c>
      <c r="Z14">
        <f>_xll.acq_options_binomial_american_price(Z$4,$C$5,$U14,$C$8,$C$9,$C$7,FALSE)</f>
        <v>5.440504492483285</v>
      </c>
      <c r="AA14">
        <f>_xll.acq_options_binomial_american_price(AA$4,$C$5,$U14,$C$8,$C$9,$C$7,FALSE)</f>
        <v>3.1354763991069881</v>
      </c>
      <c r="AB14">
        <f>_xll.acq_options_binomial_american_price(AB$4,$C$5,$U14,$C$8,$C$9,$C$7,FALSE)</f>
        <v>1.7335499493219952</v>
      </c>
      <c r="AD14">
        <v>0.5</v>
      </c>
      <c r="AE14">
        <v>1.5281847509030895</v>
      </c>
      <c r="AF14">
        <v>3.6455355589481657</v>
      </c>
      <c r="AG14">
        <v>7.2111511027985165</v>
      </c>
      <c r="AH14">
        <v>12.322987010315092</v>
      </c>
      <c r="AI14">
        <v>18.891665822159915</v>
      </c>
      <c r="AJ14">
        <v>26.629771214566016</v>
      </c>
      <c r="AK14">
        <v>35.225855437579256</v>
      </c>
      <c r="AM14">
        <v>0.5</v>
      </c>
      <c r="AN14">
        <v>30.01357994271202</v>
      </c>
      <c r="AO14">
        <v>21.15200671396223</v>
      </c>
      <c r="AP14">
        <v>14.170235970354575</v>
      </c>
      <c r="AQ14">
        <v>9.0025754232218205</v>
      </c>
      <c r="AR14">
        <v>5.440504492483285</v>
      </c>
      <c r="AS14">
        <v>3.1354763991069881</v>
      </c>
      <c r="AT14">
        <v>1.7335499493219952</v>
      </c>
    </row>
    <row r="15" spans="1:46" x14ac:dyDescent="0.25">
      <c r="F15">
        <v>110</v>
      </c>
      <c r="G15">
        <f>_xll.acq_options_bjerksund_price($C$4,F15,$C$6,$C$8,$C$9,$C$7,TRUE)</f>
        <v>6.764545757397002</v>
      </c>
      <c r="H15">
        <f>_xll.acq_options_bjerksund_price($C$4,F15,$C$6,$C$8,$C$9,$C$7,FALSE)</f>
        <v>30.076670594006217</v>
      </c>
      <c r="I15">
        <f>_xll.acq_options_binomial_american_price($C$4,F15,$C$6,$C$8,$C$9,$C$7,TRUE,500)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_xll.acq_options_binomial_american_price(M$4,$C$5,$L15,$C$8,$C$9,$C$7,TRUE)</f>
        <v>1.8239007301477845</v>
      </c>
      <c r="N15">
        <f>_xll.acq_options_binomial_american_price(N$4,$C$5,$L15,$C$8,$C$9,$C$7,TRUE)</f>
        <v>4.1151087291769262</v>
      </c>
      <c r="O15">
        <f>_xll.acq_options_binomial_american_price(O$4,$C$5,$L15,$C$8,$C$9,$C$7,TRUE)</f>
        <v>7.813111808473657</v>
      </c>
      <c r="P15">
        <f>_xll.acq_options_binomial_american_price(P$4,$C$5,$L15,$C$8,$C$9,$C$7,TRUE)</f>
        <v>13.005543865476119</v>
      </c>
      <c r="Q15">
        <f>_xll.acq_options_binomial_american_price(Q$4,$C$5,$L15,$C$8,$C$9,$C$7,TRUE)</f>
        <v>19.5823066688422</v>
      </c>
      <c r="R15">
        <f>_xll.acq_options_binomial_american_price(R$4,$C$5,$L15,$C$8,$C$9,$C$7,TRUE)</f>
        <v>27.281215949496463</v>
      </c>
      <c r="S15">
        <f>_xll.acq_options_binomial_american_price(S$4,$C$5,$L15,$C$8,$C$9,$C$7,TRUE)</f>
        <v>35.798090255173449</v>
      </c>
      <c r="U15" s="45">
        <v>0.55000000000000004</v>
      </c>
      <c r="V15">
        <f>_xll.acq_options_binomial_american_price(V$4,$C$5,$U15,$C$8,$C$9,$C$7,FALSE)</f>
        <v>30.038544836649557</v>
      </c>
      <c r="W15">
        <f>_xll.acq_options_binomial_american_price(W$4,$C$5,$U15,$C$8,$C$9,$C$7,FALSE)</f>
        <v>21.330445738968635</v>
      </c>
      <c r="X15">
        <f>_xll.acq_options_binomial_american_price(X$4,$C$5,$U15,$C$8,$C$9,$C$7,FALSE)</f>
        <v>14.468681374332336</v>
      </c>
      <c r="Y15">
        <f>_xll.acq_options_binomial_american_price(Y$4,$C$5,$U15,$C$8,$C$9,$C$7,FALSE)</f>
        <v>9.3666840898581079</v>
      </c>
      <c r="Z15">
        <f>_xll.acq_options_binomial_american_price(Z$4,$C$5,$U15,$C$8,$C$9,$C$7,FALSE)</f>
        <v>5.8034874671570558</v>
      </c>
      <c r="AA15">
        <f>_xll.acq_options_binomial_american_price(AA$4,$C$5,$U15,$C$8,$C$9,$C$7,FALSE)</f>
        <v>3.4522522165303364</v>
      </c>
      <c r="AB15">
        <f>_xll.acq_options_binomial_american_price(AB$4,$C$5,$U15,$C$8,$C$9,$C$7,FALSE)</f>
        <v>1.9708398941787317</v>
      </c>
      <c r="AD15">
        <v>0.55000000000000004</v>
      </c>
      <c r="AE15">
        <v>1.8239007301477845</v>
      </c>
      <c r="AF15">
        <v>4.1151087291769262</v>
      </c>
      <c r="AG15">
        <v>7.813111808473657</v>
      </c>
      <c r="AH15">
        <v>13.005543865476119</v>
      </c>
      <c r="AI15">
        <v>19.5823066688422</v>
      </c>
      <c r="AJ15">
        <v>27.281215949496463</v>
      </c>
      <c r="AK15">
        <v>35.798090255173449</v>
      </c>
      <c r="AM15">
        <v>0.55000000000000004</v>
      </c>
      <c r="AN15">
        <v>30.038544836649557</v>
      </c>
      <c r="AO15">
        <v>21.330445738968635</v>
      </c>
      <c r="AP15">
        <v>14.468681374332336</v>
      </c>
      <c r="AQ15">
        <v>9.3666840898581079</v>
      </c>
      <c r="AR15">
        <v>5.8034874671570558</v>
      </c>
      <c r="AS15">
        <v>3.4522522165303364</v>
      </c>
      <c r="AT15">
        <v>1.9708398941787317</v>
      </c>
    </row>
    <row r="16" spans="1:46" x14ac:dyDescent="0.25">
      <c r="F16">
        <v>120</v>
      </c>
      <c r="G16">
        <f>_xll.acq_options_bjerksund_price($C$4,F16,$C$6,$C$8,$C$9,$C$7,TRUE)</f>
        <v>4.9338385245174976</v>
      </c>
      <c r="H16">
        <f>_xll.acq_options_bjerksund_price($C$4,F16,$C$6,$C$8,$C$9,$C$7,FALSE)</f>
        <v>40</v>
      </c>
      <c r="I16">
        <f>_xll.acq_options_binomial_american_price($C$4,F16,$C$6,$C$8,$C$9,$C$7,TRUE,500)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_xll.acq_options_binomial_american_price(M$4,$C$5,$L16,$C$8,$C$9,$C$7,TRUE)</f>
        <v>2.1215661214389336</v>
      </c>
      <c r="N16">
        <f>_xll.acq_options_binomial_american_price(N$4,$C$5,$L16,$C$8,$C$9,$C$7,TRUE)</f>
        <v>4.5729995607255551</v>
      </c>
      <c r="O16">
        <f>_xll.acq_options_binomial_american_price(O$4,$C$5,$L16,$C$8,$C$9,$C$7,TRUE)</f>
        <v>8.3961077286980821</v>
      </c>
      <c r="P16">
        <f>_xll.acq_options_binomial_american_price(P$4,$C$5,$L16,$C$8,$C$9,$C$7,TRUE)</f>
        <v>13.663839736257879</v>
      </c>
      <c r="Q16">
        <f>_xll.acq_options_binomial_american_price(Q$4,$C$5,$L16,$C$8,$C$9,$C$7,TRUE)</f>
        <v>20.254066648520276</v>
      </c>
      <c r="R16">
        <f>_xll.acq_options_binomial_american_price(R$4,$C$5,$L16,$C$8,$C$9,$C$7,TRUE)</f>
        <v>27.910096953130402</v>
      </c>
      <c r="S16">
        <f>_xll.acq_options_binomial_american_price(S$4,$C$5,$L16,$C$8,$C$9,$C$7,TRUE)</f>
        <v>36.376463582641435</v>
      </c>
      <c r="U16" s="45">
        <v>0.6</v>
      </c>
      <c r="V16">
        <f>_xll.acq_options_binomial_american_price(V$4,$C$5,$U16,$C$8,$C$9,$C$7,FALSE)</f>
        <v>30.070414645125808</v>
      </c>
      <c r="W16">
        <f>_xll.acq_options_binomial_american_price(W$4,$C$5,$U16,$C$8,$C$9,$C$7,FALSE)</f>
        <v>21.502433988306827</v>
      </c>
      <c r="X16">
        <f>_xll.acq_options_binomial_american_price(X$4,$C$5,$U16,$C$8,$C$9,$C$7,FALSE)</f>
        <v>14.749679016584579</v>
      </c>
      <c r="Y16">
        <f>_xll.acq_options_binomial_american_price(Y$4,$C$5,$U16,$C$8,$C$9,$C$7,FALSE)</f>
        <v>9.7084828669159471</v>
      </c>
      <c r="Z16">
        <f>_xll.acq_options_binomial_american_price(Z$4,$C$5,$U16,$C$8,$C$9,$C$7,FALSE)</f>
        <v>6.1485117480984979</v>
      </c>
      <c r="AA16">
        <f>_xll.acq_options_binomial_american_price(AA$4,$C$5,$U16,$C$8,$C$9,$C$7,FALSE)</f>
        <v>3.7497888277682891</v>
      </c>
      <c r="AB16">
        <f>_xll.acq_options_binomial_american_price(AB$4,$C$5,$U16,$C$8,$C$9,$C$7,FALSE)</f>
        <v>2.2146665611764895</v>
      </c>
      <c r="AD16">
        <v>0.6</v>
      </c>
      <c r="AE16">
        <v>2.1215661214389336</v>
      </c>
      <c r="AF16">
        <v>4.5729995607255551</v>
      </c>
      <c r="AG16">
        <v>8.3961077286980821</v>
      </c>
      <c r="AH16">
        <v>13.663839736257879</v>
      </c>
      <c r="AI16">
        <v>20.254066648520276</v>
      </c>
      <c r="AJ16">
        <v>27.910096953130402</v>
      </c>
      <c r="AK16">
        <v>36.376463582641435</v>
      </c>
      <c r="AM16">
        <v>0.6</v>
      </c>
      <c r="AN16">
        <v>30.070414645125808</v>
      </c>
      <c r="AO16">
        <v>21.502433988306827</v>
      </c>
      <c r="AP16">
        <v>14.749679016584579</v>
      </c>
      <c r="AQ16">
        <v>9.7084828669159471</v>
      </c>
      <c r="AR16">
        <v>6.1485117480984979</v>
      </c>
      <c r="AS16">
        <v>3.7497888277682891</v>
      </c>
      <c r="AT16">
        <v>2.2146665611764895</v>
      </c>
    </row>
    <row r="17" spans="6:46" x14ac:dyDescent="0.25">
      <c r="F17">
        <v>130</v>
      </c>
      <c r="G17">
        <f>_xll.acq_options_bjerksund_price($C$4,F17,$C$6,$C$8,$C$9,$C$7,TRUE)</f>
        <v>3.5849682046450511</v>
      </c>
      <c r="H17">
        <f>_xll.acq_options_bjerksund_price($C$4,F17,$C$6,$C$8,$C$9,$C$7,FALSE)</f>
        <v>50</v>
      </c>
      <c r="I17">
        <f>_xll.acq_options_binomial_american_price($C$4,F17,$C$6,$C$8,$C$9,$C$7,TRUE,500)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_xll.acq_options_binomial_american_price(M$4,$C$5,$L17,$C$8,$C$9,$C$7,TRUE)</f>
        <v>2.4322564265597215</v>
      </c>
      <c r="N17">
        <f>_xll.acq_options_binomial_american_price(N$4,$C$5,$L17,$C$8,$C$9,$C$7,TRUE)</f>
        <v>5.0224921872256481</v>
      </c>
      <c r="O17">
        <f>_xll.acq_options_binomial_american_price(O$4,$C$5,$L17,$C$8,$C$9,$C$7,TRUE)</f>
        <v>8.9736290576865478</v>
      </c>
      <c r="P17">
        <f>_xll.acq_options_binomial_american_price(P$4,$C$5,$L17,$C$8,$C$9,$C$7,TRUE)</f>
        <v>14.300724555368561</v>
      </c>
      <c r="Q17">
        <f>_xll.acq_options_binomial_american_price(Q$4,$C$5,$L17,$C$8,$C$9,$C$7,TRUE)</f>
        <v>20.903720858487453</v>
      </c>
      <c r="R17">
        <f>_xll.acq_options_binomial_american_price(R$4,$C$5,$L17,$C$8,$C$9,$C$7,TRUE)</f>
        <v>28.523264212015864</v>
      </c>
      <c r="S17">
        <f>_xll.acq_options_binomial_american_price(S$4,$C$5,$L17,$C$8,$C$9,$C$7,TRUE)</f>
        <v>36.937673160665199</v>
      </c>
      <c r="U17" s="45">
        <v>0.65</v>
      </c>
      <c r="V17">
        <f>_xll.acq_options_binomial_american_price(V$4,$C$5,$U17,$C$8,$C$9,$C$7,FALSE)</f>
        <v>30.111791078120248</v>
      </c>
      <c r="W17">
        <f>_xll.acq_options_binomial_american_price(W$4,$C$5,$U17,$C$8,$C$9,$C$7,FALSE)</f>
        <v>21.668180784889717</v>
      </c>
      <c r="X17">
        <f>_xll.acq_options_binomial_american_price(X$4,$C$5,$U17,$C$8,$C$9,$C$7,FALSE)</f>
        <v>15.022913971768219</v>
      </c>
      <c r="Y17">
        <f>_xll.acq_options_binomial_american_price(Y$4,$C$5,$U17,$C$8,$C$9,$C$7,FALSE)</f>
        <v>10.030755857159793</v>
      </c>
      <c r="Z17">
        <f>_xll.acq_options_binomial_american_price(Z$4,$C$5,$U17,$C$8,$C$9,$C$7,FALSE)</f>
        <v>6.4738643533267375</v>
      </c>
      <c r="AA17">
        <f>_xll.acq_options_binomial_american_price(AA$4,$C$5,$U17,$C$8,$C$9,$C$7,FALSE)</f>
        <v>4.0351902216613516</v>
      </c>
      <c r="AB17">
        <f>_xll.acq_options_binomial_american_price(AB$4,$C$5,$U17,$C$8,$C$9,$C$7,FALSE)</f>
        <v>2.4447713399422337</v>
      </c>
      <c r="AD17">
        <v>0.65</v>
      </c>
      <c r="AE17">
        <v>2.4322564265597215</v>
      </c>
      <c r="AF17">
        <v>5.0224921872256481</v>
      </c>
      <c r="AG17">
        <v>8.9736290576865478</v>
      </c>
      <c r="AH17">
        <v>14.300724555368561</v>
      </c>
      <c r="AI17">
        <v>20.903720858487453</v>
      </c>
      <c r="AJ17">
        <v>28.523264212015864</v>
      </c>
      <c r="AK17">
        <v>36.937673160665199</v>
      </c>
      <c r="AM17">
        <v>0.65</v>
      </c>
      <c r="AN17">
        <v>30.111791078120248</v>
      </c>
      <c r="AO17">
        <v>21.668180784889717</v>
      </c>
      <c r="AP17">
        <v>15.022913971768219</v>
      </c>
      <c r="AQ17">
        <v>10.030755857159793</v>
      </c>
      <c r="AR17">
        <v>6.4738643533267375</v>
      </c>
      <c r="AS17">
        <v>4.0351902216613516</v>
      </c>
      <c r="AT17">
        <v>2.4447713399422337</v>
      </c>
    </row>
    <row r="18" spans="6:46" x14ac:dyDescent="0.25">
      <c r="F18">
        <v>140</v>
      </c>
      <c r="G18">
        <f>_xll.acq_options_bjerksund_price($C$4,F18,$C$6,$C$8,$C$9,$C$7,TRUE)</f>
        <v>2.5992260921809418</v>
      </c>
      <c r="H18">
        <f>_xll.acq_options_bjerksund_price($C$4,F18,$C$6,$C$8,$C$9,$C$7,FALSE)</f>
        <v>60</v>
      </c>
      <c r="I18">
        <f>_xll.acq_options_binomial_american_price($C$4,F18,$C$6,$C$8,$C$9,$C$7,TRUE,500)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_xll.acq_options_binomial_american_price(M$4,$C$5,$L18,$C$8,$C$9,$C$7,TRUE)</f>
        <v>2.7398970024350779</v>
      </c>
      <c r="N18">
        <f>_xll.acq_options_binomial_american_price(N$4,$C$5,$L18,$C$8,$C$9,$C$7,TRUE)</f>
        <v>5.4783444827316536</v>
      </c>
      <c r="O18">
        <f>_xll.acq_options_binomial_american_price(O$4,$C$5,$L18,$C$8,$C$9,$C$7,TRUE)</f>
        <v>9.5345453500097577</v>
      </c>
      <c r="P18">
        <f>_xll.acq_options_binomial_american_price(P$4,$C$5,$L18,$C$8,$C$9,$C$7,TRUE)</f>
        <v>14.918511496002189</v>
      </c>
      <c r="Q18">
        <f>_xll.acq_options_binomial_american_price(Q$4,$C$5,$L18,$C$8,$C$9,$C$7,TRUE)</f>
        <v>21.533662877514285</v>
      </c>
      <c r="R18">
        <f>_xll.acq_options_binomial_american_price(R$4,$C$5,$L18,$C$8,$C$9,$C$7,TRUE)</f>
        <v>29.133690903382561</v>
      </c>
      <c r="S18">
        <f>_xll.acq_options_binomial_american_price(S$4,$C$5,$L18,$C$8,$C$9,$C$7,TRUE)</f>
        <v>37.498997043070389</v>
      </c>
      <c r="U18" s="45">
        <v>0.7</v>
      </c>
      <c r="V18">
        <f>_xll.acq_options_binomial_american_price(V$4,$C$5,$U18,$C$8,$C$9,$C$7,FALSE)</f>
        <v>30.155643983820472</v>
      </c>
      <c r="W18">
        <f>_xll.acq_options_binomial_american_price(W$4,$C$5,$U18,$C$8,$C$9,$C$7,FALSE)</f>
        <v>21.835712678340293</v>
      </c>
      <c r="X18">
        <f>_xll.acq_options_binomial_american_price(X$4,$C$5,$U18,$C$8,$C$9,$C$7,FALSE)</f>
        <v>15.282133973957995</v>
      </c>
      <c r="Y18">
        <f>_xll.acq_options_binomial_american_price(Y$4,$C$5,$U18,$C$8,$C$9,$C$7,FALSE)</f>
        <v>10.33578045914636</v>
      </c>
      <c r="Z18">
        <f>_xll.acq_options_binomial_american_price(Z$4,$C$5,$U18,$C$8,$C$9,$C$7,FALSE)</f>
        <v>6.7818740437543577</v>
      </c>
      <c r="AA18">
        <f>_xll.acq_options_binomial_american_price(AA$4,$C$5,$U18,$C$8,$C$9,$C$7,FALSE)</f>
        <v>4.3176119877586281</v>
      </c>
      <c r="AB18">
        <f>_xll.acq_options_binomial_american_price(AB$4,$C$5,$U18,$C$8,$C$9,$C$7,FALSE)</f>
        <v>2.6769358533655034</v>
      </c>
      <c r="AD18">
        <v>0.7</v>
      </c>
      <c r="AE18">
        <v>2.7398970024350779</v>
      </c>
      <c r="AF18">
        <v>5.4783444827316536</v>
      </c>
      <c r="AG18">
        <v>9.5345453500097577</v>
      </c>
      <c r="AH18">
        <v>14.918511496002189</v>
      </c>
      <c r="AI18">
        <v>21.533662877514285</v>
      </c>
      <c r="AJ18">
        <v>29.133690903382561</v>
      </c>
      <c r="AK18">
        <v>37.498997043070389</v>
      </c>
      <c r="AM18">
        <v>0.7</v>
      </c>
      <c r="AN18">
        <v>30.155643983820472</v>
      </c>
      <c r="AO18">
        <v>21.835712678340293</v>
      </c>
      <c r="AP18">
        <v>15.282133973957995</v>
      </c>
      <c r="AQ18">
        <v>10.33578045914636</v>
      </c>
      <c r="AR18">
        <v>6.7818740437543577</v>
      </c>
      <c r="AS18">
        <v>4.3176119877586281</v>
      </c>
      <c r="AT18">
        <v>2.6769358533655034</v>
      </c>
    </row>
    <row r="19" spans="6:46" x14ac:dyDescent="0.25">
      <c r="F19">
        <v>150</v>
      </c>
      <c r="G19">
        <f>_xll.acq_options_bjerksund_price($C$4,F19,$C$6,$C$8,$C$9,$C$7,TRUE)</f>
        <v>1.8828483801068501</v>
      </c>
      <c r="H19">
        <f>_xll.acq_options_bjerksund_price($C$4,F19,$C$6,$C$8,$C$9,$C$7,FALSE)</f>
        <v>70</v>
      </c>
      <c r="I19">
        <f>_xll.acq_options_binomial_american_price($C$4,F19,$C$6,$C$8,$C$9,$C$7,TRUE,500)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_xll.acq_options_binomial_american_price(M$4,$C$5,$L19,$C$8,$C$9,$C$7,TRUE)</f>
        <v>3.0612500938520979</v>
      </c>
      <c r="N19">
        <f>_xll.acq_options_binomial_american_price(N$4,$C$5,$L19,$C$8,$C$9,$C$7,TRUE)</f>
        <v>5.9229778472484842</v>
      </c>
      <c r="O19">
        <f>_xll.acq_options_binomial_american_price(O$4,$C$5,$L19,$C$8,$C$9,$C$7,TRUE)</f>
        <v>10.080514227124009</v>
      </c>
      <c r="P19">
        <f>_xll.acq_options_binomial_american_price(P$4,$C$5,$L19,$C$8,$C$9,$C$7,TRUE)</f>
        <v>15.519109012187322</v>
      </c>
      <c r="Q19">
        <f>_xll.acq_options_binomial_american_price(Q$4,$C$5,$L19,$C$8,$C$9,$C$7,TRUE)</f>
        <v>22.14586732772327</v>
      </c>
      <c r="R19">
        <f>_xll.acq_options_binomial_american_price(R$4,$C$5,$L19,$C$8,$C$9,$C$7,TRUE)</f>
        <v>29.727218566263986</v>
      </c>
      <c r="S19">
        <f>_xll.acq_options_binomial_american_price(S$4,$C$5,$L19,$C$8,$C$9,$C$7,TRUE)</f>
        <v>38.052083397046495</v>
      </c>
      <c r="U19" s="45">
        <v>0.75</v>
      </c>
      <c r="V19">
        <f>_xll.acq_options_binomial_american_price(V$4,$C$5,$U19,$C$8,$C$9,$C$7,FALSE)</f>
        <v>30.207232228449922</v>
      </c>
      <c r="W19">
        <f>_xll.acq_options_binomial_american_price(W$4,$C$5,$U19,$C$8,$C$9,$C$7,FALSE)</f>
        <v>21.996417380647536</v>
      </c>
      <c r="X19">
        <f>_xll.acq_options_binomial_american_price(X$4,$C$5,$U19,$C$8,$C$9,$C$7,FALSE)</f>
        <v>15.528497549570506</v>
      </c>
      <c r="Y19">
        <f>_xll.acq_options_binomial_american_price(Y$4,$C$5,$U19,$C$8,$C$9,$C$7,FALSE)</f>
        <v>10.625411692111369</v>
      </c>
      <c r="Z19">
        <f>_xll.acq_options_binomial_american_price(Z$4,$C$5,$U19,$C$8,$C$9,$C$7,FALSE)</f>
        <v>7.0745178030450688</v>
      </c>
      <c r="AA19">
        <f>_xll.acq_options_binomial_american_price(AA$4,$C$5,$U19,$C$8,$C$9,$C$7,FALSE)</f>
        <v>4.5857815788687404</v>
      </c>
      <c r="AB19">
        <f>_xll.acq_options_binomial_american_price(AB$4,$C$5,$U19,$C$8,$C$9,$C$7,FALSE)</f>
        <v>2.9022681246916715</v>
      </c>
      <c r="AD19">
        <v>0.75</v>
      </c>
      <c r="AE19">
        <v>3.0612500938520979</v>
      </c>
      <c r="AF19">
        <v>5.9229778472484842</v>
      </c>
      <c r="AG19">
        <v>10.080514227124009</v>
      </c>
      <c r="AH19">
        <v>15.519109012187322</v>
      </c>
      <c r="AI19">
        <v>22.14586732772327</v>
      </c>
      <c r="AJ19">
        <v>29.727218566263986</v>
      </c>
      <c r="AK19">
        <v>38.052083397046495</v>
      </c>
      <c r="AM19">
        <v>0.75</v>
      </c>
      <c r="AN19">
        <v>30.207232228449922</v>
      </c>
      <c r="AO19">
        <v>21.996417380647536</v>
      </c>
      <c r="AP19">
        <v>15.528497549570506</v>
      </c>
      <c r="AQ19">
        <v>10.625411692111369</v>
      </c>
      <c r="AR19">
        <v>7.0745178030450688</v>
      </c>
      <c r="AS19">
        <v>4.5857815788687404</v>
      </c>
      <c r="AT19">
        <v>2.9022681246916715</v>
      </c>
    </row>
    <row r="20" spans="6:46" x14ac:dyDescent="0.25">
      <c r="F20">
        <v>160</v>
      </c>
      <c r="G20">
        <f>_xll.acq_options_bjerksund_price($C$4,F20,$C$6,$C$8,$C$9,$C$7,TRUE)</f>
        <v>1.3640599417040562</v>
      </c>
      <c r="H20">
        <f>_xll.acq_options_bjerksund_price($C$4,F20,$C$6,$C$8,$C$9,$C$7,FALSE)</f>
        <v>80</v>
      </c>
      <c r="I20">
        <f>_xll.acq_options_binomial_american_price($C$4,F20,$C$6,$C$8,$C$9,$C$7,TRUE,500)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_xll.acq_options_binomial_american_price(M$4,$C$5,$L20,$C$8,$C$9,$C$7,TRUE)</f>
        <v>3.3760679090846142</v>
      </c>
      <c r="N20">
        <f>_xll.acq_options_binomial_american_price(N$4,$C$5,$L20,$C$8,$C$9,$C$7,TRUE)</f>
        <v>6.3574367666391716</v>
      </c>
      <c r="O20">
        <f>_xll.acq_options_binomial_american_price(O$4,$C$5,$L20,$C$8,$C$9,$C$7,TRUE)</f>
        <v>10.612922302756481</v>
      </c>
      <c r="P20">
        <f>_xll.acq_options_binomial_american_price(P$4,$C$5,$L20,$C$8,$C$9,$C$7,TRUE)</f>
        <v>16.104113814319668</v>
      </c>
      <c r="Q20">
        <f>_xll.acq_options_binomial_american_price(Q$4,$C$5,$L20,$C$8,$C$9,$C$7,TRUE)</f>
        <v>22.741986135096859</v>
      </c>
      <c r="R20">
        <f>_xll.acq_options_binomial_american_price(R$4,$C$5,$L20,$C$8,$C$9,$C$7,TRUE)</f>
        <v>30.305423594084502</v>
      </c>
      <c r="S20">
        <f>_xll.acq_options_binomial_american_price(S$4,$C$5,$L20,$C$8,$C$9,$C$7,TRUE)</f>
        <v>38.591643807770645</v>
      </c>
      <c r="U20" s="45">
        <v>0.8</v>
      </c>
      <c r="V20">
        <f>_xll.acq_options_binomial_american_price(V$4,$C$5,$U20,$C$8,$C$9,$C$7,FALSE)</f>
        <v>30.259373769473957</v>
      </c>
      <c r="W20">
        <f>_xll.acq_options_binomial_american_price(W$4,$C$5,$U20,$C$8,$C$9,$C$7,FALSE)</f>
        <v>22.150453437182545</v>
      </c>
      <c r="X20">
        <f>_xll.acq_options_binomial_american_price(X$4,$C$5,$U20,$C$8,$C$9,$C$7,FALSE)</f>
        <v>15.763230324066519</v>
      </c>
      <c r="Y20">
        <f>_xll.acq_options_binomial_american_price(Y$4,$C$5,$U20,$C$8,$C$9,$C$7,FALSE)</f>
        <v>10.90120779543015</v>
      </c>
      <c r="Z20">
        <f>_xll.acq_options_binomial_american_price(Z$4,$C$5,$U20,$C$8,$C$9,$C$7,FALSE)</f>
        <v>7.3533355204141024</v>
      </c>
      <c r="AA20">
        <f>_xll.acq_options_binomial_american_price(AA$4,$C$5,$U20,$C$8,$C$9,$C$7,FALSE)</f>
        <v>4.8413869253896635</v>
      </c>
      <c r="AB20">
        <f>_xll.acq_options_binomial_american_price(AB$4,$C$5,$U20,$C$8,$C$9,$C$7,FALSE)</f>
        <v>3.1172324099143998</v>
      </c>
      <c r="AD20">
        <v>0.8</v>
      </c>
      <c r="AE20">
        <v>3.3760679090846142</v>
      </c>
      <c r="AF20">
        <v>6.3574367666391716</v>
      </c>
      <c r="AG20">
        <v>10.612922302756481</v>
      </c>
      <c r="AH20">
        <v>16.104113814319668</v>
      </c>
      <c r="AI20">
        <v>22.741986135096859</v>
      </c>
      <c r="AJ20">
        <v>30.305423594084502</v>
      </c>
      <c r="AK20">
        <v>38.591643807770645</v>
      </c>
      <c r="AM20">
        <v>0.8</v>
      </c>
      <c r="AN20">
        <v>30.259373769473957</v>
      </c>
      <c r="AO20">
        <v>22.150453437182545</v>
      </c>
      <c r="AP20">
        <v>15.763230324066519</v>
      </c>
      <c r="AQ20">
        <v>10.90120779543015</v>
      </c>
      <c r="AR20">
        <v>7.3533355204141024</v>
      </c>
      <c r="AS20">
        <v>4.8413869253896635</v>
      </c>
      <c r="AT20">
        <v>3.1172324099143998</v>
      </c>
    </row>
    <row r="21" spans="6:46" x14ac:dyDescent="0.25">
      <c r="F21">
        <v>170</v>
      </c>
      <c r="G21">
        <f>_xll.acq_options_bjerksund_price($C$4,F21,$C$6,$C$8,$C$9,$C$7,TRUE)</f>
        <v>0.98909394757524183</v>
      </c>
      <c r="H21">
        <f>_xll.acq_options_bjerksund_price($C$4,F21,$C$6,$C$8,$C$9,$C$7,FALSE)</f>
        <v>90</v>
      </c>
      <c r="I21">
        <f>_xll.acq_options_binomial_american_price($C$4,F21,$C$6,$C$8,$C$9,$C$7,TRUE,500)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_xll.acq_options_binomial_american_price(M$4,$C$5,$L21,$C$8,$C$9,$C$7,TRUE)</f>
        <v>3.6970934807160312</v>
      </c>
      <c r="N21">
        <f>_xll.acq_options_binomial_american_price(N$4,$C$5,$L21,$C$8,$C$9,$C$7,TRUE)</f>
        <v>6.7878683966650888</v>
      </c>
      <c r="O21">
        <f>_xll.acq_options_binomial_american_price(O$4,$C$5,$L21,$C$8,$C$9,$C$7,TRUE)</f>
        <v>11.13294360230978</v>
      </c>
      <c r="P21">
        <f>_xll.acq_options_binomial_american_price(P$4,$C$5,$L21,$C$8,$C$9,$C$7,TRUE)</f>
        <v>16.674878044259088</v>
      </c>
      <c r="Q21">
        <f>_xll.acq_options_binomial_american_price(Q$4,$C$5,$L21,$C$8,$C$9,$C$7,TRUE)</f>
        <v>23.323418075877768</v>
      </c>
      <c r="R21">
        <f>_xll.acq_options_binomial_american_price(R$4,$C$5,$L21,$C$8,$C$9,$C$7,TRUE)</f>
        <v>30.869640468009369</v>
      </c>
      <c r="S21">
        <f>_xll.acq_options_binomial_american_price(S$4,$C$5,$L21,$C$8,$C$9,$C$7,TRUE)</f>
        <v>39.130007454034043</v>
      </c>
      <c r="U21" s="45">
        <v>0.85</v>
      </c>
      <c r="V21">
        <f>_xll.acq_options_binomial_american_price(V$4,$C$5,$U21,$C$8,$C$9,$C$7,FALSE)</f>
        <v>30.314573182467761</v>
      </c>
      <c r="W21">
        <f>_xll.acq_options_binomial_american_price(W$4,$C$5,$U21,$C$8,$C$9,$C$7,FALSE)</f>
        <v>22.300254774455361</v>
      </c>
      <c r="X21">
        <f>_xll.acq_options_binomial_american_price(X$4,$C$5,$U21,$C$8,$C$9,$C$7,FALSE)</f>
        <v>15.987414079511197</v>
      </c>
      <c r="Y21">
        <f>_xll.acq_options_binomial_american_price(Y$4,$C$5,$U21,$C$8,$C$9,$C$7,FALSE)</f>
        <v>11.164487628573138</v>
      </c>
      <c r="Z21">
        <f>_xll.acq_options_binomial_american_price(Z$4,$C$5,$U21,$C$8,$C$9,$C$7,FALSE)</f>
        <v>7.6197810921715865</v>
      </c>
      <c r="AA21">
        <f>_xll.acq_options_binomial_american_price(AA$4,$C$5,$U21,$C$8,$C$9,$C$7,FALSE)</f>
        <v>5.085975020532258</v>
      </c>
      <c r="AB21">
        <f>_xll.acq_options_binomial_american_price(AB$4,$C$5,$U21,$C$8,$C$9,$C$7,FALSE)</f>
        <v>3.3329533106290485</v>
      </c>
      <c r="AD21">
        <v>0.85</v>
      </c>
      <c r="AE21">
        <v>3.6970934807160312</v>
      </c>
      <c r="AF21">
        <v>6.7878683966650888</v>
      </c>
      <c r="AG21">
        <v>11.13294360230978</v>
      </c>
      <c r="AH21">
        <v>16.674878044259088</v>
      </c>
      <c r="AI21">
        <v>23.323418075877768</v>
      </c>
      <c r="AJ21">
        <v>30.869640468009369</v>
      </c>
      <c r="AK21">
        <v>39.130007454034043</v>
      </c>
      <c r="AM21">
        <v>0.85</v>
      </c>
      <c r="AN21">
        <v>30.314573182467761</v>
      </c>
      <c r="AO21">
        <v>22.300254774455361</v>
      </c>
      <c r="AP21">
        <v>15.987414079511197</v>
      </c>
      <c r="AQ21">
        <v>11.164487628573138</v>
      </c>
      <c r="AR21">
        <v>7.6197810921715865</v>
      </c>
      <c r="AS21">
        <v>5.085975020532258</v>
      </c>
      <c r="AT21">
        <v>3.3329533106290485</v>
      </c>
    </row>
    <row r="22" spans="6:46" x14ac:dyDescent="0.25">
      <c r="L22" s="45">
        <v>0.9</v>
      </c>
      <c r="M22">
        <f>_xll.acq_options_binomial_american_price(M$4,$C$5,$L22,$C$8,$C$9,$C$7,TRUE)</f>
        <v>4.0226096355607233</v>
      </c>
      <c r="N22">
        <f>_xll.acq_options_binomial_american_price(N$4,$C$5,$L22,$C$8,$C$9,$C$7,TRUE)</f>
        <v>7.2227377546292395</v>
      </c>
      <c r="O22">
        <f>_xll.acq_options_binomial_american_price(O$4,$C$5,$L22,$C$8,$C$9,$C$7,TRUE)</f>
        <v>11.641582714736746</v>
      </c>
      <c r="P22">
        <f>_xll.acq_options_binomial_american_price(P$4,$C$5,$L22,$C$8,$C$9,$C$7,TRUE)</f>
        <v>17.232558898229541</v>
      </c>
      <c r="Q22">
        <f>_xll.acq_options_binomial_american_price(Q$4,$C$5,$L22,$C$8,$C$9,$C$7,TRUE)</f>
        <v>23.891360149612545</v>
      </c>
      <c r="R22">
        <f>_xll.acq_options_binomial_american_price(R$4,$C$5,$L22,$C$8,$C$9,$C$7,TRUE)</f>
        <v>31.42992022819066</v>
      </c>
      <c r="S22">
        <f>_xll.acq_options_binomial_american_price(S$4,$C$5,$L22,$C$8,$C$9,$C$7,TRUE)</f>
        <v>39.664294213456529</v>
      </c>
      <c r="U22" s="45">
        <v>0.9</v>
      </c>
      <c r="V22">
        <f>_xll.acq_options_binomial_american_price(V$4,$C$5,$U22,$C$8,$C$9,$C$7,FALSE)</f>
        <v>30.373679070968116</v>
      </c>
      <c r="W22">
        <f>_xll.acq_options_binomial_american_price(W$4,$C$5,$U22,$C$8,$C$9,$C$7,FALSE)</f>
        <v>22.450948798364585</v>
      </c>
      <c r="X22">
        <f>_xll.acq_options_binomial_american_price(X$4,$C$5,$U22,$C$8,$C$9,$C$7,FALSE)</f>
        <v>16.201952543951933</v>
      </c>
      <c r="Y22">
        <f>_xll.acq_options_binomial_american_price(Y$4,$C$5,$U22,$C$8,$C$9,$C$7,FALSE)</f>
        <v>11.416371229360646</v>
      </c>
      <c r="Z22">
        <f>_xll.acq_options_binomial_american_price(Z$4,$C$5,$U22,$C$8,$C$9,$C$7,FALSE)</f>
        <v>7.8750764808474587</v>
      </c>
      <c r="AA22">
        <f>_xll.acq_options_binomial_american_price(AA$4,$C$5,$U22,$C$8,$C$9,$C$7,FALSE)</f>
        <v>5.3280983055611504</v>
      </c>
      <c r="AB22">
        <f>_xll.acq_options_binomial_american_price(AB$4,$C$5,$U22,$C$8,$C$9,$C$7,FALSE)</f>
        <v>3.5451577697247849</v>
      </c>
      <c r="AD22">
        <v>0.9</v>
      </c>
      <c r="AE22">
        <v>4.0226096355607233</v>
      </c>
      <c r="AF22">
        <v>7.2227377546292395</v>
      </c>
      <c r="AG22">
        <v>11.641582714736746</v>
      </c>
      <c r="AH22">
        <v>17.232558898229541</v>
      </c>
      <c r="AI22">
        <v>23.891360149612545</v>
      </c>
      <c r="AJ22">
        <v>31.42992022819066</v>
      </c>
      <c r="AK22">
        <v>39.664294213456529</v>
      </c>
      <c r="AM22">
        <v>0.9</v>
      </c>
      <c r="AN22">
        <v>30.373679070968116</v>
      </c>
      <c r="AO22">
        <v>22.450948798364585</v>
      </c>
      <c r="AP22">
        <v>16.201952543951933</v>
      </c>
      <c r="AQ22">
        <v>11.416371229360646</v>
      </c>
      <c r="AR22">
        <v>7.8750764808474587</v>
      </c>
      <c r="AS22">
        <v>5.3280983055611504</v>
      </c>
      <c r="AT22">
        <v>3.5451577697247849</v>
      </c>
    </row>
    <row r="23" spans="6:46" x14ac:dyDescent="0.25">
      <c r="L23" s="45">
        <v>0.95</v>
      </c>
      <c r="M23">
        <f>_xll.acq_options_binomial_american_price(M$4,$C$5,$L23,$C$8,$C$9,$C$7,TRUE)</f>
        <v>4.3425600360567156</v>
      </c>
      <c r="N23">
        <f>_xll.acq_options_binomial_american_price(N$4,$C$5,$L23,$C$8,$C$9,$C$7,TRUE)</f>
        <v>7.6492287010063276</v>
      </c>
      <c r="O23">
        <f>_xll.acq_options_binomial_american_price(O$4,$C$5,$L23,$C$8,$C$9,$C$7,TRUE)</f>
        <v>12.13970728885575</v>
      </c>
      <c r="P23">
        <f>_xll.acq_options_binomial_american_price(P$4,$C$5,$L23,$C$8,$C$9,$C$7,TRUE)</f>
        <v>17.778155998949195</v>
      </c>
      <c r="Q23">
        <f>_xll.acq_options_binomial_american_price(Q$4,$C$5,$L23,$C$8,$C$9,$C$7,TRUE)</f>
        <v>24.450872926370785</v>
      </c>
      <c r="R23">
        <f>_xll.acq_options_binomial_american_price(R$4,$C$5,$L23,$C$8,$C$9,$C$7,TRUE)</f>
        <v>31.983975075847844</v>
      </c>
      <c r="S23">
        <f>_xll.acq_options_binomial_american_price(S$4,$C$5,$L23,$C$8,$C$9,$C$7,TRUE)</f>
        <v>40.187331898399165</v>
      </c>
      <c r="U23" s="45">
        <v>0.95</v>
      </c>
      <c r="V23">
        <f>_xll.acq_options_binomial_american_price(V$4,$C$5,$U23,$C$8,$C$9,$C$7,FALSE)</f>
        <v>30.432535843598799</v>
      </c>
      <c r="W23">
        <f>_xll.acq_options_binomial_american_price(W$4,$C$5,$U23,$C$8,$C$9,$C$7,FALSE)</f>
        <v>22.596386076654408</v>
      </c>
      <c r="X23">
        <f>_xll.acq_options_binomial_american_price(X$4,$C$5,$U23,$C$8,$C$9,$C$7,FALSE)</f>
        <v>16.407639013932588</v>
      </c>
      <c r="Y23">
        <f>_xll.acq_options_binomial_american_price(Y$4,$C$5,$U23,$C$8,$C$9,$C$7,FALSE)</f>
        <v>11.657828910294933</v>
      </c>
      <c r="Z23">
        <f>_xll.acq_options_binomial_american_price(Z$4,$C$5,$U23,$C$8,$C$9,$C$7,FALSE)</f>
        <v>8.1234766093562545</v>
      </c>
      <c r="AA23">
        <f>_xll.acq_options_binomial_american_price(AA$4,$C$5,$U23,$C$8,$C$9,$C$7,FALSE)</f>
        <v>5.5642994016355161</v>
      </c>
      <c r="AB23">
        <f>_xll.acq_options_binomial_american_price(AB$4,$C$5,$U23,$C$8,$C$9,$C$7,FALSE)</f>
        <v>3.7486766576694794</v>
      </c>
      <c r="AD23">
        <v>0.95</v>
      </c>
      <c r="AE23">
        <v>4.3425600360567156</v>
      </c>
      <c r="AF23">
        <v>7.6492287010063276</v>
      </c>
      <c r="AG23">
        <v>12.13970728885575</v>
      </c>
      <c r="AH23">
        <v>17.778155998949195</v>
      </c>
      <c r="AI23">
        <v>24.450872926370785</v>
      </c>
      <c r="AJ23">
        <v>31.983975075847844</v>
      </c>
      <c r="AK23">
        <v>40.187331898399165</v>
      </c>
      <c r="AM23">
        <v>0.95</v>
      </c>
      <c r="AN23">
        <v>30.432535843598799</v>
      </c>
      <c r="AO23">
        <v>22.596386076654408</v>
      </c>
      <c r="AP23">
        <v>16.407639013932588</v>
      </c>
      <c r="AQ23">
        <v>11.657828910294933</v>
      </c>
      <c r="AR23">
        <v>8.1234766093562545</v>
      </c>
      <c r="AS23">
        <v>5.5642994016355161</v>
      </c>
      <c r="AT23">
        <v>3.7486766576694794</v>
      </c>
    </row>
    <row r="24" spans="6:46" x14ac:dyDescent="0.25">
      <c r="L24" s="45">
        <v>1</v>
      </c>
      <c r="M24">
        <f>_xll.acq_options_binomial_american_price(M$4,$C$5,$L24,$C$8,$C$9,$C$7,TRUE)</f>
        <v>4.6590187874285469</v>
      </c>
      <c r="N24">
        <f>_xll.acq_options_binomial_american_price(N$4,$C$5,$L24,$C$8,$C$9,$C$7,TRUE)</f>
        <v>8.0679435144803957</v>
      </c>
      <c r="O24">
        <f>_xll.acq_options_binomial_american_price(O$4,$C$5,$L24,$C$8,$C$9,$C$7,TRUE)</f>
        <v>12.628072924725879</v>
      </c>
      <c r="P24">
        <f>_xll.acq_options_binomial_american_price(P$4,$C$5,$L24,$C$8,$C$9,$C$7,TRUE)</f>
        <v>18.312540023842111</v>
      </c>
      <c r="Q24">
        <f>_xll.acq_options_binomial_american_price(Q$4,$C$5,$L24,$C$8,$C$9,$C$7,TRUE)</f>
        <v>25.002843572928668</v>
      </c>
      <c r="R24">
        <f>_xll.acq_options_binomial_american_price(R$4,$C$5,$L24,$C$8,$C$9,$C$7,TRUE)</f>
        <v>32.526481100177023</v>
      </c>
      <c r="S24">
        <f>_xll.acq_options_binomial_american_price(S$4,$C$5,$L24,$C$8,$C$9,$C$7,TRUE)</f>
        <v>40.699934502208627</v>
      </c>
      <c r="U24" s="45">
        <v>1</v>
      </c>
      <c r="V24">
        <f>_xll.acq_options_binomial_american_price(V$4,$C$5,$U24,$C$8,$C$9,$C$7,FALSE)</f>
        <v>30.49070965005788</v>
      </c>
      <c r="W24">
        <f>_xll.acq_options_binomial_american_price(W$4,$C$5,$U24,$C$8,$C$9,$C$7,FALSE)</f>
        <v>22.73665926882417</v>
      </c>
      <c r="X24">
        <f>_xll.acq_options_binomial_american_price(X$4,$C$5,$U24,$C$8,$C$9,$C$7,FALSE)</f>
        <v>16.605190083791207</v>
      </c>
      <c r="Y24">
        <f>_xll.acq_options_binomial_american_price(Y$4,$C$5,$U24,$C$8,$C$9,$C$7,FALSE)</f>
        <v>11.889697305262722</v>
      </c>
      <c r="Z24">
        <f>_xll.acq_options_binomial_american_price(Z$4,$C$5,$U24,$C$8,$C$9,$C$7,FALSE)</f>
        <v>8.3645040630454659</v>
      </c>
      <c r="AA24">
        <f>_xll.acq_options_binomial_american_price(AA$4,$C$5,$U24,$C$8,$C$9,$C$7,FALSE)</f>
        <v>5.7911212518975752</v>
      </c>
      <c r="AB24">
        <f>_xll.acq_options_binomial_american_price(AB$4,$C$5,$U24,$C$8,$C$9,$C$7,FALSE)</f>
        <v>3.9444600804233492</v>
      </c>
      <c r="AD24">
        <v>1</v>
      </c>
      <c r="AE24">
        <v>4.6590187874285469</v>
      </c>
      <c r="AF24">
        <v>8.0679435144803957</v>
      </c>
      <c r="AG24">
        <v>12.628072924725879</v>
      </c>
      <c r="AH24">
        <v>18.312540023842111</v>
      </c>
      <c r="AI24">
        <v>25.002843572928668</v>
      </c>
      <c r="AJ24">
        <v>32.526481100177023</v>
      </c>
      <c r="AK24">
        <v>40.699934502208627</v>
      </c>
      <c r="AM24">
        <v>1</v>
      </c>
      <c r="AN24">
        <v>30.49070965005788</v>
      </c>
      <c r="AO24">
        <v>22.73665926882417</v>
      </c>
      <c r="AP24">
        <v>16.605190083791207</v>
      </c>
      <c r="AQ24">
        <v>11.889697305262722</v>
      </c>
      <c r="AR24">
        <v>8.3645040630454659</v>
      </c>
      <c r="AS24">
        <v>5.7911212518975752</v>
      </c>
      <c r="AT24">
        <v>3.9444600804233492</v>
      </c>
    </row>
    <row r="26" spans="6:46" x14ac:dyDescent="0.25">
      <c r="V26" s="46"/>
      <c r="W26" s="46"/>
      <c r="X26" s="46"/>
      <c r="Y26" s="46"/>
      <c r="AE26">
        <f>AE5-M5</f>
        <v>0</v>
      </c>
      <c r="AF26">
        <f t="shared" ref="AF26:AJ26" si="0">AF5-N5</f>
        <v>0</v>
      </c>
      <c r="AG26">
        <f t="shared" si="0"/>
        <v>0</v>
      </c>
      <c r="AH26">
        <f t="shared" si="0"/>
        <v>0</v>
      </c>
      <c r="AI26">
        <f t="shared" si="0"/>
        <v>0</v>
      </c>
      <c r="AJ26">
        <f t="shared" si="0"/>
        <v>0</v>
      </c>
      <c r="AK26">
        <f t="shared" ref="AK26:AK45" si="1">AK5-S5</f>
        <v>0</v>
      </c>
      <c r="AN26">
        <f t="shared" ref="AN26:AT26" si="2">AN5-V5</f>
        <v>0</v>
      </c>
      <c r="AO26">
        <f t="shared" si="2"/>
        <v>0</v>
      </c>
      <c r="AP26">
        <f t="shared" si="2"/>
        <v>0</v>
      </c>
      <c r="AQ26">
        <f t="shared" si="2"/>
        <v>0</v>
      </c>
      <c r="AR26">
        <f t="shared" si="2"/>
        <v>0</v>
      </c>
      <c r="AS26">
        <f t="shared" si="2"/>
        <v>0</v>
      </c>
      <c r="AT26">
        <f t="shared" si="2"/>
        <v>0</v>
      </c>
    </row>
    <row r="27" spans="6:46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  <c r="AE27">
        <f t="shared" ref="AE27:AE43" si="3">AE6-M6</f>
        <v>0</v>
      </c>
      <c r="AF27">
        <f t="shared" ref="AF27:AF43" si="4">AF6-N6</f>
        <v>0</v>
      </c>
      <c r="AG27">
        <f t="shared" ref="AG27:AG43" si="5">AG6-O6</f>
        <v>0</v>
      </c>
      <c r="AH27">
        <f t="shared" ref="AH27:AH43" si="6">AH6-P6</f>
        <v>0</v>
      </c>
      <c r="AI27">
        <f t="shared" ref="AI27:AI43" si="7">AI6-Q6</f>
        <v>0</v>
      </c>
      <c r="AJ27">
        <f t="shared" ref="AJ27:AJ43" si="8">AJ6-R6</f>
        <v>0</v>
      </c>
      <c r="AK27">
        <f t="shared" si="1"/>
        <v>0</v>
      </c>
      <c r="AN27">
        <f t="shared" ref="AN27:AT27" si="9">AN6-V6</f>
        <v>0</v>
      </c>
      <c r="AO27">
        <f t="shared" si="9"/>
        <v>0</v>
      </c>
      <c r="AP27">
        <f t="shared" si="9"/>
        <v>0</v>
      </c>
      <c r="AQ27">
        <f t="shared" si="9"/>
        <v>0</v>
      </c>
      <c r="AR27">
        <f t="shared" si="9"/>
        <v>0</v>
      </c>
      <c r="AS27">
        <f t="shared" si="9"/>
        <v>0</v>
      </c>
      <c r="AT27">
        <f t="shared" si="9"/>
        <v>0</v>
      </c>
    </row>
    <row r="28" spans="6:46" x14ac:dyDescent="0.25">
      <c r="V28" s="46"/>
      <c r="W28" s="46"/>
      <c r="X28" s="46"/>
      <c r="Y28" s="46"/>
      <c r="Z28" s="46"/>
      <c r="AE28">
        <f t="shared" si="3"/>
        <v>0</v>
      </c>
      <c r="AF28">
        <f t="shared" si="4"/>
        <v>0</v>
      </c>
      <c r="AG28">
        <f t="shared" si="5"/>
        <v>0</v>
      </c>
      <c r="AH28">
        <f t="shared" si="6"/>
        <v>0</v>
      </c>
      <c r="AI28">
        <f t="shared" si="7"/>
        <v>0</v>
      </c>
      <c r="AJ28">
        <f t="shared" si="8"/>
        <v>0</v>
      </c>
      <c r="AK28">
        <f t="shared" si="1"/>
        <v>0</v>
      </c>
      <c r="AN28">
        <f t="shared" ref="AN28:AT28" si="10">AN7-V7</f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</row>
    <row r="29" spans="6:46" x14ac:dyDescent="0.25">
      <c r="V29" s="46"/>
      <c r="W29" s="46"/>
      <c r="X29" s="46"/>
      <c r="Y29" s="46"/>
      <c r="Z29" s="46"/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0</v>
      </c>
      <c r="AI29">
        <f t="shared" si="7"/>
        <v>0</v>
      </c>
      <c r="AJ29">
        <f t="shared" si="8"/>
        <v>0</v>
      </c>
      <c r="AK29">
        <f t="shared" si="1"/>
        <v>0</v>
      </c>
      <c r="AN29">
        <f t="shared" ref="AN29:AT29" si="11">AN8-V8</f>
        <v>0</v>
      </c>
      <c r="AO29">
        <f t="shared" si="11"/>
        <v>0</v>
      </c>
      <c r="AP29">
        <f t="shared" si="11"/>
        <v>0</v>
      </c>
      <c r="AQ29">
        <f t="shared" si="11"/>
        <v>0</v>
      </c>
      <c r="AR29">
        <f t="shared" si="11"/>
        <v>0</v>
      </c>
      <c r="AS29">
        <f t="shared" si="11"/>
        <v>0</v>
      </c>
      <c r="AT29">
        <f t="shared" si="11"/>
        <v>0</v>
      </c>
    </row>
    <row r="30" spans="6:46" ht="15.75" thickBot="1" x14ac:dyDescent="0.3">
      <c r="G30" s="59" t="s">
        <v>164</v>
      </c>
      <c r="H30" s="59"/>
      <c r="I30" s="59"/>
      <c r="J30" s="59"/>
      <c r="K30" s="59"/>
      <c r="L30" s="59"/>
      <c r="M30" s="59"/>
      <c r="N30" s="59"/>
      <c r="S30" s="59" t="s">
        <v>167</v>
      </c>
      <c r="T30" s="59"/>
      <c r="U30" s="59"/>
      <c r="V30" s="59"/>
      <c r="W30" s="59"/>
      <c r="X30" s="59"/>
      <c r="Y30" s="59"/>
      <c r="Z30" s="59"/>
      <c r="AE30">
        <f t="shared" si="3"/>
        <v>0</v>
      </c>
      <c r="AF30">
        <f t="shared" si="4"/>
        <v>0</v>
      </c>
      <c r="AG30">
        <f t="shared" si="5"/>
        <v>0</v>
      </c>
      <c r="AH30">
        <f t="shared" si="6"/>
        <v>0</v>
      </c>
      <c r="AI30">
        <f t="shared" si="7"/>
        <v>0</v>
      </c>
      <c r="AJ30">
        <f t="shared" si="8"/>
        <v>0</v>
      </c>
      <c r="AK30">
        <f t="shared" si="1"/>
        <v>0</v>
      </c>
      <c r="AN30">
        <f t="shared" ref="AN30:AT30" si="12">AN9-V9</f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</row>
    <row r="31" spans="6:46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  <c r="AE31">
        <f t="shared" si="3"/>
        <v>0</v>
      </c>
      <c r="AF31">
        <f t="shared" si="4"/>
        <v>0</v>
      </c>
      <c r="AG31">
        <f t="shared" si="5"/>
        <v>0</v>
      </c>
      <c r="AH31">
        <f t="shared" si="6"/>
        <v>0</v>
      </c>
      <c r="AI31">
        <f t="shared" si="7"/>
        <v>0</v>
      </c>
      <c r="AJ31">
        <f t="shared" si="8"/>
        <v>0</v>
      </c>
      <c r="AK31">
        <f t="shared" si="1"/>
        <v>0</v>
      </c>
      <c r="AN31">
        <f t="shared" ref="AN31:AT31" si="13">AN10-V10</f>
        <v>0</v>
      </c>
      <c r="AO31">
        <f t="shared" si="13"/>
        <v>0</v>
      </c>
      <c r="AP31">
        <f t="shared" si="13"/>
        <v>0</v>
      </c>
      <c r="AQ31">
        <f t="shared" si="13"/>
        <v>0</v>
      </c>
      <c r="AR31">
        <f t="shared" si="13"/>
        <v>0</v>
      </c>
      <c r="AS31">
        <f t="shared" si="13"/>
        <v>0</v>
      </c>
      <c r="AT31">
        <f t="shared" si="13"/>
        <v>0</v>
      </c>
    </row>
    <row r="32" spans="6:46" x14ac:dyDescent="0.25">
      <c r="F32" s="13">
        <v>100</v>
      </c>
      <c r="G32">
        <f>_xll.acq_options_binomial_american_greeks(G$31,$F32,$C$5,$C$6,$C$8,$C$9,$C$7,TRUE)</f>
        <v>6.169387326540801</v>
      </c>
      <c r="H32">
        <f>_xll.acq_options_binomial_american_greeks(H$31,$F32,$C$5,$C$6,$C$8,$C$9,$C$7,TRUE)</f>
        <v>0.29592395660308579</v>
      </c>
      <c r="I32">
        <f>_xll.acq_options_binomial_american_greeks(I$31,$F32,$C$5,$C$6,$C$8,$C$9,$C$7,TRUE)</f>
        <v>3.0730973321624327E-11</v>
      </c>
      <c r="J32">
        <f>_xll.acq_options_binomial_american_greeks(J$31,$F32,$C$5,$C$6,$C$8,$C$9,$C$7,TRUE)</f>
        <v>53.831393508093804</v>
      </c>
      <c r="K32">
        <f>_xll.acq_options_binomial_american_greeks(K$31,$F32,$C$5,$C$6,$C$8,$C$9,$C$7,TRUE)</f>
        <v>-126.68071885890697</v>
      </c>
      <c r="L32">
        <f>_xll.acq_options_binomial_american_greeks(L$31,$F32,$C$5,$C$6,$C$8,$C$9,$C$7,TRUE)</f>
        <v>-0.16175873485124725</v>
      </c>
      <c r="M32">
        <f>_xll.acq_options_binomial_american_greeks(M$31,$F32,$C$5,$C$6,$C$8,$C$9,$C$7,TRUE)</f>
        <v>58.745431517306379</v>
      </c>
      <c r="N32">
        <f>_xll.acq_options_binomial_american_greeks(N$31,$F32,$C$5,$C$6,$C$8,$C$9,$C$7,TRUE)</f>
        <v>-3.8049813106502128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1"/>
        <v>0</v>
      </c>
      <c r="AN32">
        <f t="shared" ref="AN32:AT32" si="14">AN11-V11</f>
        <v>0</v>
      </c>
      <c r="AO32">
        <f t="shared" si="14"/>
        <v>0</v>
      </c>
      <c r="AP32">
        <f t="shared" si="14"/>
        <v>0</v>
      </c>
      <c r="AQ32">
        <f t="shared" si="14"/>
        <v>0</v>
      </c>
      <c r="AR32">
        <f t="shared" si="14"/>
        <v>0</v>
      </c>
      <c r="AS32">
        <f t="shared" si="14"/>
        <v>0</v>
      </c>
      <c r="AT32">
        <f t="shared" si="14"/>
        <v>0</v>
      </c>
    </row>
    <row r="33" spans="6:46" x14ac:dyDescent="0.25">
      <c r="F33" s="13">
        <v>110</v>
      </c>
      <c r="G33">
        <f>_xll.acq_options_binomial_american_greeks(G$31,$F33,$C$5,$C$6,$C$8,$C$9,$C$7,TRUE)</f>
        <v>9.5689708195948757</v>
      </c>
      <c r="H33">
        <f>_xll.acq_options_binomial_american_greeks(H$31,$F33,$C$5,$C$6,$C$8,$C$9,$C$7,TRUE)</f>
        <v>0.39283515411956604</v>
      </c>
      <c r="I33">
        <f>_xll.acq_options_binomial_american_greeks(I$31,$F33,$C$5,$C$6,$C$8,$C$9,$C$7,TRUE)</f>
        <v>1.1920675649528955E-10</v>
      </c>
      <c r="J33">
        <f>_xll.acq_options_binomial_american_greeks(J$31,$F33,$C$5,$C$6,$C$8,$C$9,$C$7,TRUE)</f>
        <v>66.511021577571881</v>
      </c>
      <c r="K33">
        <f>_xll.acq_options_binomial_american_greeks(K$31,$F33,$C$5,$C$6,$C$8,$C$9,$C$7,TRUE)</f>
        <v>-115.56653363342662</v>
      </c>
      <c r="L33">
        <f>_xll.acq_options_binomial_american_greeks(L$31,$F33,$C$5,$C$6,$C$8,$C$9,$C$7,TRUE)</f>
        <v>-0.17917111971854638</v>
      </c>
      <c r="M33">
        <f>_xll.acq_options_binomial_american_greeks(M$31,$F33,$C$5,$C$6,$C$8,$C$9,$C$7,TRUE)</f>
        <v>81.497589287016226</v>
      </c>
      <c r="N33">
        <f>_xll.acq_options_binomial_american_greeks(N$31,$F33,$C$5,$C$6,$C$8,$C$9,$C$7,TRUE)</f>
        <v>-4.8601242276173906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  <c r="AE33">
        <f t="shared" si="3"/>
        <v>0</v>
      </c>
      <c r="AF33">
        <f t="shared" si="4"/>
        <v>0</v>
      </c>
      <c r="AG33">
        <f t="shared" si="5"/>
        <v>0</v>
      </c>
      <c r="AH33">
        <f t="shared" si="6"/>
        <v>0</v>
      </c>
      <c r="AI33">
        <f t="shared" si="7"/>
        <v>0</v>
      </c>
      <c r="AJ33">
        <f t="shared" si="8"/>
        <v>0</v>
      </c>
      <c r="AK33">
        <f t="shared" si="1"/>
        <v>0</v>
      </c>
      <c r="AN33">
        <f t="shared" ref="AN33:AT33" si="15">AN12-V12</f>
        <v>0</v>
      </c>
      <c r="AO33">
        <f t="shared" si="15"/>
        <v>0</v>
      </c>
      <c r="AP33">
        <f t="shared" si="15"/>
        <v>0</v>
      </c>
      <c r="AQ33">
        <f t="shared" si="15"/>
        <v>0</v>
      </c>
      <c r="AR33">
        <f t="shared" si="15"/>
        <v>0</v>
      </c>
      <c r="AS33">
        <f t="shared" si="15"/>
        <v>0</v>
      </c>
      <c r="AT33">
        <f t="shared" si="15"/>
        <v>0</v>
      </c>
    </row>
    <row r="34" spans="6:46" x14ac:dyDescent="0.25">
      <c r="F34" s="13">
        <v>120</v>
      </c>
      <c r="G34">
        <f>_xll.acq_options_binomial_american_greeks(G$31,$F34,$C$5,$C$6,$C$8,$C$9,$C$7,TRUE)</f>
        <v>13.834259508876483</v>
      </c>
      <c r="H34">
        <f>_xll.acq_options_binomial_american_greeks(H$31,$F34,$C$5,$C$6,$C$8,$C$9,$C$7,TRUE)</f>
        <v>0.46151445268451202</v>
      </c>
      <c r="I34">
        <f>_xll.acq_options_binomial_american_greeks(I$31,$F34,$C$5,$C$6,$C$8,$C$9,$C$7,TRUE)</f>
        <v>2.7533531010703882E-10</v>
      </c>
      <c r="J34">
        <f>_xll.acq_options_binomial_american_greeks(J$31,$F34,$C$5,$C$6,$C$8,$C$9,$C$7,TRUE)</f>
        <v>73.061597511501589</v>
      </c>
      <c r="K34">
        <f>_xll.acq_options_binomial_american_greeks(K$31,$F34,$C$5,$C$6,$C$8,$C$9,$C$7,TRUE)</f>
        <v>-86.778942513632273</v>
      </c>
      <c r="L34">
        <f>_xll.acq_options_binomial_american_greeks(L$31,$F34,$C$5,$C$6,$C$8,$C$9,$C$7,TRUE)</f>
        <v>-0.18427820069888412</v>
      </c>
      <c r="M34">
        <f>_xll.acq_options_binomial_american_greeks(M$31,$F34,$C$5,$C$6,$C$8,$C$9,$C$7,TRUE)</f>
        <v>105.75371445456661</v>
      </c>
      <c r="N34">
        <f>_xll.acq_options_binomial_american_greeks(N$31,$F34,$C$5,$C$6,$C$8,$C$9,$C$7,TRUE)</f>
        <v>-5.6302197116213648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  <c r="AE34">
        <f t="shared" si="3"/>
        <v>0</v>
      </c>
      <c r="AF34">
        <f t="shared" si="4"/>
        <v>0</v>
      </c>
      <c r="AG34">
        <f t="shared" si="5"/>
        <v>0</v>
      </c>
      <c r="AH34">
        <f t="shared" si="6"/>
        <v>0</v>
      </c>
      <c r="AI34">
        <f t="shared" si="7"/>
        <v>0</v>
      </c>
      <c r="AJ34">
        <f t="shared" si="8"/>
        <v>0</v>
      </c>
      <c r="AK34">
        <f t="shared" si="1"/>
        <v>0</v>
      </c>
      <c r="AN34">
        <f t="shared" ref="AN34:AT34" si="16">AN13-V13</f>
        <v>0</v>
      </c>
      <c r="AO34">
        <f t="shared" si="16"/>
        <v>0</v>
      </c>
      <c r="AP34">
        <f t="shared" si="16"/>
        <v>0</v>
      </c>
      <c r="AQ34">
        <f t="shared" si="16"/>
        <v>0</v>
      </c>
      <c r="AR34">
        <f t="shared" si="16"/>
        <v>0</v>
      </c>
      <c r="AS34">
        <f t="shared" si="16"/>
        <v>0</v>
      </c>
      <c r="AT34">
        <f t="shared" si="16"/>
        <v>0</v>
      </c>
    </row>
    <row r="35" spans="6:46" x14ac:dyDescent="0.25">
      <c r="F35" s="13">
        <v>130</v>
      </c>
      <c r="G35">
        <f>_xll.acq_options_binomial_american_greeks(G$31,$F35,$C$5,$C$6,$C$8,$C$9,$C$7,TRUE)</f>
        <v>18.900478172219707</v>
      </c>
      <c r="H35">
        <f>_xll.acq_options_binomial_american_greeks(H$31,$F35,$C$5,$C$6,$C$8,$C$9,$C$7,TRUE)</f>
        <v>0.53101339550712856</v>
      </c>
      <c r="I35">
        <f>_xll.acq_options_binomial_american_greeks(I$31,$F35,$C$5,$C$6,$C$8,$C$9,$C$7,TRUE)</f>
        <v>9.7205609767890623E-10</v>
      </c>
      <c r="J35">
        <f>_xll.acq_options_binomial_american_greeks(J$31,$F35,$C$5,$C$6,$C$8,$C$9,$C$7,TRUE)</f>
        <v>77.886781928777111</v>
      </c>
      <c r="K35">
        <f>_xll.acq_options_binomial_american_greeks(K$31,$F35,$C$5,$C$6,$C$8,$C$9,$C$7,TRUE)</f>
        <v>-52.646501274011825</v>
      </c>
      <c r="L35">
        <f>_xll.acq_options_binomial_american_greeks(L$31,$F35,$C$5,$C$6,$C$8,$C$9,$C$7,TRUE)</f>
        <v>-0.18355770148303918</v>
      </c>
      <c r="M35">
        <f>_xll.acq_options_binomial_american_greeks(M$31,$F35,$C$5,$C$6,$C$8,$C$9,$C$7,TRUE)</f>
        <v>130.29775084520699</v>
      </c>
      <c r="N35">
        <f>_xll.acq_options_binomial_american_greeks(N$31,$F35,$C$5,$C$6,$C$8,$C$9,$C$7,TRUE)</f>
        <v>-6.31179333191767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  <c r="AE35">
        <f t="shared" si="3"/>
        <v>0</v>
      </c>
      <c r="AF35">
        <f t="shared" si="4"/>
        <v>0</v>
      </c>
      <c r="AG35">
        <f t="shared" si="5"/>
        <v>0</v>
      </c>
      <c r="AH35">
        <f t="shared" si="6"/>
        <v>0</v>
      </c>
      <c r="AI35">
        <f t="shared" si="7"/>
        <v>0</v>
      </c>
      <c r="AJ35">
        <f t="shared" si="8"/>
        <v>0</v>
      </c>
      <c r="AK35">
        <f t="shared" si="1"/>
        <v>0</v>
      </c>
      <c r="AN35">
        <f t="shared" ref="AN35:AT35" si="17">AN14-V14</f>
        <v>0</v>
      </c>
      <c r="AO35">
        <f t="shared" si="17"/>
        <v>0</v>
      </c>
      <c r="AP35">
        <f t="shared" si="17"/>
        <v>0</v>
      </c>
      <c r="AQ35">
        <f t="shared" si="17"/>
        <v>0</v>
      </c>
      <c r="AR35">
        <f t="shared" si="17"/>
        <v>0</v>
      </c>
      <c r="AS35">
        <f t="shared" si="17"/>
        <v>0</v>
      </c>
      <c r="AT35">
        <f t="shared" si="17"/>
        <v>0</v>
      </c>
    </row>
    <row r="36" spans="6:46" x14ac:dyDescent="0.25">
      <c r="F36" s="13">
        <v>140</v>
      </c>
      <c r="G36">
        <f>_xll.acq_options_binomial_american_greeks(G$31,$F36,$C$5,$C$6,$C$8,$C$9,$C$7,TRUE)</f>
        <v>24.726660867450761</v>
      </c>
      <c r="H36">
        <f>_xll.acq_options_binomial_american_greeks(H$31,$F36,$C$5,$C$6,$C$8,$C$9,$C$7,TRUE)</f>
        <v>0.63202179102841416</v>
      </c>
      <c r="I36">
        <f>_xll.acq_options_binomial_american_greeks(I$31,$F36,$C$5,$C$6,$C$8,$C$9,$C$7,TRUE)</f>
        <v>2.5322148006552546E-9</v>
      </c>
      <c r="J36">
        <f>_xll.acq_options_binomial_american_greeks(J$31,$F36,$C$5,$C$6,$C$8,$C$9,$C$7,TRUE)</f>
        <v>81.860922197439052</v>
      </c>
      <c r="K36">
        <f>_xll.acq_options_binomial_american_greeks(K$31,$F36,$C$5,$C$6,$C$8,$C$9,$C$7,TRUE)</f>
        <v>-16.065887145089164</v>
      </c>
      <c r="L36">
        <f>_xll.acq_options_binomial_american_greeks(L$31,$F36,$C$5,$C$6,$C$8,$C$9,$C$7,TRUE)</f>
        <v>-0.17185169554068125</v>
      </c>
      <c r="M36">
        <f>_xll.acq_options_binomial_american_greeks(M$31,$F36,$C$5,$C$6,$C$8,$C$9,$C$7,TRUE)</f>
        <v>154.14954010589099</v>
      </c>
      <c r="N36">
        <f>_xll.acq_options_binomial_american_greeks(N$31,$F36,$C$5,$C$6,$C$8,$C$9,$C$7,TRUE)</f>
        <v>-6.9293708354969397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0</v>
      </c>
      <c r="AI36">
        <f t="shared" si="7"/>
        <v>0</v>
      </c>
      <c r="AJ36">
        <f t="shared" si="8"/>
        <v>0</v>
      </c>
      <c r="AK36">
        <f t="shared" si="1"/>
        <v>0</v>
      </c>
      <c r="AN36">
        <f t="shared" ref="AN36:AT36" si="18">AN15-V15</f>
        <v>0</v>
      </c>
      <c r="AO36">
        <f t="shared" si="18"/>
        <v>0</v>
      </c>
      <c r="AP36">
        <f t="shared" si="18"/>
        <v>0</v>
      </c>
      <c r="AQ36">
        <f t="shared" si="18"/>
        <v>0</v>
      </c>
      <c r="AR36">
        <f t="shared" si="18"/>
        <v>0</v>
      </c>
      <c r="AS36">
        <f t="shared" si="18"/>
        <v>0</v>
      </c>
      <c r="AT36">
        <f t="shared" si="18"/>
        <v>0</v>
      </c>
    </row>
    <row r="37" spans="6:46" x14ac:dyDescent="0.25">
      <c r="F37" s="13">
        <v>150</v>
      </c>
      <c r="G37">
        <f>_xll.acq_options_binomial_american_greeks(G$31,$F37,$C$5,$C$6,$C$8,$C$9,$C$7,TRUE)</f>
        <v>31.212516368497283</v>
      </c>
      <c r="H37">
        <f>_xll.acq_options_binomial_american_greeks(H$31,$F37,$C$5,$C$6,$C$8,$C$9,$C$7,TRUE)</f>
        <v>0.67905092691500357</v>
      </c>
      <c r="I37">
        <f>_xll.acq_options_binomial_american_greeks(I$31,$F37,$C$5,$C$6,$C$8,$C$9,$C$7,TRUE)</f>
        <v>0.20321106752210957</v>
      </c>
      <c r="J37">
        <f>_xll.acq_options_binomial_american_greeks(J$31,$F37,$C$5,$C$6,$C$8,$C$9,$C$7,TRUE)</f>
        <v>80.826677292584677</v>
      </c>
      <c r="K37">
        <f>_xll.acq_options_binomial_american_greeks(K$31,$F37,$C$5,$C$6,$C$8,$C$9,$C$7,TRUE)</f>
        <v>19.712196277055227</v>
      </c>
      <c r="L37">
        <f>_xll.acq_options_binomial_american_greeks(L$31,$F37,$C$5,$C$6,$C$8,$C$9,$C$7,TRUE)</f>
        <v>-0.16173119110618472</v>
      </c>
      <c r="M37">
        <f>_xll.acq_options_binomial_american_greeks(M$31,$F37,$C$5,$C$6,$C$8,$C$9,$C$7,TRUE)</f>
        <v>176.6121161331906</v>
      </c>
      <c r="N37">
        <f>_xll.acq_options_binomial_american_greeks(N$31,$F37,$C$5,$C$6,$C$8,$C$9,$C$7,TRUE)</f>
        <v>-7.2621117195801332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  <c r="AE37">
        <f t="shared" si="3"/>
        <v>0</v>
      </c>
      <c r="AF37">
        <f t="shared" si="4"/>
        <v>0</v>
      </c>
      <c r="AG37">
        <f t="shared" si="5"/>
        <v>0</v>
      </c>
      <c r="AH37">
        <f t="shared" si="6"/>
        <v>0</v>
      </c>
      <c r="AI37">
        <f t="shared" si="7"/>
        <v>0</v>
      </c>
      <c r="AJ37">
        <f t="shared" si="8"/>
        <v>0</v>
      </c>
      <c r="AK37">
        <f t="shared" si="1"/>
        <v>0</v>
      </c>
      <c r="AN37">
        <f t="shared" ref="AN37:AT37" si="19">AN16-V16</f>
        <v>0</v>
      </c>
      <c r="AO37">
        <f t="shared" si="19"/>
        <v>0</v>
      </c>
      <c r="AP37">
        <f t="shared" si="19"/>
        <v>0</v>
      </c>
      <c r="AQ37">
        <f t="shared" si="19"/>
        <v>0</v>
      </c>
      <c r="AR37">
        <f t="shared" si="19"/>
        <v>0</v>
      </c>
      <c r="AS37">
        <f t="shared" si="19"/>
        <v>0</v>
      </c>
      <c r="AT37">
        <f t="shared" si="19"/>
        <v>0</v>
      </c>
    </row>
    <row r="38" spans="6:46" x14ac:dyDescent="0.25">
      <c r="F38" s="13">
        <v>160</v>
      </c>
      <c r="G38">
        <f>_xll.acq_options_binomial_american_greeks(G$31,$F38,$C$5,$C$6,$C$8,$C$9,$C$7,TRUE)</f>
        <v>38.288870372719884</v>
      </c>
      <c r="H38">
        <f>_xll.acq_options_binomial_american_greeks(H$31,$F38,$C$5,$C$6,$C$8,$C$9,$C$7,TRUE)</f>
        <v>0.72328811539992266</v>
      </c>
      <c r="I38">
        <f>_xll.acq_options_binomial_american_greeks(I$31,$F38,$C$5,$C$6,$C$8,$C$9,$C$7,TRUE)</f>
        <v>8.0085937881335667E-9</v>
      </c>
      <c r="J38">
        <f>_xll.acq_options_binomial_american_greeks(J$31,$F38,$C$5,$C$6,$C$8,$C$9,$C$7,TRUE)</f>
        <v>78.647506900910642</v>
      </c>
      <c r="K38">
        <f>_xll.acq_options_binomial_american_greeks(K$31,$F38,$C$5,$C$6,$C$8,$C$9,$C$7,TRUE)</f>
        <v>51.714829908178217</v>
      </c>
      <c r="L38">
        <f>_xll.acq_options_binomial_american_greeks(L$31,$F38,$C$5,$C$6,$C$8,$C$9,$C$7,TRUE)</f>
        <v>-0.14971018913456646</v>
      </c>
      <c r="M38">
        <f>_xll.acq_options_binomial_american_greeks(M$31,$F38,$C$5,$C$6,$C$8,$C$9,$C$7,TRUE)</f>
        <v>197.16598749784353</v>
      </c>
      <c r="N38">
        <f>_xll.acq_options_binomial_american_greeks(N$31,$F38,$C$5,$C$6,$C$8,$C$9,$C$7,TRUE)</f>
        <v>-7.4935158412756664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  <c r="AE38">
        <f t="shared" si="3"/>
        <v>0</v>
      </c>
      <c r="AF38">
        <f t="shared" si="4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1"/>
        <v>0</v>
      </c>
      <c r="AN38">
        <f t="shared" ref="AN38:AT38" si="20">AN17-V17</f>
        <v>0</v>
      </c>
      <c r="AO38">
        <f t="shared" si="20"/>
        <v>0</v>
      </c>
      <c r="AP38">
        <f t="shared" si="20"/>
        <v>0</v>
      </c>
      <c r="AQ38">
        <f t="shared" si="20"/>
        <v>0</v>
      </c>
      <c r="AR38">
        <f t="shared" si="20"/>
        <v>0</v>
      </c>
      <c r="AS38">
        <f t="shared" si="20"/>
        <v>0</v>
      </c>
      <c r="AT38">
        <f t="shared" si="20"/>
        <v>0</v>
      </c>
    </row>
    <row r="39" spans="6:46" x14ac:dyDescent="0.25">
      <c r="F39" s="13">
        <v>170</v>
      </c>
      <c r="G39">
        <f>_xll.acq_options_binomial_american_greeks(G$31,$F39,$C$5,$C$6,$C$8,$C$9,$C$7,TRUE)</f>
        <v>45.850665689697209</v>
      </c>
      <c r="H39">
        <f>_xll.acq_options_binomial_american_greeks(H$31,$F39,$C$5,$C$6,$C$8,$C$9,$C$7,TRUE)</f>
        <v>0.77627038080967903</v>
      </c>
      <c r="I39">
        <f>_xll.acq_options_binomial_american_greeks(I$31,$F39,$C$5,$C$6,$C$8,$C$9,$C$7,TRUE)</f>
        <v>1.141785627982666E-8</v>
      </c>
      <c r="J39">
        <f>_xll.acq_options_binomial_american_greeks(J$31,$F39,$C$5,$C$6,$C$8,$C$9,$C$7,TRUE)</f>
        <v>74.203292985607945</v>
      </c>
      <c r="K39">
        <f>_xll.acq_options_binomial_american_greeks(K$31,$F39,$C$5,$C$6,$C$8,$C$9,$C$7,TRUE)</f>
        <v>77.492788832955739</v>
      </c>
      <c r="L39">
        <f>_xll.acq_options_binomial_american_greeks(L$31,$F39,$C$5,$C$6,$C$8,$C$9,$C$7,TRUE)</f>
        <v>-0.13119946729034382</v>
      </c>
      <c r="M39">
        <f>_xll.acq_options_binomial_american_greeks(M$31,$F39,$C$5,$C$6,$C$8,$C$9,$C$7,TRUE)</f>
        <v>215.63455254693764</v>
      </c>
      <c r="N39">
        <f>_xll.acq_options_binomial_american_greeks(N$31,$F39,$C$5,$C$6,$C$8,$C$9,$C$7,TRUE)</f>
        <v>-7.5650842958054909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  <c r="AE39">
        <f t="shared" si="3"/>
        <v>0</v>
      </c>
      <c r="AF39">
        <f t="shared" si="4"/>
        <v>0</v>
      </c>
      <c r="AG39">
        <f t="shared" si="5"/>
        <v>0</v>
      </c>
      <c r="AH39">
        <f t="shared" si="6"/>
        <v>0</v>
      </c>
      <c r="AI39">
        <f t="shared" si="7"/>
        <v>0</v>
      </c>
      <c r="AJ39">
        <f t="shared" si="8"/>
        <v>0</v>
      </c>
      <c r="AK39">
        <f t="shared" si="1"/>
        <v>0</v>
      </c>
      <c r="AN39">
        <f t="shared" ref="AN39:AT39" si="21">AN18-V18</f>
        <v>0</v>
      </c>
      <c r="AO39">
        <f t="shared" si="21"/>
        <v>0</v>
      </c>
      <c r="AP39">
        <f t="shared" si="21"/>
        <v>0</v>
      </c>
      <c r="AQ39">
        <f t="shared" si="21"/>
        <v>0</v>
      </c>
      <c r="AR39">
        <f t="shared" si="21"/>
        <v>0</v>
      </c>
      <c r="AS39">
        <f t="shared" si="21"/>
        <v>0</v>
      </c>
      <c r="AT39">
        <f t="shared" si="21"/>
        <v>0</v>
      </c>
    </row>
    <row r="40" spans="6:46" x14ac:dyDescent="0.25">
      <c r="F40" s="13">
        <v>180</v>
      </c>
      <c r="G40">
        <f>_xll.acq_options_binomial_american_greeks(G$31,$F40,$C$5,$C$6,$C$8,$C$9,$C$7,TRUE)</f>
        <v>53.806820801060468</v>
      </c>
      <c r="H40">
        <f>_xll.acq_options_binomial_american_greeks(H$31,$F40,$C$5,$C$6,$C$8,$C$9,$C$7,TRUE)</f>
        <v>0.82198565685437253</v>
      </c>
      <c r="I40">
        <f>_xll.acq_options_binomial_american_greeks(I$31,$F40,$C$5,$C$6,$C$8,$C$9,$C$7,TRUE)</f>
        <v>1.8799557247005813E-8</v>
      </c>
      <c r="J40">
        <f>_xll.acq_options_binomial_american_greeks(J$31,$F40,$C$5,$C$6,$C$8,$C$9,$C$7,TRUE)</f>
        <v>67.871918753013404</v>
      </c>
      <c r="K40">
        <f>_xll.acq_options_binomial_american_greeks(K$31,$F40,$C$5,$C$6,$C$8,$C$9,$C$7,TRUE)</f>
        <v>95.508805770805338</v>
      </c>
      <c r="L40">
        <f>_xll.acq_options_binomial_american_greeks(L$31,$F40,$C$5,$C$6,$C$8,$C$9,$C$7,TRUE)</f>
        <v>-0.11134978628035697</v>
      </c>
      <c r="M40">
        <f>_xll.acq_options_binomial_american_greeks(M$31,$F40,$C$5,$C$6,$C$8,$C$9,$C$7,TRUE)</f>
        <v>232.04529747275515</v>
      </c>
      <c r="N40">
        <f>_xll.acq_options_binomial_american_greeks(N$31,$F40,$C$5,$C$6,$C$8,$C$9,$C$7,TRUE)</f>
        <v>-7.4971739234754864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  <c r="AE40">
        <f t="shared" si="3"/>
        <v>0</v>
      </c>
      <c r="AF40">
        <f t="shared" si="4"/>
        <v>0</v>
      </c>
      <c r="AG40">
        <f t="shared" si="5"/>
        <v>0</v>
      </c>
      <c r="AH40">
        <f t="shared" si="6"/>
        <v>0</v>
      </c>
      <c r="AI40">
        <f t="shared" si="7"/>
        <v>0</v>
      </c>
      <c r="AJ40">
        <f t="shared" si="8"/>
        <v>0</v>
      </c>
      <c r="AK40">
        <f t="shared" si="1"/>
        <v>0</v>
      </c>
      <c r="AN40">
        <f t="shared" ref="AN40:AT40" si="22">AN19-V19</f>
        <v>0</v>
      </c>
      <c r="AO40">
        <f t="shared" si="22"/>
        <v>0</v>
      </c>
      <c r="AP40">
        <f t="shared" si="22"/>
        <v>0</v>
      </c>
      <c r="AQ40">
        <f t="shared" si="22"/>
        <v>0</v>
      </c>
      <c r="AR40">
        <f t="shared" si="22"/>
        <v>0</v>
      </c>
      <c r="AS40">
        <f t="shared" si="22"/>
        <v>0</v>
      </c>
      <c r="AT40">
        <f t="shared" si="22"/>
        <v>0</v>
      </c>
    </row>
    <row r="41" spans="6:46" x14ac:dyDescent="0.25">
      <c r="F41" s="13">
        <v>190</v>
      </c>
      <c r="G41">
        <f>_xll.acq_options_binomial_american_greeks(G$31,$F41,$C$5,$C$6,$C$8,$C$9,$C$7,TRUE)</f>
        <v>62.117916559344394</v>
      </c>
      <c r="H41">
        <f>_xll.acq_options_binomial_american_greeks(H$31,$F41,$C$5,$C$6,$C$8,$C$9,$C$7,TRUE)</f>
        <v>0.84202354246964861</v>
      </c>
      <c r="I41">
        <f>_xll.acq_options_binomial_american_greeks(I$31,$F41,$C$5,$C$6,$C$8,$C$9,$C$7,TRUE)</f>
        <v>3.1666980518274514E-8</v>
      </c>
      <c r="J41">
        <f>_xll.acq_options_binomial_american_greeks(J$31,$F41,$C$5,$C$6,$C$8,$C$9,$C$7,TRUE)</f>
        <v>63.650941152118833</v>
      </c>
      <c r="K41">
        <f>_xll.acq_options_binomial_american_greeks(K$31,$F41,$C$5,$C$6,$C$8,$C$9,$C$7,TRUE)</f>
        <v>111.96122423484667</v>
      </c>
      <c r="L41">
        <f>_xll.acq_options_binomial_american_greeks(L$31,$F41,$C$5,$C$6,$C$8,$C$9,$C$7,TRUE)</f>
        <v>-0.10134426098318272</v>
      </c>
      <c r="M41">
        <f>_xll.acq_options_binomial_american_greeks(M$31,$F41,$C$5,$C$6,$C$8,$C$9,$C$7,TRUE)</f>
        <v>246.28383912638441</v>
      </c>
      <c r="N41">
        <f>_xll.acq_options_binomial_american_greeks(N$31,$F41,$C$5,$C$6,$C$8,$C$9,$C$7,TRUE)</f>
        <v>-7.4878105806561734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  <c r="AE41">
        <f t="shared" si="3"/>
        <v>0</v>
      </c>
      <c r="AF41">
        <f t="shared" si="4"/>
        <v>0</v>
      </c>
      <c r="AG41">
        <f t="shared" si="5"/>
        <v>0</v>
      </c>
      <c r="AH41">
        <f t="shared" si="6"/>
        <v>0</v>
      </c>
      <c r="AI41">
        <f t="shared" si="7"/>
        <v>0</v>
      </c>
      <c r="AJ41">
        <f t="shared" si="8"/>
        <v>0</v>
      </c>
      <c r="AK41">
        <f t="shared" si="1"/>
        <v>0</v>
      </c>
      <c r="AN41">
        <f t="shared" ref="AN41:AT41" si="23">AN20-V20</f>
        <v>0</v>
      </c>
      <c r="AO41">
        <f t="shared" si="23"/>
        <v>0</v>
      </c>
      <c r="AP41">
        <f t="shared" si="23"/>
        <v>0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</row>
    <row r="42" spans="6:46" x14ac:dyDescent="0.25">
      <c r="F42" s="13">
        <v>200</v>
      </c>
      <c r="G42">
        <f>_xll.acq_options_binomial_american_greeks(G$31,$F42,$C$5,$C$6,$C$8,$C$9,$C$7,TRUE)</f>
        <v>70.697101086051191</v>
      </c>
      <c r="H42">
        <f>_xll.acq_options_binomial_american_greeks(H$31,$F42,$C$5,$C$6,$C$8,$C$9,$C$7,TRUE)</f>
        <v>0.87653762333033569</v>
      </c>
      <c r="I42">
        <f>_xll.acq_options_binomial_american_greeks(I$31,$F42,$C$5,$C$6,$C$8,$C$9,$C$7,TRUE)</f>
        <v>5.924647439314866E-8</v>
      </c>
      <c r="J42">
        <f>_xll.acq_options_binomial_american_greeks(J$31,$F42,$C$5,$C$6,$C$8,$C$9,$C$7,TRUE)</f>
        <v>55.588234100731832</v>
      </c>
      <c r="K42">
        <f>_xll.acq_options_binomial_american_greeks(K$31,$F42,$C$5,$C$6,$C$8,$C$9,$C$7,TRUE)</f>
        <v>115.6314565946559</v>
      </c>
      <c r="L42">
        <f>_xll.acq_options_binomial_american_greeks(L$31,$F42,$C$5,$C$6,$C$8,$C$9,$C$7,TRUE)</f>
        <v>-8.1957097108897869E-2</v>
      </c>
      <c r="M42">
        <f>_xll.acq_options_binomial_american_greeks(M$31,$F42,$C$5,$C$6,$C$8,$C$9,$C$7,TRUE)</f>
        <v>258.64157207402627</v>
      </c>
      <c r="N42">
        <f>_xll.acq_options_binomial_american_greeks(N$31,$F42,$C$5,$C$6,$C$8,$C$9,$C$7,TRUE)</f>
        <v>-7.2460279597805766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  <c r="AE42">
        <f t="shared" si="3"/>
        <v>0</v>
      </c>
      <c r="AF42">
        <f t="shared" si="4"/>
        <v>0</v>
      </c>
      <c r="AG42">
        <f t="shared" si="5"/>
        <v>0</v>
      </c>
      <c r="AH42">
        <f t="shared" si="6"/>
        <v>0</v>
      </c>
      <c r="AI42">
        <f t="shared" si="7"/>
        <v>0</v>
      </c>
      <c r="AJ42">
        <f t="shared" si="8"/>
        <v>0</v>
      </c>
      <c r="AK42">
        <f t="shared" si="1"/>
        <v>0</v>
      </c>
      <c r="AN42">
        <f t="shared" ref="AN42:AT42" si="24">AN21-V21</f>
        <v>0</v>
      </c>
      <c r="AO42">
        <f t="shared" si="24"/>
        <v>0</v>
      </c>
      <c r="AP42">
        <f t="shared" si="24"/>
        <v>0</v>
      </c>
      <c r="AQ42">
        <f t="shared" si="24"/>
        <v>0</v>
      </c>
      <c r="AR42">
        <f t="shared" si="24"/>
        <v>0</v>
      </c>
      <c r="AS42">
        <f t="shared" si="24"/>
        <v>0</v>
      </c>
      <c r="AT42">
        <f t="shared" si="24"/>
        <v>0</v>
      </c>
    </row>
    <row r="43" spans="6:46" x14ac:dyDescent="0.25">
      <c r="V43" s="46"/>
      <c r="W43" s="46"/>
      <c r="X43" s="46"/>
      <c r="Y43" s="46"/>
      <c r="Z43" s="46"/>
      <c r="AA43" s="46"/>
      <c r="AB43" s="46"/>
      <c r="AE43">
        <f t="shared" si="3"/>
        <v>0</v>
      </c>
      <c r="AF43">
        <f t="shared" si="4"/>
        <v>0</v>
      </c>
      <c r="AG43">
        <f t="shared" si="5"/>
        <v>0</v>
      </c>
      <c r="AH43">
        <f t="shared" si="6"/>
        <v>0</v>
      </c>
      <c r="AI43">
        <f t="shared" si="7"/>
        <v>0</v>
      </c>
      <c r="AJ43">
        <f t="shared" si="8"/>
        <v>0</v>
      </c>
      <c r="AK43">
        <f t="shared" si="1"/>
        <v>0</v>
      </c>
      <c r="AN43">
        <f t="shared" ref="AN43:AT43" si="25">AN22-V22</f>
        <v>0</v>
      </c>
      <c r="AO43">
        <f t="shared" si="25"/>
        <v>0</v>
      </c>
      <c r="AP43">
        <f t="shared" si="25"/>
        <v>0</v>
      </c>
      <c r="AQ43">
        <f t="shared" si="25"/>
        <v>0</v>
      </c>
      <c r="AR43">
        <f t="shared" si="25"/>
        <v>0</v>
      </c>
      <c r="AS43">
        <f t="shared" si="25"/>
        <v>0</v>
      </c>
      <c r="AT43">
        <f t="shared" si="25"/>
        <v>0</v>
      </c>
    </row>
    <row r="44" spans="6:46" x14ac:dyDescent="0.25">
      <c r="V44" s="46"/>
      <c r="W44" s="46"/>
      <c r="X44" s="46"/>
      <c r="Y44" s="46"/>
      <c r="Z44" s="46"/>
      <c r="AA44" s="46"/>
      <c r="AB44" s="46"/>
      <c r="AE44">
        <f t="shared" ref="AE44:AE45" si="26">AE23-M23</f>
        <v>0</v>
      </c>
      <c r="AF44">
        <f t="shared" ref="AF44:AF45" si="27">AF23-N23</f>
        <v>0</v>
      </c>
      <c r="AG44">
        <f t="shared" ref="AG44:AG45" si="28">AG23-O23</f>
        <v>0</v>
      </c>
      <c r="AH44">
        <f t="shared" ref="AH44:AH45" si="29">AH23-P23</f>
        <v>0</v>
      </c>
      <c r="AI44">
        <f t="shared" ref="AI44:AI45" si="30">AI23-Q23</f>
        <v>0</v>
      </c>
      <c r="AJ44">
        <f t="shared" ref="AJ44:AJ45" si="31">AJ23-R23</f>
        <v>0</v>
      </c>
      <c r="AK44">
        <f t="shared" si="1"/>
        <v>0</v>
      </c>
      <c r="AN44">
        <f t="shared" ref="AN44:AT44" si="32">AN23-V23</f>
        <v>0</v>
      </c>
      <c r="AO44">
        <f t="shared" si="32"/>
        <v>0</v>
      </c>
      <c r="AP44">
        <f t="shared" si="32"/>
        <v>0</v>
      </c>
      <c r="AQ44">
        <f t="shared" si="32"/>
        <v>0</v>
      </c>
      <c r="AR44">
        <f t="shared" si="32"/>
        <v>0</v>
      </c>
      <c r="AS44">
        <f t="shared" si="32"/>
        <v>0</v>
      </c>
      <c r="AT44">
        <f t="shared" si="32"/>
        <v>0</v>
      </c>
    </row>
    <row r="45" spans="6:46" ht="15.75" thickBot="1" x14ac:dyDescent="0.3">
      <c r="G45" s="59" t="s">
        <v>165</v>
      </c>
      <c r="H45" s="59"/>
      <c r="I45" s="59"/>
      <c r="J45" s="59"/>
      <c r="K45" s="59"/>
      <c r="L45" s="59"/>
      <c r="M45" s="59"/>
      <c r="N45" s="59"/>
      <c r="S45" s="59" t="s">
        <v>166</v>
      </c>
      <c r="T45" s="59"/>
      <c r="U45" s="59"/>
      <c r="V45" s="59"/>
      <c r="W45" s="59"/>
      <c r="X45" s="59"/>
      <c r="Y45" s="59"/>
      <c r="Z45" s="59"/>
      <c r="AA45" s="46"/>
      <c r="AB45" s="46"/>
      <c r="AE45">
        <f t="shared" si="26"/>
        <v>0</v>
      </c>
      <c r="AF45">
        <f t="shared" si="27"/>
        <v>0</v>
      </c>
      <c r="AG45">
        <f t="shared" si="28"/>
        <v>0</v>
      </c>
      <c r="AH45">
        <f t="shared" si="29"/>
        <v>0</v>
      </c>
      <c r="AI45">
        <f t="shared" si="30"/>
        <v>0</v>
      </c>
      <c r="AJ45">
        <f t="shared" si="31"/>
        <v>0</v>
      </c>
      <c r="AK45">
        <f t="shared" si="1"/>
        <v>0</v>
      </c>
      <c r="AN45">
        <f t="shared" ref="AN45:AT45" si="33">AN24-V24</f>
        <v>0</v>
      </c>
      <c r="AO45">
        <f t="shared" si="33"/>
        <v>0</v>
      </c>
      <c r="AP45">
        <f t="shared" si="33"/>
        <v>0</v>
      </c>
      <c r="AQ45">
        <f t="shared" si="33"/>
        <v>0</v>
      </c>
      <c r="AR45">
        <f t="shared" si="33"/>
        <v>0</v>
      </c>
      <c r="AS45">
        <f t="shared" si="33"/>
        <v>0</v>
      </c>
      <c r="AT45">
        <f t="shared" si="33"/>
        <v>0</v>
      </c>
    </row>
    <row r="46" spans="6:46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46" x14ac:dyDescent="0.25">
      <c r="F47" s="13">
        <v>100</v>
      </c>
      <c r="G47">
        <f>_xll.acq_options_binomial_american_greeks(G$31,$F47,$C$5,$C$6,$C$8,$C$9,$C$7,FALSE)</f>
        <v>49.999999999997073</v>
      </c>
      <c r="H47">
        <f>_xll.acq_options_binomial_american_greeks(H$31,$F47,$C$5,$C$6,$C$8,$C$9,$C$7,FALSE)</f>
        <v>-0.9999999999998721</v>
      </c>
      <c r="I47">
        <f>_xll.acq_options_binomial_american_greeks(I$31,$F47,$C$5,$C$6,$C$8,$C$9,$C$7,FALSE)</f>
        <v>-1.27897692436818E-11</v>
      </c>
      <c r="J47">
        <f>_xll.acq_options_binomial_american_greeks(J$31,$F47,$C$5,$C$6,$C$8,$C$9,$C$7,FALSE)</f>
        <v>-6.0396132539608464E-10</v>
      </c>
      <c r="K47">
        <f>_xll.acq_options_binomial_american_greeks(K$31,$F47,$C$5,$C$6,$C$8,$C$9,$C$7,FALSE)</f>
        <v>1.6356693777197506E-5</v>
      </c>
      <c r="L47">
        <f>_xll.acq_options_binomial_american_greeks(L$31,$F47,$C$5,$C$6,$C$8,$C$9,$C$7,FALSE)</f>
        <v>-2.4868995751603507E-8</v>
      </c>
      <c r="M47">
        <f>_xll.acq_options_binomial_american_greeks(M$31,$F47,$C$5,$C$6,$C$8,$C$9,$C$7,FALSE)</f>
        <v>0</v>
      </c>
      <c r="N47">
        <f>_xll.acq_options_binomial_american_greeks(N$31,$F47,$C$5,$C$6,$C$8,$C$9,$C$7,FALSE)</f>
        <v>-2.4442670110147446E-9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46" x14ac:dyDescent="0.25">
      <c r="F48" s="13">
        <v>110</v>
      </c>
      <c r="G48">
        <f>_xll.acq_options_binomial_american_greeks(G$31,$F48,$C$5,$C$6,$C$8,$C$9,$C$7,FALSE)</f>
        <v>40.231502142120917</v>
      </c>
      <c r="H48">
        <f>_xll.acq_options_binomial_american_greeks(H$31,$F48,$C$5,$C$6,$C$8,$C$9,$C$7,FALSE)</f>
        <v>-0.90987473018028131</v>
      </c>
      <c r="I48">
        <f>_xll.acq_options_binomial_american_greeks(I$31,$F48,$C$5,$C$6,$C$8,$C$9,$C$7,FALSE)</f>
        <v>3.4627434574815183E-3</v>
      </c>
      <c r="J48">
        <f>_xll.acq_options_binomial_american_greeks(J$31,$F48,$C$5,$C$6,$C$8,$C$9,$C$7,FALSE)</f>
        <v>18.406934804751511</v>
      </c>
      <c r="K48">
        <f>_xll.acq_options_binomial_american_greeks(K$31,$F48,$C$5,$C$6,$C$8,$C$9,$C$7,FALSE)</f>
        <v>873.34175073294773</v>
      </c>
      <c r="L48">
        <f>_xll.acq_options_binomial_american_greeks(L$31,$F48,$C$5,$C$6,$C$8,$C$9,$C$7,FALSE)</f>
        <v>7.1569381336900051</v>
      </c>
      <c r="M48">
        <f>_xll.acq_options_binomial_american_greeks(M$31,$F48,$C$5,$C$6,$C$8,$C$9,$C$7,FALSE)</f>
        <v>-30.812220154164294</v>
      </c>
      <c r="N48">
        <f>_xll.acq_options_binomial_american_greeks(N$31,$F48,$C$5,$C$6,$C$8,$C$9,$C$7,FALSE)</f>
        <v>-0.29567208315484095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_xll.acq_options_binomial_american_greeks(G$31,$F49,$C$5,$C$6,$C$8,$C$9,$C$7,FALSE)</f>
        <v>32.171645652267202</v>
      </c>
      <c r="H49">
        <f>_xll.acq_options_binomial_american_greeks(H$31,$F49,$C$5,$C$6,$C$8,$C$9,$C$7,FALSE)</f>
        <v>-0.7220906634614721</v>
      </c>
      <c r="I49">
        <f>_xll.acq_options_binomial_american_greeks(I$31,$F49,$C$5,$C$6,$C$8,$C$9,$C$7,FALSE)</f>
        <v>7.4909230206464551E-3</v>
      </c>
      <c r="J49">
        <f>_xll.acq_options_binomial_american_greeks(J$31,$F49,$C$5,$C$6,$C$8,$C$9,$C$7,FALSE)</f>
        <v>50.689647329619405</v>
      </c>
      <c r="K49">
        <f>_xll.acq_options_binomial_american_greeks(K$31,$F49,$C$5,$C$6,$C$8,$C$9,$C$7,FALSE)</f>
        <v>119.8706003293637</v>
      </c>
      <c r="L49">
        <f>_xll.acq_options_binomial_american_greeks(L$31,$F49,$C$5,$C$6,$C$8,$C$9,$C$7,FALSE)</f>
        <v>1.1280762013399226</v>
      </c>
      <c r="M49">
        <f>_xll.acq_options_binomial_american_greeks(M$31,$F49,$C$5,$C$6,$C$8,$C$9,$C$7,FALSE)</f>
        <v>-76.928191555303727</v>
      </c>
      <c r="N49">
        <f>_xll.acq_options_binomial_american_greeks(N$31,$F49,$C$5,$C$6,$C$8,$C$9,$C$7,FALSE)</f>
        <v>-0.92539108119638058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_xll.acq_options_binomial_american_greeks(G$31,$F50,$C$5,$C$6,$C$8,$C$9,$C$7,FALSE)</f>
        <v>25.708592404822586</v>
      </c>
      <c r="H50">
        <f>_xll.acq_options_binomial_american_greeks(H$31,$F50,$C$5,$C$6,$C$8,$C$9,$C$7,FALSE)</f>
        <v>-0.58342210390560301</v>
      </c>
      <c r="I50">
        <f>_xll.acq_options_binomial_american_greeks(I$31,$F50,$C$5,$C$6,$C$8,$C$9,$C$7,FALSE)</f>
        <v>1.1193959009850235E-2</v>
      </c>
      <c r="J50">
        <f>_xll.acq_options_binomial_american_greeks(J$31,$F50,$C$5,$C$6,$C$8,$C$9,$C$7,FALSE)</f>
        <v>69.019607605815324</v>
      </c>
      <c r="K50">
        <f>_xll.acq_options_binomial_american_greeks(K$31,$F50,$C$5,$C$6,$C$8,$C$9,$C$7,FALSE)</f>
        <v>143.99398478559533</v>
      </c>
      <c r="L50">
        <f>_xll.acq_options_binomial_american_greeks(L$31,$F50,$C$5,$C$6,$C$8,$C$9,$C$7,FALSE)</f>
        <v>1.355260949686965</v>
      </c>
      <c r="M50">
        <f>_xll.acq_options_binomial_american_greeks(M$31,$F50,$C$5,$C$6,$C$8,$C$9,$C$7,FALSE)</f>
        <v>-97.693498495376119</v>
      </c>
      <c r="N50">
        <f>_xll.acq_options_binomial_american_greeks(N$31,$F50,$C$5,$C$6,$C$8,$C$9,$C$7,FALSE)</f>
        <v>-1.4121944331115799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_xll.acq_options_binomial_american_greeks(G$31,$F51,$C$5,$C$6,$C$8,$C$9,$C$7,FALSE)</f>
        <v>20.529319339336379</v>
      </c>
      <c r="H51">
        <f>_xll.acq_options_binomial_american_greeks(H$31,$F51,$C$5,$C$6,$C$8,$C$9,$C$7,FALSE)</f>
        <v>-0.45755880360593332</v>
      </c>
      <c r="I51">
        <f>_xll.acq_options_binomial_american_greeks(I$31,$F51,$C$5,$C$6,$C$8,$C$9,$C$7,FALSE)</f>
        <v>1.7545605667132987E-2</v>
      </c>
      <c r="J51">
        <f>_xll.acq_options_binomial_american_greeks(J$31,$F51,$C$5,$C$6,$C$8,$C$9,$C$7,FALSE)</f>
        <v>79.537114264825277</v>
      </c>
      <c r="K51">
        <f>_xll.acq_options_binomial_american_greeks(K$31,$F51,$C$5,$C$6,$C$8,$C$9,$C$7,FALSE)</f>
        <v>46.342422983514098</v>
      </c>
      <c r="L51">
        <f>_xll.acq_options_binomial_american_greeks(L$31,$F51,$C$5,$C$6,$C$8,$C$9,$C$7,FALSE)</f>
        <v>1.4873137432758199</v>
      </c>
      <c r="M51">
        <f>_xll.acq_options_binomial_american_greeks(M$31,$F51,$C$5,$C$6,$C$8,$C$9,$C$7,FALSE)</f>
        <v>-103.82610656881575</v>
      </c>
      <c r="N51">
        <f>_xll.acq_options_binomial_american_greeks(N$31,$F51,$C$5,$C$6,$C$8,$C$9,$C$7,FALSE)</f>
        <v>-1.8152021949688901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_xll.acq_options_binomial_american_greeks(G$31,$F52,$C$5,$C$6,$C$8,$C$9,$C$7,FALSE)</f>
        <v>16.378604252576686</v>
      </c>
      <c r="H52">
        <f>_xll.acq_options_binomial_american_greeks(H$31,$F52,$C$5,$C$6,$C$8,$C$9,$C$7,FALSE)</f>
        <v>-0.37349516746284434</v>
      </c>
      <c r="I52">
        <f>_xll.acq_options_binomial_american_greeks(I$31,$F52,$C$5,$C$6,$C$8,$C$9,$C$7,FALSE)</f>
        <v>8.10973922840377E-2</v>
      </c>
      <c r="J52">
        <f>_xll.acq_options_binomial_american_greeks(J$31,$F52,$C$5,$C$6,$C$8,$C$9,$C$7,FALSE)</f>
        <v>83.01222734064055</v>
      </c>
      <c r="K52">
        <f>_xll.acq_options_binomial_american_greeks(K$31,$F52,$C$5,$C$6,$C$8,$C$9,$C$7,FALSE)</f>
        <v>17.750951514017288</v>
      </c>
      <c r="L52">
        <f>_xll.acq_options_binomial_american_greeks(L$31,$F52,$C$5,$C$6,$C$8,$C$9,$C$7,FALSE)</f>
        <v>0.11649096531840542</v>
      </c>
      <c r="M52">
        <f>_xll.acq_options_binomial_american_greeks(M$31,$F52,$C$5,$C$6,$C$8,$C$9,$C$7,FALSE)</f>
        <v>-101.43057264356514</v>
      </c>
      <c r="N52">
        <f>_xll.acq_options_binomial_american_greeks(N$31,$F52,$C$5,$C$6,$C$8,$C$9,$C$7,FALSE)</f>
        <v>-2.0426651712917021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_xll.acq_options_binomial_american_greeks(G$31,$F53,$C$5,$C$6,$C$8,$C$9,$C$7,FALSE)</f>
        <v>13.064178901247107</v>
      </c>
      <c r="H53">
        <f>_xll.acq_options_binomial_american_greeks(H$31,$F53,$C$5,$C$6,$C$8,$C$9,$C$7,FALSE)</f>
        <v>-0.3015324714407519</v>
      </c>
      <c r="I53">
        <f>_xll.acq_options_binomial_american_greeks(I$31,$F53,$C$5,$C$6,$C$8,$C$9,$C$7,FALSE)</f>
        <v>3.1186186272291749E-3</v>
      </c>
      <c r="J53">
        <f>_xll.acq_options_binomial_american_greeks(J$31,$F53,$C$5,$C$6,$C$8,$C$9,$C$7,FALSE)</f>
        <v>82.758584433465217</v>
      </c>
      <c r="K53">
        <f>_xll.acq_options_binomial_american_greeks(K$31,$F53,$C$5,$C$6,$C$8,$C$9,$C$7,FALSE)</f>
        <v>37.902429166791762</v>
      </c>
      <c r="L53">
        <f>_xll.acq_options_binomial_american_greeks(L$31,$F53,$C$5,$C$6,$C$8,$C$9,$C$7,FALSE)</f>
        <v>-6.4971204860597709E-2</v>
      </c>
      <c r="M53">
        <f>_xll.acq_options_binomial_american_greeks(M$31,$F53,$C$5,$C$6,$C$8,$C$9,$C$7,FALSE)</f>
        <v>-94.61045354549924</v>
      </c>
      <c r="N53">
        <f>_xll.acq_options_binomial_american_greeks(N$31,$F53,$C$5,$C$6,$C$8,$C$9,$C$7,FALSE)</f>
        <v>-2.1744266617886865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_xll.acq_options_binomial_american_greeks(G$31,$F54,$C$5,$C$6,$C$8,$C$9,$C$7,FALSE)</f>
        <v>10.414585486521755</v>
      </c>
      <c r="H54">
        <f>_xll.acq_options_binomial_american_greeks(H$31,$F54,$C$5,$C$6,$C$8,$C$9,$C$7,FALSE)</f>
        <v>-0.23658976884919225</v>
      </c>
      <c r="I54">
        <f>_xll.acq_options_binomial_american_greeks(I$31,$F54,$C$5,$C$6,$C$8,$C$9,$C$7,FALSE)</f>
        <v>2.3684641677966601E-3</v>
      </c>
      <c r="J54">
        <f>_xll.acq_options_binomial_american_greeks(J$31,$F54,$C$5,$C$6,$C$8,$C$9,$C$7,FALSE)</f>
        <v>79.233865331409461</v>
      </c>
      <c r="K54">
        <f>_xll.acq_options_binomial_american_greeks(K$31,$F54,$C$5,$C$6,$C$8,$C$9,$C$7,FALSE)</f>
        <v>65.744231370956641</v>
      </c>
      <c r="L54">
        <f>_xll.acq_options_binomial_american_greeks(L$31,$F54,$C$5,$C$6,$C$8,$C$9,$C$7,FALSE)</f>
        <v>-0.14957109595314932</v>
      </c>
      <c r="M54">
        <f>_xll.acq_options_binomial_american_greeks(M$31,$F54,$C$5,$C$6,$C$8,$C$9,$C$7,FALSE)</f>
        <v>-85.493522714020102</v>
      </c>
      <c r="N54">
        <f>_xll.acq_options_binomial_american_greeks(N$31,$F54,$C$5,$C$6,$C$8,$C$9,$C$7,FALSE)</f>
        <v>-2.1901279545879504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_xll.acq_options_binomial_american_greeks(G$31,$F55,$C$5,$C$6,$C$8,$C$9,$C$7,FALSE)</f>
        <v>8.2906052849119263</v>
      </c>
      <c r="H55">
        <f>_xll.acq_options_binomial_american_greeks(H$31,$F55,$C$5,$C$6,$C$8,$C$9,$C$7,FALSE)</f>
        <v>-0.18388404707029909</v>
      </c>
      <c r="I55">
        <f>_xll.acq_options_binomial_american_greeks(I$31,$F55,$C$5,$C$6,$C$8,$C$9,$C$7,FALSE)</f>
        <v>1.9879113209874E-3</v>
      </c>
      <c r="J55">
        <f>_xll.acq_options_binomial_american_greeks(J$31,$F55,$C$5,$C$6,$C$8,$C$9,$C$7,FALSE)</f>
        <v>73.472132861984221</v>
      </c>
      <c r="K55">
        <f>_xll.acq_options_binomial_american_greeks(K$31,$F55,$C$5,$C$6,$C$8,$C$9,$C$7,FALSE)</f>
        <v>98.51208101707698</v>
      </c>
      <c r="L55">
        <f>_xll.acq_options_binomial_american_greeks(L$31,$F55,$C$5,$C$6,$C$8,$C$9,$C$7,FALSE)</f>
        <v>-0.22954692724397319</v>
      </c>
      <c r="M55">
        <f>_xll.acq_options_binomial_american_greeks(M$31,$F55,$C$5,$C$6,$C$8,$C$9,$C$7,FALSE)</f>
        <v>-75.487511383808936</v>
      </c>
      <c r="N55">
        <f>_xll.acq_options_binomial_american_greeks(N$31,$F55,$C$5,$C$6,$C$8,$C$9,$C$7,FALSE)</f>
        <v>-2.1112875738502623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_xll.acq_options_binomial_american_greeks(G$31,$F56,$C$5,$C$6,$C$8,$C$9,$C$7,FALSE)</f>
        <v>6.6081901894160353</v>
      </c>
      <c r="H56">
        <f>_xll.acq_options_binomial_american_greeks(H$31,$F56,$C$5,$C$6,$C$8,$C$9,$C$7,FALSE)</f>
        <v>-0.15228467425900086</v>
      </c>
      <c r="I56">
        <f>_xll.acq_options_binomial_american_greeks(I$31,$F56,$C$5,$C$6,$C$8,$C$9,$C$7,FALSE)</f>
        <v>1.0738727936558503E-3</v>
      </c>
      <c r="J56">
        <f>_xll.acq_options_binomial_american_greeks(J$31,$F56,$C$5,$C$6,$C$8,$C$9,$C$7,FALSE)</f>
        <v>68.407449410813499</v>
      </c>
      <c r="K56">
        <f>_xll.acq_options_binomial_american_greeks(K$31,$F56,$C$5,$C$6,$C$8,$C$9,$C$7,FALSE)</f>
        <v>120.4651042243654</v>
      </c>
      <c r="L56">
        <f>_xll.acq_options_binomial_american_greeks(L$31,$F56,$C$5,$C$6,$C$8,$C$9,$C$7,FALSE)</f>
        <v>-0.2339520708272147</v>
      </c>
      <c r="M56">
        <f>_xll.acq_options_binomial_american_greeks(M$31,$F56,$C$5,$C$6,$C$8,$C$9,$C$7,FALSE)</f>
        <v>-65.739523841137341</v>
      </c>
      <c r="N56">
        <f>_xll.acq_options_binomial_american_greeks(N$31,$F56,$C$5,$C$6,$C$8,$C$9,$C$7,FALSE)</f>
        <v>-2.0618542795149963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_xll.acq_options_binomial_american_greeks(G$31,$F57,$C$5,$C$6,$C$8,$C$9,$C$7,FALSE)</f>
        <v>5.2592397761285765</v>
      </c>
      <c r="H57">
        <f>_xll.acq_options_binomial_american_greeks(H$31,$F57,$C$5,$C$6,$C$8,$C$9,$C$7,FALSE)</f>
        <v>-0.1155444655295601</v>
      </c>
      <c r="I57">
        <f>_xll.acq_options_binomial_american_greeks(I$31,$F57,$C$5,$C$6,$C$8,$C$9,$C$7,FALSE)</f>
        <v>1.4439596922155571E-3</v>
      </c>
      <c r="J57">
        <f>_xll.acq_options_binomial_american_greeks(J$31,$F57,$C$5,$C$6,$C$8,$C$9,$C$7,FALSE)</f>
        <v>60.565883962435173</v>
      </c>
      <c r="K57">
        <f>_xll.acq_options_binomial_american_greeks(K$31,$F57,$C$5,$C$6,$C$8,$C$9,$C$7,FALSE)</f>
        <v>164.33558030115591</v>
      </c>
      <c r="L57">
        <f>_xll.acq_options_binomial_american_greeks(L$31,$F57,$C$5,$C$6,$C$8,$C$9,$C$7,FALSE)</f>
        <v>-0.323655884315599</v>
      </c>
      <c r="M57">
        <f>_xll.acq_options_binomial_american_greeks(M$31,$F57,$C$5,$C$6,$C$8,$C$9,$C$7,FALSE)</f>
        <v>-56.4812235501293</v>
      </c>
      <c r="N57">
        <f>_xll.acq_options_binomial_american_greeks(N$31,$F57,$C$5,$C$6,$C$8,$C$9,$C$7,FALSE)</f>
        <v>-1.8621640523202032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06DC-E156-44EA-9FFD-8AC3A3C029D9}">
  <dimension ref="A1:AB57"/>
  <sheetViews>
    <sheetView topLeftCell="E1" workbookViewId="0">
      <selection activeCell="K32" sqref="K32:K41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60" t="s">
        <v>162</v>
      </c>
      <c r="B1" s="60"/>
      <c r="C1" s="60"/>
      <c r="D1" s="60"/>
      <c r="E1" s="60"/>
      <c r="F1" s="60"/>
      <c r="G1" s="60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9" t="s">
        <v>171</v>
      </c>
      <c r="G3" s="59"/>
      <c r="H3" s="59"/>
      <c r="I3" s="59" t="s">
        <v>163</v>
      </c>
      <c r="J3" s="59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_xll.acq_options_trinomial_american_price($C$4,F5,$C$6,$C$8,$C$9,$C$7,TRUE)</f>
        <v>70.000000000000213</v>
      </c>
      <c r="H5">
        <f>_xll.acq_options_trinomial_american_price($C$4,F5,$C$6,$C$8,$C$9,$C$7,FALSE)</f>
        <v>1.9838432261221024E-8</v>
      </c>
      <c r="I5">
        <f>_xll.acq_options_binomial_american_price($C$4,F5,$C$6,$C$8,$C$9,$C$7,TRUE)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_xll.acq_options_trinomial_american_price(M$4,$C$5,$L5,$C$8,$C$9,$C$7,TRUE)</f>
        <v>6.5811661543634011E-5</v>
      </c>
      <c r="N5">
        <f>_xll.acq_options_trinomial_american_price(N$4,$C$5,$L5,$C$8,$C$9,$C$7,TRUE)</f>
        <v>1.4853320495123949E-2</v>
      </c>
      <c r="O5">
        <f>_xll.acq_options_trinomial_american_price(O$4,$C$5,$L5,$C$8,$C$9,$C$7,TRUE)</f>
        <v>0.46364045278828864</v>
      </c>
      <c r="P5">
        <f>_xll.acq_options_trinomial_american_price(P$4,$C$5,$L5,$C$8,$C$9,$C$7,TRUE)</f>
        <v>3.52862579254663</v>
      </c>
      <c r="Q5">
        <f>_xll.acq_options_trinomial_american_price(Q$4,$C$5,$L5,$C$8,$C$9,$C$7,TRUE)</f>
        <v>10.855040838271535</v>
      </c>
      <c r="R5">
        <f>_xll.acq_options_trinomial_american_price(R$4,$C$5,$L5,$C$8,$C$9,$C$7,TRUE)</f>
        <v>20.398509866481888</v>
      </c>
      <c r="S5">
        <f>_xll.acq_options_trinomial_american_price(S$4,$C$5,$L5,$C$8,$C$9,$C$7,TRUE)</f>
        <v>30.36047809121526</v>
      </c>
      <c r="U5" s="45">
        <v>0.05</v>
      </c>
      <c r="V5">
        <f>_xll.acq_options_trinomial_american_price(V$4,$C$5,$U5,$C$8,$C$9,$C$7,FALSE)</f>
        <v>30.000000000000085</v>
      </c>
      <c r="W5">
        <f>_xll.acq_options_trinomial_american_price(W$4,$C$5,$U5,$C$8,$C$9,$C$7,FALSE)</f>
        <v>19.999999999999972</v>
      </c>
      <c r="X5">
        <f>_xll.acq_options_trinomial_american_price(X$4,$C$5,$U5,$C$8,$C$9,$C$7,FALSE)</f>
        <v>10.226197462781149</v>
      </c>
      <c r="Y5">
        <f>_xll.acq_options_trinomial_american_price(Y$4,$C$5,$U5,$C$8,$C$9,$C$7,FALSE)</f>
        <v>3.1795489421630068</v>
      </c>
      <c r="Z5">
        <f>_xll.acq_options_trinomial_american_price(Z$4,$C$5,$U5,$C$8,$C$9,$C$7,FALSE)</f>
        <v>0.48808970976072674</v>
      </c>
      <c r="AA5">
        <f>_xll.acq_options_trinomial_american_price(AA$4,$C$5,$U5,$C$8,$C$9,$C$7,FALSE)</f>
        <v>3.4278303552810786E-2</v>
      </c>
      <c r="AB5">
        <f>_xll.acq_options_trinomial_american_price(AB$4,$C$5,$U5,$C$8,$C$9,$C$7,FALSE)</f>
        <v>1.1327941221592392E-3</v>
      </c>
    </row>
    <row r="6" spans="1:28" x14ac:dyDescent="0.25">
      <c r="B6" t="s">
        <v>88</v>
      </c>
      <c r="C6" s="5">
        <v>2.5</v>
      </c>
      <c r="F6">
        <v>20</v>
      </c>
      <c r="G6">
        <f>_xll.acq_options_trinomial_american_price($C$4,F6,$C$6,$C$8,$C$9,$C$7,TRUE)</f>
        <v>60.847772819259603</v>
      </c>
      <c r="H6">
        <f>_xll.acq_options_trinomial_american_price($C$4,F6,$C$6,$C$8,$C$9,$C$7,FALSE)</f>
        <v>2.2423861839803312E-4</v>
      </c>
      <c r="I6">
        <f>_xll.acq_options_binomial_american_price($C$4,F6,$C$6,$C$8,$C$9,$C$7,TRUE)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_xll.acq_options_trinomial_american_price(M$4,$C$5,$L6,$C$8,$C$9,$C$7,TRUE)</f>
        <v>9.1645857129566896E-3</v>
      </c>
      <c r="N6">
        <f>_xll.acq_options_trinomial_american_price(N$4,$C$5,$L6,$C$8,$C$9,$C$7,TRUE)</f>
        <v>0.17915071269295163</v>
      </c>
      <c r="O6">
        <f>_xll.acq_options_trinomial_american_price(O$4,$C$5,$L6,$C$8,$C$9,$C$7,TRUE)</f>
        <v>1.3489992315588435</v>
      </c>
      <c r="P6">
        <f>_xll.acq_options_trinomial_american_price(P$4,$C$5,$L6,$C$8,$C$9,$C$7,TRUE)</f>
        <v>5.0950595830636516</v>
      </c>
      <c r="Q6">
        <f>_xll.acq_options_trinomial_american_price(Q$4,$C$5,$L6,$C$8,$C$9,$C$7,TRUE)</f>
        <v>12.008590642158183</v>
      </c>
      <c r="R6">
        <f>_xll.acq_options_trinomial_american_price(R$4,$C$5,$L6,$C$8,$C$9,$C$7,TRUE)</f>
        <v>20.988581791503378</v>
      </c>
      <c r="S6">
        <f>_xll.acq_options_trinomial_american_price(S$4,$C$5,$L6,$C$8,$C$9,$C$7,TRUE)</f>
        <v>30.755912659617906</v>
      </c>
      <c r="U6" s="45">
        <v>0.1</v>
      </c>
      <c r="V6">
        <f>_xll.acq_options_trinomial_american_price(V$4,$C$5,$U6,$C$8,$C$9,$C$7,FALSE)</f>
        <v>30.000000000000199</v>
      </c>
      <c r="W6">
        <f>_xll.acq_options_trinomial_american_price(W$4,$C$5,$U6,$C$8,$C$9,$C$7,FALSE)</f>
        <v>20.000000000000085</v>
      </c>
      <c r="X6">
        <f>_xll.acq_options_trinomial_american_price(X$4,$C$5,$U6,$C$8,$C$9,$C$7,FALSE)</f>
        <v>10.79701560439727</v>
      </c>
      <c r="Y6">
        <f>_xll.acq_options_trinomial_american_price(Y$4,$C$5,$U6,$C$8,$C$9,$C$7,FALSE)</f>
        <v>4.4035301670215343</v>
      </c>
      <c r="Z6">
        <f>_xll.acq_options_trinomial_american_price(Z$4,$C$5,$U6,$C$8,$C$9,$C$7,FALSE)</f>
        <v>1.2826416600147355</v>
      </c>
      <c r="AA6">
        <f>_xll.acq_options_trinomial_american_price(AA$4,$C$5,$U6,$C$8,$C$9,$C$7,FALSE)</f>
        <v>0.26293782528294918</v>
      </c>
      <c r="AB6">
        <f>_xll.acq_options_trinomial_american_price(AB$4,$C$5,$U6,$C$8,$C$9,$C$7,FALSE)</f>
        <v>3.8715834382848799E-2</v>
      </c>
    </row>
    <row r="7" spans="1:28" x14ac:dyDescent="0.25">
      <c r="B7" t="s">
        <v>89</v>
      </c>
      <c r="C7" s="5">
        <v>0.25</v>
      </c>
      <c r="F7">
        <v>30</v>
      </c>
      <c r="G7">
        <f>_xll.acq_options_trinomial_american_price($C$4,F7,$C$6,$C$8,$C$9,$C$7,TRUE)</f>
        <v>52.220007038152701</v>
      </c>
      <c r="H7">
        <f>_xll.acq_options_trinomial_american_price($C$4,F7,$C$6,$C$8,$C$9,$C$7,FALSE)</f>
        <v>1.3987024133038886E-2</v>
      </c>
      <c r="I7">
        <f>_xll.acq_options_binomial_american_price($C$4,F7,$C$6,$C$8,$C$9,$C$7,TRUE)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_xll.acq_options_trinomial_american_price(M$4,$C$5,$L7,$C$8,$C$9,$C$7,TRUE)</f>
        <v>5.8281683919017446E-2</v>
      </c>
      <c r="N7">
        <f>_xll.acq_options_trinomial_american_price(N$4,$C$5,$L7,$C$8,$C$9,$C$7,TRUE)</f>
        <v>0.49227592435631862</v>
      </c>
      <c r="O7">
        <f>_xll.acq_options_trinomial_american_price(O$4,$C$5,$L7,$C$8,$C$9,$C$7,TRUE)</f>
        <v>2.2217511615056793</v>
      </c>
      <c r="P7">
        <f>_xll.acq_options_trinomial_american_price(P$4,$C$5,$L7,$C$8,$C$9,$C$7,TRUE)</f>
        <v>6.3369373653533154</v>
      </c>
      <c r="Q7">
        <f>_xll.acq_options_trinomial_american_price(Q$4,$C$5,$L7,$C$8,$C$9,$C$7,TRUE)</f>
        <v>13.081304380957619</v>
      </c>
      <c r="R7">
        <f>_xll.acq_options_trinomial_american_price(R$4,$C$5,$L7,$C$8,$C$9,$C$7,TRUE)</f>
        <v>21.691030346711067</v>
      </c>
      <c r="S7">
        <f>_xll.acq_options_trinomial_american_price(S$4,$C$5,$L7,$C$8,$C$9,$C$7,TRUE)</f>
        <v>31.223155382457456</v>
      </c>
      <c r="U7" s="45">
        <v>0.15</v>
      </c>
      <c r="V7">
        <f>_xll.acq_options_trinomial_american_price(V$4,$C$5,$U7,$C$8,$C$9,$C$7,FALSE)</f>
        <v>29.999999999999929</v>
      </c>
      <c r="W7">
        <f>_xll.acq_options_trinomial_american_price(W$4,$C$5,$U7,$C$8,$C$9,$C$7,FALSE)</f>
        <v>20.027540247320772</v>
      </c>
      <c r="X7">
        <f>_xll.acq_options_trinomial_american_price(X$4,$C$5,$U7,$C$8,$C$9,$C$7,FALSE)</f>
        <v>11.354718221411151</v>
      </c>
      <c r="Y7">
        <f>_xll.acq_options_trinomial_american_price(Y$4,$C$5,$U7,$C$8,$C$9,$C$7,FALSE)</f>
        <v>5.3069876502496989</v>
      </c>
      <c r="Z7">
        <f>_xll.acq_options_trinomial_american_price(Z$4,$C$5,$U7,$C$8,$C$9,$C$7,FALSE)</f>
        <v>2.0019992873387218</v>
      </c>
      <c r="AA7">
        <f>_xll.acq_options_trinomial_american_price(AA$4,$C$5,$U7,$C$8,$C$9,$C$7,FALSE)</f>
        <v>0.6077206433870892</v>
      </c>
      <c r="AB7">
        <f>_xll.acq_options_trinomial_american_price(AB$4,$C$5,$U7,$C$8,$C$9,$C$7,FALSE)</f>
        <v>0.15017888415235259</v>
      </c>
    </row>
    <row r="8" spans="1:28" x14ac:dyDescent="0.25">
      <c r="B8" t="s">
        <v>90</v>
      </c>
      <c r="C8" s="51">
        <v>0.06</v>
      </c>
      <c r="F8">
        <v>40</v>
      </c>
      <c r="G8">
        <f>_xll.acq_options_trinomial_american_price($C$4,F8,$C$6,$C$8,$C$9,$C$7,TRUE)</f>
        <v>43.738567226021786</v>
      </c>
      <c r="H8">
        <f>_xll.acq_options_trinomial_american_price($C$4,F8,$C$6,$C$8,$C$9,$C$7,FALSE)</f>
        <v>0.15100831911655299</v>
      </c>
      <c r="I8">
        <f>_xll.acq_options_binomial_american_price($C$4,F8,$C$6,$C$8,$C$9,$C$7,TRUE)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_xll.acq_options_trinomial_american_price(M$4,$C$5,$L8,$C$8,$C$9,$C$7,TRUE)</f>
        <v>0.16162470623883596</v>
      </c>
      <c r="N8">
        <f>_xll.acq_options_trinomial_american_price(N$4,$C$5,$L8,$C$8,$C$9,$C$7,TRUE)</f>
        <v>0.88580745487160639</v>
      </c>
      <c r="O8">
        <f>_xll.acq_options_trinomial_american_price(O$4,$C$5,$L8,$C$8,$C$9,$C$7,TRUE)</f>
        <v>3.0451872574515662</v>
      </c>
      <c r="P8">
        <f>_xll.acq_options_trinomial_american_price(P$4,$C$5,$L8,$C$8,$C$9,$C$7,TRUE)</f>
        <v>7.410041073481759</v>
      </c>
      <c r="Q8">
        <f>_xll.acq_options_trinomial_american_price(Q$4,$C$5,$L8,$C$8,$C$9,$C$7,TRUE)</f>
        <v>14.066117154378297</v>
      </c>
      <c r="R8">
        <f>_xll.acq_options_trinomial_american_price(R$4,$C$5,$L8,$C$8,$C$9,$C$7,TRUE)</f>
        <v>22.425386783360366</v>
      </c>
      <c r="S8">
        <f>_xll.acq_options_trinomial_american_price(S$4,$C$5,$L8,$C$8,$C$9,$C$7,TRUE)</f>
        <v>31.746623210254739</v>
      </c>
      <c r="U8" s="45">
        <v>0.2</v>
      </c>
      <c r="V8">
        <f>_xll.acq_options_trinomial_american_price(V$4,$C$5,$U8,$C$8,$C$9,$C$7,FALSE)</f>
        <v>30.000000000000185</v>
      </c>
      <c r="W8">
        <f>_xll.acq_options_trinomial_american_price(W$4,$C$5,$U8,$C$8,$C$9,$C$7,FALSE)</f>
        <v>20.130233975096523</v>
      </c>
      <c r="X8">
        <f>_xll.acq_options_trinomial_american_price(X$4,$C$5,$U8,$C$8,$C$9,$C$7,FALSE)</f>
        <v>11.863670749603795</v>
      </c>
      <c r="Y8">
        <f>_xll.acq_options_trinomial_american_price(Y$4,$C$5,$U8,$C$8,$C$9,$C$7,FALSE)</f>
        <v>6.044955471754049</v>
      </c>
      <c r="Z8">
        <f>_xll.acq_options_trinomial_american_price(Z$4,$C$5,$U8,$C$8,$C$9,$C$7,FALSE)</f>
        <v>2.6381652660452843</v>
      </c>
      <c r="AA8">
        <f>_xll.acq_options_trinomial_american_price(AA$4,$C$5,$U8,$C$8,$C$9,$C$7,FALSE)</f>
        <v>0.9881934849560724</v>
      </c>
      <c r="AB8">
        <f>_xll.acq_options_trinomial_american_price(AB$4,$C$5,$U8,$C$8,$C$9,$C$7,FALSE)</f>
        <v>0.32032745154300857</v>
      </c>
    </row>
    <row r="9" spans="1:28" x14ac:dyDescent="0.25">
      <c r="B9" t="s">
        <v>123</v>
      </c>
      <c r="C9" s="52">
        <v>0.01</v>
      </c>
      <c r="F9">
        <v>50</v>
      </c>
      <c r="G9">
        <f>_xll.acq_options_trinomial_american_price($C$4,F9,$C$6,$C$8,$C$9,$C$7,TRUE)</f>
        <v>35.643398083535715</v>
      </c>
      <c r="H9">
        <f>_xll.acq_options_trinomial_american_price($C$4,F9,$C$6,$C$8,$C$9,$C$7,FALSE)</f>
        <v>0.70986511847276779</v>
      </c>
      <c r="I9">
        <f>_xll.acq_options_binomial_american_price($C$4,F9,$C$6,$C$8,$C$9,$C$7,TRUE)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_xll.acq_options_trinomial_american_price(M$4,$C$5,$L9,$C$8,$C$9,$C$7,TRUE)</f>
        <v>0.3144110871789122</v>
      </c>
      <c r="N9">
        <f>_xll.acq_options_trinomial_american_price(N$4,$C$5,$L9,$C$8,$C$9,$C$7,TRUE)</f>
        <v>1.3202894559431182</v>
      </c>
      <c r="O9">
        <f>_xll.acq_options_trinomial_american_price(O$4,$C$5,$L9,$C$8,$C$9,$C$7,TRUE)</f>
        <v>3.8223393462141626</v>
      </c>
      <c r="P9">
        <f>_xll.acq_options_trinomial_american_price(P$4,$C$5,$L9,$C$8,$C$9,$C$7,TRUE)</f>
        <v>8.3747711030235124</v>
      </c>
      <c r="Q9">
        <f>_xll.acq_options_trinomial_american_price(Q$4,$C$5,$L9,$C$8,$C$9,$C$7,TRUE)</f>
        <v>14.98326650509347</v>
      </c>
      <c r="R9">
        <f>_xll.acq_options_trinomial_american_price(R$4,$C$5,$L9,$C$8,$C$9,$C$7,TRUE)</f>
        <v>23.161128676621686</v>
      </c>
      <c r="S9">
        <f>_xll.acq_options_trinomial_american_price(S$4,$C$5,$L9,$C$8,$C$9,$C$7,TRUE)</f>
        <v>32.303747768878551</v>
      </c>
      <c r="U9" s="45">
        <v>0.25</v>
      </c>
      <c r="V9">
        <f>_xll.acq_options_trinomial_american_price(V$4,$C$5,$U9,$C$8,$C$9,$C$7,FALSE)</f>
        <v>29.999999999999986</v>
      </c>
      <c r="W9">
        <f>_xll.acq_options_trinomial_american_price(W$4,$C$5,$U9,$C$8,$C$9,$C$7,FALSE)</f>
        <v>20.273840359172304</v>
      </c>
      <c r="X9">
        <f>_xll.acq_options_trinomial_american_price(X$4,$C$5,$U9,$C$8,$C$9,$C$7,FALSE)</f>
        <v>12.32738795120579</v>
      </c>
      <c r="Y9">
        <f>_xll.acq_options_trinomial_american_price(Y$4,$C$5,$U9,$C$8,$C$9,$C$7,FALSE)</f>
        <v>6.6774308747271025</v>
      </c>
      <c r="Z9">
        <f>_xll.acq_options_trinomial_american_price(Z$4,$C$5,$U9,$C$8,$C$9,$C$7,FALSE)</f>
        <v>3.2103894257139354</v>
      </c>
      <c r="AA9">
        <f>_xll.acq_options_trinomial_american_price(AA$4,$C$5,$U9,$C$8,$C$9,$C$7,FALSE)</f>
        <v>1.3735511064280412</v>
      </c>
      <c r="AB9">
        <f>_xll.acq_options_trinomial_american_price(AB$4,$C$5,$U9,$C$8,$C$9,$C$7,FALSE)</f>
        <v>0.52673195031613174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_xll.acq_options_trinomial_american_price($C$4,F10,$C$6,$C$8,$C$9,$C$7,TRUE)</f>
        <v>28.280674045228338</v>
      </c>
      <c r="H10">
        <f>_xll.acq_options_trinomial_american_price($C$4,F10,$C$6,$C$8,$C$9,$C$7,FALSE)</f>
        <v>2.1047198985511906</v>
      </c>
      <c r="I10">
        <f>_xll.acq_options_binomial_american_price($C$4,F10,$C$6,$C$8,$C$9,$C$7,TRUE)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_xll.acq_options_trinomial_american_price(M$4,$C$5,$L10,$C$8,$C$9,$C$7,TRUE)</f>
        <v>0.50769104269142729</v>
      </c>
      <c r="N10">
        <f>_xll.acq_options_trinomial_american_price(N$4,$C$5,$L10,$C$8,$C$9,$C$7,TRUE)</f>
        <v>1.7778387760123833</v>
      </c>
      <c r="O10">
        <f>_xll.acq_options_trinomial_american_price(O$4,$C$5,$L10,$C$8,$C$9,$C$7,TRUE)</f>
        <v>4.5568106134532087</v>
      </c>
      <c r="P10">
        <f>_xll.acq_options_trinomial_american_price(P$4,$C$5,$L10,$C$8,$C$9,$C$7,TRUE)</f>
        <v>9.2621341511634725</v>
      </c>
      <c r="Q10">
        <f>_xll.acq_options_trinomial_american_price(Q$4,$C$5,$L10,$C$8,$C$9,$C$7,TRUE)</f>
        <v>15.84578688418004</v>
      </c>
      <c r="R10">
        <f>_xll.acq_options_trinomial_american_price(R$4,$C$5,$L10,$C$8,$C$9,$C$7,TRUE)</f>
        <v>23.888147977210355</v>
      </c>
      <c r="S10">
        <f>_xll.acq_options_trinomial_american_price(S$4,$C$5,$L10,$C$8,$C$9,$C$7,TRUE)</f>
        <v>32.879919741836993</v>
      </c>
      <c r="U10" s="45">
        <v>0.3</v>
      </c>
      <c r="V10">
        <f>_xll.acq_options_trinomial_american_price(V$4,$C$5,$U10,$C$8,$C$9,$C$7,FALSE)</f>
        <v>29.999999999999787</v>
      </c>
      <c r="W10">
        <f>_xll.acq_options_trinomial_american_price(W$4,$C$5,$U10,$C$8,$C$9,$C$7,FALSE)</f>
        <v>20.439543416987355</v>
      </c>
      <c r="X10">
        <f>_xll.acq_options_trinomial_american_price(X$4,$C$5,$U10,$C$8,$C$9,$C$7,FALSE)</f>
        <v>12.750485718427022</v>
      </c>
      <c r="Y10">
        <f>_xll.acq_options_trinomial_american_price(Y$4,$C$5,$U10,$C$8,$C$9,$C$7,FALSE)</f>
        <v>7.2351698299700491</v>
      </c>
      <c r="Z10">
        <f>_xll.acq_options_trinomial_american_price(Z$4,$C$5,$U10,$C$8,$C$9,$C$7,FALSE)</f>
        <v>3.7312282242018417</v>
      </c>
      <c r="AA10">
        <f>_xll.acq_options_trinomial_american_price(AA$4,$C$5,$U10,$C$8,$C$9,$C$7,FALSE)</f>
        <v>1.7531906557883647</v>
      </c>
      <c r="AB10">
        <f>_xll.acq_options_trinomial_american_price(AB$4,$C$5,$U10,$C$8,$C$9,$C$7,FALSE)</f>
        <v>0.75481701955429736</v>
      </c>
    </row>
    <row r="11" spans="1:28" x14ac:dyDescent="0.25">
      <c r="B11" t="s">
        <v>161</v>
      </c>
      <c r="C11" s="50">
        <f>C8-C9</f>
        <v>4.9999999999999996E-2</v>
      </c>
      <c r="F11">
        <v>70</v>
      </c>
      <c r="G11">
        <f>_xll.acq_options_trinomial_american_price($C$4,F11,$C$6,$C$8,$C$9,$C$7,TRUE)</f>
        <v>21.914633440579323</v>
      </c>
      <c r="H11">
        <f>_xll.acq_options_trinomial_american_price($C$4,F11,$C$6,$C$8,$C$9,$C$7,FALSE)</f>
        <v>4.7021645271668788</v>
      </c>
      <c r="I11">
        <f>_xll.acq_options_binomial_american_price($C$4,F11,$C$6,$C$8,$C$9,$C$7,TRUE)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_xll.acq_options_trinomial_american_price(M$4,$C$5,$L11,$C$8,$C$9,$C$7,TRUE)</f>
        <v>0.73200756785021959</v>
      </c>
      <c r="N11">
        <f>_xll.acq_options_trinomial_american_price(N$4,$C$5,$L11,$C$8,$C$9,$C$7,TRUE)</f>
        <v>2.2434682547766864</v>
      </c>
      <c r="O11">
        <f>_xll.acq_options_trinomial_american_price(O$4,$C$5,$L11,$C$8,$C$9,$C$7,TRUE)</f>
        <v>5.2624726780933635</v>
      </c>
      <c r="P11">
        <f>_xll.acq_options_trinomial_american_price(P$4,$C$5,$L11,$C$8,$C$9,$C$7,TRUE)</f>
        <v>10.09056724897367</v>
      </c>
      <c r="Q11">
        <f>_xll.acq_options_trinomial_american_price(Q$4,$C$5,$L11,$C$8,$C$9,$C$7,TRUE)</f>
        <v>16.658474618777213</v>
      </c>
      <c r="R11">
        <f>_xll.acq_options_trinomial_american_price(R$4,$C$5,$L11,$C$8,$C$9,$C$7,TRUE)</f>
        <v>24.599123925907669</v>
      </c>
      <c r="S11">
        <f>_xll.acq_options_trinomial_american_price(S$4,$C$5,$L11,$C$8,$C$9,$C$7,TRUE)</f>
        <v>33.46654740232654</v>
      </c>
      <c r="U11" s="45">
        <v>0.35</v>
      </c>
      <c r="V11">
        <f>_xll.acq_options_trinomial_american_price(V$4,$C$5,$U11,$C$8,$C$9,$C$7,FALSE)</f>
        <v>29.999999999999986</v>
      </c>
      <c r="W11">
        <f>_xll.acq_options_trinomial_american_price(W$4,$C$5,$U11,$C$8,$C$9,$C$7,FALSE)</f>
        <v>20.614603025128417</v>
      </c>
      <c r="X11">
        <f>_xll.acq_options_trinomial_american_price(X$4,$C$5,$U11,$C$8,$C$9,$C$7,FALSE)</f>
        <v>13.14453255743474</v>
      </c>
      <c r="Y11">
        <f>_xll.acq_options_trinomial_american_price(Y$4,$C$5,$U11,$C$8,$C$9,$C$7,FALSE)</f>
        <v>7.7364178380503752</v>
      </c>
      <c r="Z11">
        <f>_xll.acq_options_trinomial_american_price(Z$4,$C$5,$U11,$C$8,$C$9,$C$7,FALSE)</f>
        <v>4.2058509474301715</v>
      </c>
      <c r="AA11">
        <f>_xll.acq_options_trinomial_american_price(AA$4,$C$5,$U11,$C$8,$C$9,$C$7,FALSE)</f>
        <v>2.1199121590359757</v>
      </c>
      <c r="AB11">
        <f>_xll.acq_options_trinomial_american_price(AB$4,$C$5,$U11,$C$8,$C$9,$C$7,FALSE)</f>
        <v>0.99582543304032711</v>
      </c>
    </row>
    <row r="12" spans="1:28" x14ac:dyDescent="0.25">
      <c r="F12">
        <v>80</v>
      </c>
      <c r="G12">
        <f>_xll.acq_options_trinomial_american_price($C$4,F12,$C$6,$C$8,$C$9,$C$7,TRUE)</f>
        <v>16.649674523995238</v>
      </c>
      <c r="H12">
        <f>_xll.acq_options_trinomial_american_price($C$4,F12,$C$6,$C$8,$C$9,$C$7,FALSE)</f>
        <v>8.7349163794104179</v>
      </c>
      <c r="I12">
        <f>_xll.acq_options_binomial_american_price($C$4,F12,$C$6,$C$8,$C$9,$C$7,TRUE)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_xll.acq_options_trinomial_american_price(M$4,$C$5,$L12,$C$8,$C$9,$C$7,TRUE)</f>
        <v>0.9813774091381352</v>
      </c>
      <c r="N12">
        <f>_xll.acq_options_trinomial_american_price(N$4,$C$5,$L12,$C$8,$C$9,$C$7,TRUE)</f>
        <v>2.7131387166277898</v>
      </c>
      <c r="O12">
        <f>_xll.acq_options_trinomial_american_price(O$4,$C$5,$L12,$C$8,$C$9,$C$7,TRUE)</f>
        <v>5.9334231686976135</v>
      </c>
      <c r="P12">
        <f>_xll.acq_options_trinomial_american_price(P$4,$C$5,$L12,$C$8,$C$9,$C$7,TRUE)</f>
        <v>10.872094731398171</v>
      </c>
      <c r="Q12">
        <f>_xll.acq_options_trinomial_american_price(Q$4,$C$5,$L12,$C$8,$C$9,$C$7,TRUE)</f>
        <v>17.437397535649815</v>
      </c>
      <c r="R12">
        <f>_xll.acq_options_trinomial_american_price(R$4,$C$5,$L12,$C$8,$C$9,$C$7,TRUE)</f>
        <v>25.293880453192248</v>
      </c>
      <c r="S12">
        <f>_xll.acq_options_trinomial_american_price(S$4,$C$5,$L12,$C$8,$C$9,$C$7,TRUE)</f>
        <v>34.053948990328934</v>
      </c>
      <c r="U12" s="45">
        <v>0.4</v>
      </c>
      <c r="V12">
        <f>_xll.acq_options_trinomial_american_price(V$4,$C$5,$U12,$C$8,$C$9,$C$7,FALSE)</f>
        <v>29.999999999999915</v>
      </c>
      <c r="W12">
        <f>_xll.acq_options_trinomial_american_price(W$4,$C$5,$U12,$C$8,$C$9,$C$7,FALSE)</f>
        <v>20.794210982378068</v>
      </c>
      <c r="X12">
        <f>_xll.acq_options_trinomial_american_price(X$4,$C$5,$U12,$C$8,$C$9,$C$7,FALSE)</f>
        <v>13.506746451173825</v>
      </c>
      <c r="Y12">
        <f>_xll.acq_options_trinomial_american_price(Y$4,$C$5,$U12,$C$8,$C$9,$C$7,FALSE)</f>
        <v>8.193054851452036</v>
      </c>
      <c r="Z12">
        <f>_xll.acq_options_trinomial_american_price(Z$4,$C$5,$U12,$C$8,$C$9,$C$7,FALSE)</f>
        <v>4.6485930564004097</v>
      </c>
      <c r="AA12">
        <f>_xll.acq_options_trinomial_american_price(AA$4,$C$5,$U12,$C$8,$C$9,$C$7,FALSE)</f>
        <v>2.4732539536102323</v>
      </c>
      <c r="AB12">
        <f>_xll.acq_options_trinomial_american_price(AB$4,$C$5,$U12,$C$8,$C$9,$C$7,FALSE)</f>
        <v>1.2402186145546668</v>
      </c>
    </row>
    <row r="13" spans="1:28" x14ac:dyDescent="0.25">
      <c r="F13">
        <v>90</v>
      </c>
      <c r="G13">
        <f>_xll.acq_options_trinomial_american_price($C$4,F13,$C$6,$C$8,$C$9,$C$7,TRUE)</f>
        <v>12.464444291200209</v>
      </c>
      <c r="H13">
        <f>_xll.acq_options_trinomial_american_price($C$4,F13,$C$6,$C$8,$C$9,$C$7,FALSE)</f>
        <v>14.31290857991136</v>
      </c>
      <c r="I13">
        <f>_xll.acq_options_binomial_american_price($C$4,F13,$C$6,$C$8,$C$9,$C$7,TRUE)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_xll.acq_options_trinomial_american_price(M$4,$C$5,$L13,$C$8,$C$9,$C$7,TRUE)</f>
        <v>1.2472535004205145</v>
      </c>
      <c r="N13">
        <f>_xll.acq_options_trinomial_american_price(N$4,$C$5,$L13,$C$8,$C$9,$C$7,TRUE)</f>
        <v>3.1831883229925362</v>
      </c>
      <c r="O13">
        <f>_xll.acq_options_trinomial_american_price(O$4,$C$5,$L13,$C$8,$C$9,$C$7,TRUE)</f>
        <v>6.5841069245434483</v>
      </c>
      <c r="P13">
        <f>_xll.acq_options_trinomial_american_price(P$4,$C$5,$L13,$C$8,$C$9,$C$7,TRUE)</f>
        <v>11.615076887740763</v>
      </c>
      <c r="Q13">
        <f>_xll.acq_options_trinomial_american_price(Q$4,$C$5,$L13,$C$8,$C$9,$C$7,TRUE)</f>
        <v>18.177924210000896</v>
      </c>
      <c r="R13">
        <f>_xll.acq_options_trinomial_american_price(R$4,$C$5,$L13,$C$8,$C$9,$C$7,TRUE)</f>
        <v>25.970486507851582</v>
      </c>
      <c r="S13">
        <f>_xll.acq_options_trinomial_american_price(S$4,$C$5,$L13,$C$8,$C$9,$C$7,TRUE)</f>
        <v>34.640512376596902</v>
      </c>
      <c r="U13" s="45">
        <v>0.45</v>
      </c>
      <c r="V13">
        <f>_xll.acq_options_trinomial_american_price(V$4,$C$5,$U13,$C$8,$C$9,$C$7,FALSE)</f>
        <v>30.000000000000085</v>
      </c>
      <c r="W13">
        <f>_xll.acq_options_trinomial_american_price(W$4,$C$5,$U13,$C$8,$C$9,$C$7,FALSE)</f>
        <v>20.974340280969333</v>
      </c>
      <c r="X13">
        <f>_xll.acq_options_trinomial_american_price(X$4,$C$5,$U13,$C$8,$C$9,$C$7,FALSE)</f>
        <v>13.848681992043405</v>
      </c>
      <c r="Y13">
        <f>_xll.acq_options_trinomial_american_price(Y$4,$C$5,$U13,$C$8,$C$9,$C$7,FALSE)</f>
        <v>8.6133342712048773</v>
      </c>
      <c r="Z13">
        <f>_xll.acq_options_trinomial_american_price(Z$4,$C$5,$U13,$C$8,$C$9,$C$7,FALSE)</f>
        <v>5.0564549694806367</v>
      </c>
      <c r="AA13">
        <f>_xll.acq_options_trinomial_american_price(AA$4,$C$5,$U13,$C$8,$C$9,$C$7,FALSE)</f>
        <v>2.8113460425379544</v>
      </c>
      <c r="AB13">
        <f>_xll.acq_options_trinomial_american_price(AB$4,$C$5,$U13,$C$8,$C$9,$C$7,FALSE)</f>
        <v>1.486229690212765</v>
      </c>
    </row>
    <row r="14" spans="1:28" x14ac:dyDescent="0.25">
      <c r="F14">
        <v>100</v>
      </c>
      <c r="G14">
        <f>_xll.acq_options_trinomial_american_price($C$4,F14,$C$6,$C$8,$C$9,$C$7,TRUE)</f>
        <v>9.2181348448034655</v>
      </c>
      <c r="H14">
        <f>_xll.acq_options_trinomial_american_price($C$4,F14,$C$6,$C$8,$C$9,$C$7,FALSE)</f>
        <v>21.444518542802879</v>
      </c>
      <c r="I14">
        <f>_xll.acq_options_binomial_american_price($C$4,F14,$C$6,$C$8,$C$9,$C$7,TRUE)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_xll.acq_options_trinomial_american_price(M$4,$C$5,$L14,$C$8,$C$9,$C$7,TRUE)</f>
        <v>1.5287253875168982</v>
      </c>
      <c r="N14">
        <f>_xll.acq_options_trinomial_american_price(N$4,$C$5,$L14,$C$8,$C$9,$C$7,TRUE)</f>
        <v>3.6491186060817009</v>
      </c>
      <c r="O14">
        <f>_xll.acq_options_trinomial_american_price(O$4,$C$5,$L14,$C$8,$C$9,$C$7,TRUE)</f>
        <v>7.2076233428993639</v>
      </c>
      <c r="P14">
        <f>_xll.acq_options_trinomial_american_price(P$4,$C$5,$L14,$C$8,$C$9,$C$7,TRUE)</f>
        <v>12.325606827651828</v>
      </c>
      <c r="Q14">
        <f>_xll.acq_options_trinomial_american_price(Q$4,$C$5,$L14,$C$8,$C$9,$C$7,TRUE)</f>
        <v>18.89462979220572</v>
      </c>
      <c r="R14">
        <f>_xll.acq_options_trinomial_american_price(R$4,$C$5,$L14,$C$8,$C$9,$C$7,TRUE)</f>
        <v>26.631899354962698</v>
      </c>
      <c r="S14">
        <f>_xll.acq_options_trinomial_american_price(S$4,$C$5,$L14,$C$8,$C$9,$C$7,TRUE)</f>
        <v>35.224391677704858</v>
      </c>
      <c r="U14" s="45">
        <v>0.5</v>
      </c>
      <c r="V14">
        <f>_xll.acq_options_trinomial_american_price(V$4,$C$5,$U14,$C$8,$C$9,$C$7,FALSE)</f>
        <v>30.013545368803594</v>
      </c>
      <c r="W14">
        <f>_xll.acq_options_trinomial_american_price(W$4,$C$5,$U14,$C$8,$C$9,$C$7,FALSE)</f>
        <v>21.152161544240702</v>
      </c>
      <c r="X14">
        <f>_xll.acq_options_trinomial_american_price(X$4,$C$5,$U14,$C$8,$C$9,$C$7,FALSE)</f>
        <v>14.166514058300155</v>
      </c>
      <c r="Y14">
        <f>_xll.acq_options_trinomial_american_price(Y$4,$C$5,$U14,$C$8,$C$9,$C$7,FALSE)</f>
        <v>9.0032543875590356</v>
      </c>
      <c r="Z14">
        <f>_xll.acq_options_trinomial_american_price(Z$4,$C$5,$U14,$C$8,$C$9,$C$7,FALSE)</f>
        <v>5.4424867184655321</v>
      </c>
      <c r="AA14">
        <f>_xll.acq_options_trinomial_american_price(AA$4,$C$5,$U14,$C$8,$C$9,$C$7,FALSE)</f>
        <v>3.136415507454358</v>
      </c>
      <c r="AB14">
        <f>_xll.acq_options_trinomial_american_price(AB$4,$C$5,$U14,$C$8,$C$9,$C$7,FALSE)</f>
        <v>1.7318514187597791</v>
      </c>
    </row>
    <row r="15" spans="1:28" x14ac:dyDescent="0.25">
      <c r="B15">
        <f>_xll.acq_options_trinomial_american_price($C$4,$C$5,$C$6,$C$8,$C$9,$C$7,TRUE, 300)</f>
        <v>1.8819893179672582</v>
      </c>
      <c r="F15">
        <v>110</v>
      </c>
      <c r="G15">
        <f>_xll.acq_options_trinomial_american_price($C$4,F15,$C$6,$C$8,$C$9,$C$7,TRUE)</f>
        <v>6.7647070362570041</v>
      </c>
      <c r="H15">
        <f>_xll.acq_options_trinomial_american_price($C$4,F15,$C$6,$C$8,$C$9,$C$7,FALSE)</f>
        <v>30.106132662548632</v>
      </c>
      <c r="I15">
        <f>_xll.acq_options_binomial_american_price($C$4,F15,$C$6,$C$8,$C$9,$C$7,TRUE)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_xll.acq_options_trinomial_american_price(M$4,$C$5,$L15,$C$8,$C$9,$C$7,TRUE)</f>
        <v>1.8209760071377428</v>
      </c>
      <c r="N15">
        <f>_xll.acq_options_trinomial_american_price(N$4,$C$5,$L15,$C$8,$C$9,$C$7,TRUE)</f>
        <v>4.1126919491819951</v>
      </c>
      <c r="O15">
        <f>_xll.acq_options_trinomial_american_price(O$4,$C$5,$L15,$C$8,$C$9,$C$7,TRUE)</f>
        <v>7.8125694168181159</v>
      </c>
      <c r="P15">
        <f>_xll.acq_options_trinomial_american_price(P$4,$C$5,$L15,$C$8,$C$9,$C$7,TRUE)</f>
        <v>13.008288991784449</v>
      </c>
      <c r="Q15">
        <f>_xll.acq_options_trinomial_american_price(Q$4,$C$5,$L15,$C$8,$C$9,$C$7,TRUE)</f>
        <v>19.585941273565467</v>
      </c>
      <c r="R15">
        <f>_xll.acq_options_trinomial_american_price(R$4,$C$5,$L15,$C$8,$C$9,$C$7,TRUE)</f>
        <v>27.278966171773764</v>
      </c>
      <c r="S15">
        <f>_xll.acq_options_trinomial_american_price(S$4,$C$5,$L15,$C$8,$C$9,$C$7,TRUE)</f>
        <v>35.803008532176044</v>
      </c>
      <c r="U15" s="45">
        <v>0.55000000000000004</v>
      </c>
      <c r="V15">
        <f>_xll.acq_options_trinomial_american_price(V$4,$C$5,$U15,$C$8,$C$9,$C$7,FALSE)</f>
        <v>30.03576256700498</v>
      </c>
      <c r="W15">
        <f>_xll.acq_options_trinomial_american_price(W$4,$C$5,$U15,$C$8,$C$9,$C$7,FALSE)</f>
        <v>21.328112207718107</v>
      </c>
      <c r="X15">
        <f>_xll.acq_options_trinomial_american_price(X$4,$C$5,$U15,$C$8,$C$9,$C$7,FALSE)</f>
        <v>14.466499112626494</v>
      </c>
      <c r="Y15">
        <f>_xll.acq_options_trinomial_american_price(Y$4,$C$5,$U15,$C$8,$C$9,$C$7,FALSE)</f>
        <v>9.367345618019586</v>
      </c>
      <c r="Z15">
        <f>_xll.acq_options_trinomial_american_price(Z$4,$C$5,$U15,$C$8,$C$9,$C$7,FALSE)</f>
        <v>5.8051905416523635</v>
      </c>
      <c r="AA15">
        <f>_xll.acq_options_trinomial_american_price(AA$4,$C$5,$U15,$C$8,$C$9,$C$7,FALSE)</f>
        <v>3.4497239531103734</v>
      </c>
      <c r="AB15">
        <f>_xll.acq_options_trinomial_american_price(AB$4,$C$5,$U15,$C$8,$C$9,$C$7,FALSE)</f>
        <v>1.9745881557370428</v>
      </c>
    </row>
    <row r="16" spans="1:28" x14ac:dyDescent="0.25">
      <c r="B16">
        <f>_xll.acq_options_binomial_american_price($C$4,$C$5,$C$6,$C$8,$C$9,$C$7,TRUE, 300)</f>
        <v>1.8779824571938908</v>
      </c>
      <c r="F16">
        <v>120</v>
      </c>
      <c r="G16">
        <f>_xll.acq_options_trinomial_american_price($C$4,F16,$C$6,$C$8,$C$9,$C$7,TRUE)</f>
        <v>4.9329615476996596</v>
      </c>
      <c r="H16">
        <f>_xll.acq_options_trinomial_american_price($C$4,F16,$C$6,$C$8,$C$9,$C$7,FALSE)</f>
        <v>39.999999999999787</v>
      </c>
      <c r="I16">
        <f>_xll.acq_options_binomial_american_price($C$4,F16,$C$6,$C$8,$C$9,$C$7,TRUE)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_xll.acq_options_trinomial_american_price(M$4,$C$5,$L16,$C$8,$C$9,$C$7,TRUE)</f>
        <v>2.1234951785731639</v>
      </c>
      <c r="N16">
        <f>_xll.acq_options_trinomial_american_price(N$4,$C$5,$L16,$C$8,$C$9,$C$7,TRUE)</f>
        <v>4.5728983512540378</v>
      </c>
      <c r="O16">
        <f>_xll.acq_options_trinomial_american_price(O$4,$C$5,$L16,$C$8,$C$9,$C$7,TRUE)</f>
        <v>8.4033307680652563</v>
      </c>
      <c r="P16">
        <f>_xll.acq_options_trinomial_american_price(P$4,$C$5,$L16,$C$8,$C$9,$C$7,TRUE)</f>
        <v>13.666704240566206</v>
      </c>
      <c r="Q16">
        <f>_xll.acq_options_trinomial_american_price(Q$4,$C$5,$L16,$C$8,$C$9,$C$7,TRUE)</f>
        <v>20.252499181244154</v>
      </c>
      <c r="R16">
        <f>_xll.acq_options_trinomial_american_price(R$4,$C$5,$L16,$C$8,$C$9,$C$7,TRUE)</f>
        <v>27.909426021077948</v>
      </c>
      <c r="S16">
        <f>_xll.acq_options_trinomial_american_price(S$4,$C$5,$L16,$C$8,$C$9,$C$7,TRUE)</f>
        <v>36.37315451072493</v>
      </c>
      <c r="U16" s="45">
        <v>0.6</v>
      </c>
      <c r="V16">
        <f>_xll.acq_options_trinomial_american_price(V$4,$C$5,$U16,$C$8,$C$9,$C$7,FALSE)</f>
        <v>30.070449497612046</v>
      </c>
      <c r="W16">
        <f>_xll.acq_options_trinomial_american_price(W$4,$C$5,$U16,$C$8,$C$9,$C$7,FALSE)</f>
        <v>21.500783676224103</v>
      </c>
      <c r="X16">
        <f>_xll.acq_options_trinomial_american_price(X$4,$C$5,$U16,$C$8,$C$9,$C$7,FALSE)</f>
        <v>14.752799744370524</v>
      </c>
      <c r="Y16">
        <f>_xll.acq_options_trinomial_american_price(Y$4,$C$5,$U16,$C$8,$C$9,$C$7,FALSE)</f>
        <v>9.7091203060293996</v>
      </c>
      <c r="Z16">
        <f>_xll.acq_options_trinomial_american_price(Z$4,$C$5,$U16,$C$8,$C$9,$C$7,FALSE)</f>
        <v>6.1458740039881707</v>
      </c>
      <c r="AA16">
        <f>_xll.acq_options_trinomial_american_price(AA$4,$C$5,$U16,$C$8,$C$9,$C$7,FALSE)</f>
        <v>3.7487370511884319</v>
      </c>
      <c r="AB16">
        <f>_xll.acq_options_trinomial_american_price(AB$4,$C$5,$U16,$C$8,$C$9,$C$7,FALSE)</f>
        <v>2.2114314848058378</v>
      </c>
    </row>
    <row r="17" spans="2:28" x14ac:dyDescent="0.25">
      <c r="B17">
        <f>_xll.acq_options_blackscholes_price($C$4,$C$5,$C$6,$C$8,$C$9,$C$7,TRUE)</f>
        <v>1.8828483800754015</v>
      </c>
      <c r="C17">
        <f>B17-B16</f>
        <v>4.8659228815106648E-3</v>
      </c>
      <c r="F17">
        <v>130</v>
      </c>
      <c r="G17">
        <f>_xll.acq_options_trinomial_american_price($C$4,F17,$C$6,$C$8,$C$9,$C$7,TRUE)</f>
        <v>3.5851315157926913</v>
      </c>
      <c r="H17">
        <f>_xll.acq_options_trinomial_american_price($C$4,F17,$C$6,$C$8,$C$9,$C$7,FALSE)</f>
        <v>49.999999999999787</v>
      </c>
      <c r="I17">
        <f>_xll.acq_options_binomial_american_price($C$4,F17,$C$6,$C$8,$C$9,$C$7,TRUE)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_xll.acq_options_trinomial_american_price(M$4,$C$5,$L17,$C$8,$C$9,$C$7,TRUE)</f>
        <v>2.4319574896866096</v>
      </c>
      <c r="N17">
        <f>_xll.acq_options_trinomial_american_price(N$4,$C$5,$L17,$C$8,$C$9,$C$7,TRUE)</f>
        <v>5.0265246893881601</v>
      </c>
      <c r="O17">
        <f>_xll.acq_options_trinomial_american_price(O$4,$C$5,$L17,$C$8,$C$9,$C$7,TRUE)</f>
        <v>8.9757073428435952</v>
      </c>
      <c r="P17">
        <f>_xll.acq_options_trinomial_american_price(P$4,$C$5,$L17,$C$8,$C$9,$C$7,TRUE)</f>
        <v>14.303703217881996</v>
      </c>
      <c r="Q17">
        <f>_xll.acq_options_trinomial_american_price(Q$4,$C$5,$L17,$C$8,$C$9,$C$7,TRUE)</f>
        <v>20.897217373389466</v>
      </c>
      <c r="R17">
        <f>_xll.acq_options_trinomial_american_price(R$4,$C$5,$L17,$C$8,$C$9,$C$7,TRUE)</f>
        <v>28.526507777263145</v>
      </c>
      <c r="S17">
        <f>_xll.acq_options_trinomial_american_price(S$4,$C$5,$L17,$C$8,$C$9,$C$7,TRUE)</f>
        <v>36.940055704721907</v>
      </c>
      <c r="U17" s="45">
        <v>0.65</v>
      </c>
      <c r="V17">
        <f>_xll.acq_options_trinomial_american_price(V$4,$C$5,$U17,$C$8,$C$9,$C$7,FALSE)</f>
        <v>30.110778381439893</v>
      </c>
      <c r="W17">
        <f>_xll.acq_options_trinomial_american_price(W$4,$C$5,$U17,$C$8,$C$9,$C$7,FALSE)</f>
        <v>21.668939174685313</v>
      </c>
      <c r="X17">
        <f>_xll.acq_options_trinomial_american_price(X$4,$C$5,$U17,$C$8,$C$9,$C$7,FALSE)</f>
        <v>15.0230727218702</v>
      </c>
      <c r="Y17">
        <f>_xll.acq_options_trinomial_american_price(Y$4,$C$5,$U17,$C$8,$C$9,$C$7,FALSE)</f>
        <v>10.031376332045106</v>
      </c>
      <c r="Z17">
        <f>_xll.acq_options_trinomial_american_price(Z$4,$C$5,$U17,$C$8,$C$9,$C$7,FALSE)</f>
        <v>6.4674483565323921</v>
      </c>
      <c r="AA17">
        <f>_xll.acq_options_trinomial_american_price(AA$4,$C$5,$U17,$C$8,$C$9,$C$7,FALSE)</f>
        <v>4.0369511471850306</v>
      </c>
      <c r="AB17">
        <f>_xll.acq_options_trinomial_american_price(AB$4,$C$5,$U17,$C$8,$C$9,$C$7,FALSE)</f>
        <v>2.446533098951865</v>
      </c>
    </row>
    <row r="18" spans="2:28" x14ac:dyDescent="0.25">
      <c r="F18">
        <v>140</v>
      </c>
      <c r="G18">
        <f>_xll.acq_options_trinomial_american_price($C$4,F18,$C$6,$C$8,$C$9,$C$7,TRUE)</f>
        <v>2.598824223946921</v>
      </c>
      <c r="H18">
        <f>_xll.acq_options_trinomial_american_price($C$4,F18,$C$6,$C$8,$C$9,$C$7,FALSE)</f>
        <v>59.999999999999787</v>
      </c>
      <c r="I18">
        <f>_xll.acq_options_binomial_american_price($C$4,F18,$C$6,$C$8,$C$9,$C$7,TRUE)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_xll.acq_options_trinomial_american_price(M$4,$C$5,$L18,$C$8,$C$9,$C$7,TRUE)</f>
        <v>2.7423611663493102</v>
      </c>
      <c r="N18">
        <f>_xll.acq_options_trinomial_american_price(N$4,$C$5,$L18,$C$8,$C$9,$C$7,TRUE)</f>
        <v>5.475387119694064</v>
      </c>
      <c r="O18">
        <f>_xll.acq_options_trinomial_american_price(O$4,$C$5,$L18,$C$8,$C$9,$C$7,TRUE)</f>
        <v>9.5316844068933282</v>
      </c>
      <c r="P18">
        <f>_xll.acq_options_trinomial_american_price(P$4,$C$5,$L18,$C$8,$C$9,$C$7,TRUE)</f>
        <v>14.921599673929084</v>
      </c>
      <c r="Q18">
        <f>_xll.acq_options_trinomial_american_price(Q$4,$C$5,$L18,$C$8,$C$9,$C$7,TRUE)</f>
        <v>21.527877070829462</v>
      </c>
      <c r="R18">
        <f>_xll.acq_options_trinomial_american_price(R$4,$C$5,$L18,$C$8,$C$9,$C$7,TRUE)</f>
        <v>29.132772281869769</v>
      </c>
      <c r="S18">
        <f>_xll.acq_options_trinomial_american_price(S$4,$C$5,$L18,$C$8,$C$9,$C$7,TRUE)</f>
        <v>37.497998804995014</v>
      </c>
      <c r="U18" s="45">
        <v>0.7</v>
      </c>
      <c r="V18">
        <f>_xll.acq_options_trinomial_american_price(V$4,$C$5,$U18,$C$8,$C$9,$C$7,FALSE)</f>
        <v>30.15422480921308</v>
      </c>
      <c r="W18">
        <f>_xll.acq_options_trinomial_american_price(W$4,$C$5,$U18,$C$8,$C$9,$C$7,FALSE)</f>
        <v>21.832781415895354</v>
      </c>
      <c r="X18">
        <f>_xll.acq_options_trinomial_american_price(X$4,$C$5,$U18,$C$8,$C$9,$C$7,FALSE)</f>
        <v>15.279049379557438</v>
      </c>
      <c r="Y18">
        <f>_xll.acq_options_trinomial_american_price(Y$4,$C$5,$U18,$C$8,$C$9,$C$7,FALSE)</f>
        <v>10.336377229691012</v>
      </c>
      <c r="Z18">
        <f>_xll.acq_options_trinomial_american_price(Z$4,$C$5,$U18,$C$8,$C$9,$C$7,FALSE)</f>
        <v>6.7764598574079526</v>
      </c>
      <c r="AA18">
        <f>_xll.acq_options_trinomial_american_price(AA$4,$C$5,$U18,$C$8,$C$9,$C$7,FALSE)</f>
        <v>4.3157748488366323</v>
      </c>
      <c r="AB18">
        <f>_xll.acq_options_trinomial_american_price(AB$4,$C$5,$U18,$C$8,$C$9,$C$7,FALSE)</f>
        <v>2.6754122199919839</v>
      </c>
    </row>
    <row r="19" spans="2:28" x14ac:dyDescent="0.25">
      <c r="F19">
        <v>150</v>
      </c>
      <c r="G19">
        <f>_xll.acq_options_trinomial_american_price($C$4,F19,$C$6,$C$8,$C$9,$C$7,TRUE)</f>
        <v>1.8805691390641348</v>
      </c>
      <c r="H19">
        <f>_xll.acq_options_trinomial_american_price($C$4,F19,$C$6,$C$8,$C$9,$C$7,FALSE)</f>
        <v>69.999999999999787</v>
      </c>
      <c r="I19">
        <f>_xll.acq_options_binomial_american_price($C$4,F19,$C$6,$C$8,$C$9,$C$7,TRUE)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_xll.acq_options_trinomial_american_price(M$4,$C$5,$L19,$C$8,$C$9,$C$7,TRUE)</f>
        <v>3.0596286209019583</v>
      </c>
      <c r="N19">
        <f>_xll.acq_options_trinomial_american_price(N$4,$C$5,$L19,$C$8,$C$9,$C$7,TRUE)</f>
        <v>5.9215278184834119</v>
      </c>
      <c r="O19">
        <f>_xll.acq_options_trinomial_american_price(O$4,$C$5,$L19,$C$8,$C$9,$C$7,TRUE)</f>
        <v>10.072899543474943</v>
      </c>
      <c r="P19">
        <f>_xll.acq_options_trinomial_american_price(P$4,$C$5,$L19,$C$8,$C$9,$C$7,TRUE)</f>
        <v>15.522302538555655</v>
      </c>
      <c r="Q19">
        <f>_xll.acq_options_trinomial_american_price(Q$4,$C$5,$L19,$C$8,$C$9,$C$7,TRUE)</f>
        <v>22.143363447304566</v>
      </c>
      <c r="R19">
        <f>_xll.acq_options_trinomial_american_price(R$4,$C$5,$L19,$C$8,$C$9,$C$7,TRUE)</f>
        <v>29.72233813234277</v>
      </c>
      <c r="S19">
        <f>_xll.acq_options_trinomial_american_price(S$4,$C$5,$L19,$C$8,$C$9,$C$7,TRUE)</f>
        <v>38.050072937571791</v>
      </c>
      <c r="U19" s="45">
        <v>0.75</v>
      </c>
      <c r="V19">
        <f>_xll.acq_options_trinomial_american_price(V$4,$C$5,$U19,$C$8,$C$9,$C$7,FALSE)</f>
        <v>30.205314798010569</v>
      </c>
      <c r="W19">
        <f>_xll.acq_options_trinomial_american_price(W$4,$C$5,$U19,$C$8,$C$9,$C$7,FALSE)</f>
        <v>21.99388458885857</v>
      </c>
      <c r="X19">
        <f>_xll.acq_options_trinomial_american_price(X$4,$C$5,$U19,$C$8,$C$9,$C$7,FALSE)</f>
        <v>15.522235398116582</v>
      </c>
      <c r="Y19">
        <f>_xll.acq_options_trinomial_american_price(Y$4,$C$5,$U19,$C$8,$C$9,$C$7,FALSE)</f>
        <v>10.625983539647924</v>
      </c>
      <c r="Z19">
        <f>_xll.acq_options_trinomial_american_price(Z$4,$C$5,$U19,$C$8,$C$9,$C$7,FALSE)</f>
        <v>7.0717711673632886</v>
      </c>
      <c r="AA19">
        <f>_xll.acq_options_trinomial_american_price(AA$4,$C$5,$U19,$C$8,$C$9,$C$7,FALSE)</f>
        <v>4.5808542287965164</v>
      </c>
      <c r="AB19">
        <f>_xll.acq_options_trinomial_american_price(AB$4,$C$5,$U19,$C$8,$C$9,$C$7,FALSE)</f>
        <v>2.9000037845180962</v>
      </c>
    </row>
    <row r="20" spans="2:28" x14ac:dyDescent="0.25">
      <c r="F20">
        <v>160</v>
      </c>
      <c r="G20">
        <f>_xll.acq_options_trinomial_american_price($C$4,F20,$C$6,$C$8,$C$9,$C$7,TRUE)</f>
        <v>1.3627839917292055</v>
      </c>
      <c r="H20">
        <f>_xll.acq_options_trinomial_american_price($C$4,F20,$C$6,$C$8,$C$9,$C$7,FALSE)</f>
        <v>79.999999999999787</v>
      </c>
      <c r="I20">
        <f>_xll.acq_options_binomial_american_price($C$4,F20,$C$6,$C$8,$C$9,$C$7,TRUE)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_xll.acq_options_trinomial_american_price(M$4,$C$5,$L20,$C$8,$C$9,$C$7,TRUE)</f>
        <v>3.377712621546193</v>
      </c>
      <c r="N20">
        <f>_xll.acq_options_trinomial_american_price(N$4,$C$5,$L20,$C$8,$C$9,$C$7,TRUE)</f>
        <v>6.3574472872294248</v>
      </c>
      <c r="O20">
        <f>_xll.acq_options_trinomial_american_price(O$4,$C$5,$L20,$C$8,$C$9,$C$7,TRUE)</f>
        <v>10.606733832110859</v>
      </c>
      <c r="P20">
        <f>_xll.acq_options_trinomial_american_price(P$4,$C$5,$L20,$C$8,$C$9,$C$7,TRUE)</f>
        <v>16.107408920277372</v>
      </c>
      <c r="Q20">
        <f>_xll.acq_options_trinomial_american_price(Q$4,$C$5,$L20,$C$8,$C$9,$C$7,TRUE)</f>
        <v>22.742626888061849</v>
      </c>
      <c r="R20">
        <f>_xll.acq_options_trinomial_american_price(R$4,$C$5,$L20,$C$8,$C$9,$C$7,TRUE)</f>
        <v>30.30298999460868</v>
      </c>
      <c r="S20">
        <f>_xll.acq_options_trinomial_american_price(S$4,$C$5,$L20,$C$8,$C$9,$C$7,TRUE)</f>
        <v>38.592375787324663</v>
      </c>
      <c r="U20" s="45">
        <v>0.8</v>
      </c>
      <c r="V20">
        <f>_xll.acq_options_trinomial_american_price(V$4,$C$5,$U20,$C$8,$C$9,$C$7,FALSE)</f>
        <v>30.258897738385873</v>
      </c>
      <c r="W20">
        <f>_xll.acq_options_trinomial_american_price(W$4,$C$5,$U20,$C$8,$C$9,$C$7,FALSE)</f>
        <v>22.148406933264198</v>
      </c>
      <c r="X20">
        <f>_xll.acq_options_trinomial_american_price(X$4,$C$5,$U20,$C$8,$C$9,$C$7,FALSE)</f>
        <v>15.7573674435593</v>
      </c>
      <c r="Y20">
        <f>_xll.acq_options_trinomial_american_price(Y$4,$C$5,$U20,$C$8,$C$9,$C$7,FALSE)</f>
        <v>10.901748693979878</v>
      </c>
      <c r="Z20">
        <f>_xll.acq_options_trinomial_american_price(Z$4,$C$5,$U20,$C$8,$C$9,$C$7,FALSE)</f>
        <v>7.3530412425421865</v>
      </c>
      <c r="AA20">
        <f>_xll.acq_options_trinomial_american_price(AA$4,$C$5,$U20,$C$8,$C$9,$C$7,FALSE)</f>
        <v>4.8389953565423944</v>
      </c>
      <c r="AB20">
        <f>_xll.acq_options_trinomial_american_price(AB$4,$C$5,$U20,$C$8,$C$9,$C$7,FALSE)</f>
        <v>3.1176560481668254</v>
      </c>
    </row>
    <row r="21" spans="2:28" x14ac:dyDescent="0.25">
      <c r="F21">
        <v>170</v>
      </c>
      <c r="G21">
        <f>_xll.acq_options_trinomial_american_price($C$4,F21,$C$6,$C$8,$C$9,$C$7,TRUE)</f>
        <v>0.98708096087435337</v>
      </c>
      <c r="H21">
        <f>_xll.acq_options_trinomial_american_price($C$4,F21,$C$6,$C$8,$C$9,$C$7,FALSE)</f>
        <v>89.999999999999787</v>
      </c>
      <c r="I21">
        <f>_xll.acq_options_binomial_american_price($C$4,F21,$C$6,$C$8,$C$9,$C$7,TRUE)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_xll.acq_options_trinomial_american_price(M$4,$C$5,$L21,$C$8,$C$9,$C$7,TRUE)</f>
        <v>3.6988609643387336</v>
      </c>
      <c r="N21">
        <f>_xll.acq_options_trinomial_american_price(N$4,$C$5,$L21,$C$8,$C$9,$C$7,TRUE)</f>
        <v>6.7922466976789302</v>
      </c>
      <c r="O21">
        <f>_xll.acq_options_trinomial_american_price(O$4,$C$5,$L21,$C$8,$C$9,$C$7,TRUE)</f>
        <v>11.129920872180199</v>
      </c>
      <c r="P21">
        <f>_xll.acq_options_trinomial_american_price(P$4,$C$5,$L21,$C$8,$C$9,$C$7,TRUE)</f>
        <v>16.678271297680944</v>
      </c>
      <c r="Q21">
        <f>_xll.acq_options_trinomial_american_price(Q$4,$C$5,$L21,$C$8,$C$9,$C$7,TRUE)</f>
        <v>23.327078170482487</v>
      </c>
      <c r="R21">
        <f>_xll.acq_options_trinomial_american_price(R$4,$C$5,$L21,$C$8,$C$9,$C$7,TRUE)</f>
        <v>30.875008314547358</v>
      </c>
      <c r="S21">
        <f>_xll.acq_options_trinomial_american_price(S$4,$C$5,$L21,$C$8,$C$9,$C$7,TRUE)</f>
        <v>39.132270532085521</v>
      </c>
      <c r="U21" s="45">
        <v>0.85</v>
      </c>
      <c r="V21">
        <f>_xll.acq_options_trinomial_american_price(V$4,$C$5,$U21,$C$8,$C$9,$C$7,FALSE)</f>
        <v>30.314364771486144</v>
      </c>
      <c r="W21">
        <f>_xll.acq_options_trinomial_american_price(W$4,$C$5,$U21,$C$8,$C$9,$C$7,FALSE)</f>
        <v>22.30043356710938</v>
      </c>
      <c r="X21">
        <f>_xll.acq_options_trinomial_american_price(X$4,$C$5,$U21,$C$8,$C$9,$C$7,FALSE)</f>
        <v>15.983320002080154</v>
      </c>
      <c r="Y21">
        <f>_xll.acq_options_trinomial_american_price(Y$4,$C$5,$U21,$C$8,$C$9,$C$7,FALSE)</f>
        <v>11.164990421439432</v>
      </c>
      <c r="Z21">
        <f>_xll.acq_options_trinomial_american_price(Z$4,$C$5,$U21,$C$8,$C$9,$C$7,FALSE)</f>
        <v>7.6216483642098627</v>
      </c>
      <c r="AA21">
        <f>_xll.acq_options_trinomial_american_price(AA$4,$C$5,$U21,$C$8,$C$9,$C$7,FALSE)</f>
        <v>5.0896662429304138</v>
      </c>
      <c r="AB21">
        <f>_xll.acq_options_trinomial_american_price(AB$4,$C$5,$U21,$C$8,$C$9,$C$7,FALSE)</f>
        <v>3.3337944563526767</v>
      </c>
    </row>
    <row r="22" spans="2:28" x14ac:dyDescent="0.25">
      <c r="L22" s="45">
        <v>0.9</v>
      </c>
      <c r="M22">
        <f>_xll.acq_options_trinomial_american_price(M$4,$C$5,$L22,$C$8,$C$9,$C$7,TRUE)</f>
        <v>4.0187730914102104</v>
      </c>
      <c r="N22">
        <f>_xll.acq_options_trinomial_american_price(N$4,$C$5,$L22,$C$8,$C$9,$C$7,TRUE)</f>
        <v>7.2232497993720903</v>
      </c>
      <c r="O22">
        <f>_xll.acq_options_trinomial_american_price(O$4,$C$5,$L22,$C$8,$C$9,$C$7,TRUE)</f>
        <v>11.641625326660755</v>
      </c>
      <c r="P22">
        <f>_xll.acq_options_trinomial_american_price(P$4,$C$5,$L22,$C$8,$C$9,$C$7,TRUE)</f>
        <v>17.236047155237124</v>
      </c>
      <c r="Q22">
        <f>_xll.acq_options_trinomial_american_price(Q$4,$C$5,$L22,$C$8,$C$9,$C$7,TRUE)</f>
        <v>23.897924587490674</v>
      </c>
      <c r="R22">
        <f>_xll.acq_options_trinomial_american_price(R$4,$C$5,$L22,$C$8,$C$9,$C$7,TRUE)</f>
        <v>31.433860990685353</v>
      </c>
      <c r="S22">
        <f>_xll.acq_options_trinomial_american_price(S$4,$C$5,$L22,$C$8,$C$9,$C$7,TRUE)</f>
        <v>39.660265349982012</v>
      </c>
      <c r="U22" s="45">
        <v>0.9</v>
      </c>
      <c r="V22">
        <f>_xll.acq_options_trinomial_american_price(V$4,$C$5,$U22,$C$8,$C$9,$C$7,FALSE)</f>
        <v>30.370154317091071</v>
      </c>
      <c r="W22">
        <f>_xll.acq_options_trinomial_american_price(W$4,$C$5,$U22,$C$8,$C$9,$C$7,FALSE)</f>
        <v>22.449347565665555</v>
      </c>
      <c r="X22">
        <f>_xll.acq_options_trinomial_american_price(X$4,$C$5,$U22,$C$8,$C$9,$C$7,FALSE)</f>
        <v>16.199627554181735</v>
      </c>
      <c r="Y22">
        <f>_xll.acq_options_trinomial_american_price(Y$4,$C$5,$U22,$C$8,$C$9,$C$7,FALSE)</f>
        <v>11.416836324546995</v>
      </c>
      <c r="Z22">
        <f>_xll.acq_options_trinomial_american_price(Z$4,$C$5,$U22,$C$8,$C$9,$C$7,FALSE)</f>
        <v>7.8787502763538821</v>
      </c>
      <c r="AA22">
        <f>_xll.acq_options_trinomial_american_price(AA$4,$C$5,$U22,$C$8,$C$9,$C$7,FALSE)</f>
        <v>5.3296520173920685</v>
      </c>
      <c r="AB22">
        <f>_xll.acq_options_trinomial_american_price(AB$4,$C$5,$U22,$C$8,$C$9,$C$7,FALSE)</f>
        <v>3.5408385783852774</v>
      </c>
    </row>
    <row r="23" spans="2:28" x14ac:dyDescent="0.25">
      <c r="L23" s="45">
        <v>0.95</v>
      </c>
      <c r="M23">
        <f>_xll.acq_options_trinomial_american_price(M$4,$C$5,$L23,$C$8,$C$9,$C$7,TRUE)</f>
        <v>4.3439204329741301</v>
      </c>
      <c r="N23">
        <f>_xll.acq_options_trinomial_american_price(N$4,$C$5,$L23,$C$8,$C$9,$C$7,TRUE)</f>
        <v>7.6459810650407132</v>
      </c>
      <c r="O23">
        <f>_xll.acq_options_trinomial_american_price(O$4,$C$5,$L23,$C$8,$C$9,$C$7,TRUE)</f>
        <v>12.142722348539298</v>
      </c>
      <c r="P23">
        <f>_xll.acq_options_trinomial_american_price(P$4,$C$5,$L23,$C$8,$C$9,$C$7,TRUE)</f>
        <v>17.781736364446303</v>
      </c>
      <c r="Q23">
        <f>_xll.acq_options_trinomial_american_price(Q$4,$C$5,$L23,$C$8,$C$9,$C$7,TRUE)</f>
        <v>24.456208961715241</v>
      </c>
      <c r="R23">
        <f>_xll.acq_options_trinomial_american_price(R$4,$C$5,$L23,$C$8,$C$9,$C$7,TRUE)</f>
        <v>31.980559082436645</v>
      </c>
      <c r="S23">
        <f>_xll.acq_options_trinomial_american_price(S$4,$C$5,$L23,$C$8,$C$9,$C$7,TRUE)</f>
        <v>40.183866823005502</v>
      </c>
      <c r="U23" s="45">
        <v>0.95</v>
      </c>
      <c r="V23">
        <f>_xll.acq_options_trinomial_american_price(V$4,$C$5,$U23,$C$8,$C$9,$C$7,FALSE)</f>
        <v>30.429769375896086</v>
      </c>
      <c r="W23">
        <f>_xll.acq_options_trinomial_american_price(W$4,$C$5,$U23,$C$8,$C$9,$C$7,FALSE)</f>
        <v>22.592831006861239</v>
      </c>
      <c r="X23">
        <f>_xll.acq_options_trinomial_american_price(X$4,$C$5,$U23,$C$8,$C$9,$C$7,FALSE)</f>
        <v>16.407043908634048</v>
      </c>
      <c r="Y23">
        <f>_xll.acq_options_trinomial_american_price(Y$4,$C$5,$U23,$C$8,$C$9,$C$7,FALSE)</f>
        <v>11.658261143779338</v>
      </c>
      <c r="Z23">
        <f>_xll.acq_options_trinomial_american_price(Z$4,$C$5,$U23,$C$8,$C$9,$C$7,FALSE)</f>
        <v>8.125342307055849</v>
      </c>
      <c r="AA23">
        <f>_xll.acq_options_trinomial_american_price(AA$4,$C$5,$U23,$C$8,$C$9,$C$7,FALSE)</f>
        <v>5.5599858892775815</v>
      </c>
      <c r="AB23">
        <f>_xll.acq_options_trinomial_american_price(AB$4,$C$5,$U23,$C$8,$C$9,$C$7,FALSE)</f>
        <v>3.7453949504567454</v>
      </c>
    </row>
    <row r="24" spans="2:28" x14ac:dyDescent="0.25">
      <c r="L24" s="45">
        <v>1</v>
      </c>
      <c r="M24">
        <f>_xll.acq_options_trinomial_american_price(M$4,$C$5,$L24,$C$8,$C$9,$C$7,TRUE)</f>
        <v>4.6637879592649334</v>
      </c>
      <c r="N24">
        <f>_xll.acq_options_trinomial_american_price(N$4,$C$5,$L24,$C$8,$C$9,$C$7,TRUE)</f>
        <v>8.0610353803135979</v>
      </c>
      <c r="O24">
        <f>_xll.acq_options_trinomial_american_price(O$4,$C$5,$L24,$C$8,$C$9,$C$7,TRUE)</f>
        <v>12.633974090032925</v>
      </c>
      <c r="P24">
        <f>_xll.acq_options_trinomial_american_price(P$4,$C$5,$L24,$C$8,$C$9,$C$7,TRUE)</f>
        <v>18.316209819326453</v>
      </c>
      <c r="Q24">
        <f>_xll.acq_options_trinomial_american_price(Q$4,$C$5,$L24,$C$8,$C$9,$C$7,TRUE)</f>
        <v>25.002839531353743</v>
      </c>
      <c r="R24">
        <f>_xll.acq_options_trinomial_american_price(R$4,$C$5,$L24,$C$8,$C$9,$C$7,TRUE)</f>
        <v>32.519978034256717</v>
      </c>
      <c r="S24">
        <f>_xll.acq_options_trinomial_american_price(S$4,$C$5,$L24,$C$8,$C$9,$C$7,TRUE)</f>
        <v>40.702684343035457</v>
      </c>
      <c r="U24" s="45">
        <v>1</v>
      </c>
      <c r="V24">
        <f>_xll.acq_options_trinomial_american_price(V$4,$C$5,$U24,$C$8,$C$9,$C$7,FALSE)</f>
        <v>30.489756753274509</v>
      </c>
      <c r="W24">
        <f>_xll.acq_options_trinomial_american_price(W$4,$C$5,$U24,$C$8,$C$9,$C$7,FALSE)</f>
        <v>22.731126851217205</v>
      </c>
      <c r="X24">
        <f>_xll.acq_options_trinomial_american_price(X$4,$C$5,$U24,$C$8,$C$9,$C$7,FALSE)</f>
        <v>16.606298437651652</v>
      </c>
      <c r="Y24">
        <f>_xll.acq_options_trinomial_american_price(Y$4,$C$5,$U24,$C$8,$C$9,$C$7,FALSE)</f>
        <v>11.89009645996618</v>
      </c>
      <c r="Z24">
        <f>_xll.acq_options_trinomial_american_price(Z$4,$C$5,$U24,$C$8,$C$9,$C$7,FALSE)</f>
        <v>8.362375008278832</v>
      </c>
      <c r="AA24">
        <f>_xll.acq_options_trinomial_american_price(AA$4,$C$5,$U24,$C$8,$C$9,$C$7,FALSE)</f>
        <v>5.7849296587682364</v>
      </c>
      <c r="AB24">
        <f>_xll.acq_options_trinomial_american_price(AB$4,$C$5,$U24,$C$8,$C$9,$C$7,FALSE)</f>
        <v>3.9462563741490442</v>
      </c>
    </row>
    <row r="26" spans="2:28" x14ac:dyDescent="0.25">
      <c r="V26" s="46"/>
      <c r="W26" s="46"/>
      <c r="X26" s="46"/>
      <c r="Y26" s="46"/>
    </row>
    <row r="27" spans="2:28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</row>
    <row r="28" spans="2:28" x14ac:dyDescent="0.25">
      <c r="V28" s="46"/>
      <c r="W28" s="46"/>
      <c r="X28" s="46"/>
      <c r="Y28" s="46"/>
      <c r="Z28" s="46"/>
    </row>
    <row r="29" spans="2:28" x14ac:dyDescent="0.25">
      <c r="V29" s="46"/>
      <c r="W29" s="46"/>
      <c r="X29" s="46"/>
      <c r="Y29" s="46"/>
      <c r="Z29" s="46"/>
    </row>
    <row r="30" spans="2:28" ht="15.75" thickBot="1" x14ac:dyDescent="0.3">
      <c r="G30" s="59" t="s">
        <v>172</v>
      </c>
      <c r="H30" s="59"/>
      <c r="I30" s="59"/>
      <c r="J30" s="59"/>
      <c r="K30" s="59"/>
      <c r="L30" s="59"/>
      <c r="M30" s="59"/>
      <c r="N30" s="59"/>
      <c r="S30" s="59" t="s">
        <v>167</v>
      </c>
      <c r="T30" s="59"/>
      <c r="U30" s="59"/>
      <c r="V30" s="59"/>
      <c r="W30" s="59"/>
      <c r="X30" s="59"/>
      <c r="Y30" s="59"/>
      <c r="Z30" s="59"/>
    </row>
    <row r="31" spans="2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2:28" x14ac:dyDescent="0.25">
      <c r="F32" s="13">
        <v>100</v>
      </c>
      <c r="G32">
        <f>_xll.acq_options_trinomial_american_greeks(G$31,$F32,$C$5,$C$6,$C$8,$C$9,$C$7,TRUE)</f>
        <v>6.1662019346244614</v>
      </c>
      <c r="H32">
        <f>_xll.acq_options_trinomial_american_greeks(H$31,$F32,$C$5,$C$6,$C$8,$C$9,$C$7,TRUE)</f>
        <v>0.2908231015278151</v>
      </c>
      <c r="I32">
        <f>_xll.acq_options_trinomial_american_greeks(I$31,$F32,$C$5,$C$6,$C$8,$C$9,$C$7,TRUE)</f>
        <v>4.1566750041965854E-11</v>
      </c>
      <c r="J32">
        <f>_xll.acq_options_trinomial_american_greeks(J$31,$F32,$C$5,$C$6,$C$8,$C$9,$C$7,TRUE)</f>
        <v>52.99200276047462</v>
      </c>
      <c r="K32">
        <f>_xll.acq_options_trinomial_american_greeks(K$31,$F32,$C$5,$C$6,$C$8,$C$9,$C$7,TRUE)</f>
        <v>-124.86084624363514</v>
      </c>
      <c r="L32">
        <f>_xll.acq_options_trinomial_american_greeks(L$31,$F32,$C$5,$C$6,$C$8,$C$9,$C$7,TRUE)</f>
        <v>-0.16045572825973409</v>
      </c>
      <c r="M32">
        <f>_xll.acq_options_trinomial_american_greeks(M$31,$F32,$C$5,$C$6,$C$8,$C$9,$C$7,TRUE)</f>
        <v>58.76336925066461</v>
      </c>
      <c r="N32">
        <f>_xll.acq_options_trinomial_american_greeks(N$31,$F32,$C$5,$C$6,$C$8,$C$9,$C$7,TRUE)</f>
        <v>-3.763398406362306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</row>
    <row r="33" spans="6:28" x14ac:dyDescent="0.25">
      <c r="F33" s="13">
        <v>110</v>
      </c>
      <c r="G33">
        <f>_xll.acq_options_trinomial_american_greeks(G$31,$F33,$C$5,$C$6,$C$8,$C$9,$C$7,TRUE)</f>
        <v>9.5713220235677099</v>
      </c>
      <c r="H33">
        <f>_xll.acq_options_trinomial_american_greeks(H$31,$F33,$C$5,$C$6,$C$8,$C$9,$C$7,TRUE)</f>
        <v>0.38139367158475002</v>
      </c>
      <c r="I33">
        <f>_xll.acq_options_trinomial_american_greeks(I$31,$F33,$C$5,$C$6,$C$8,$C$9,$C$7,TRUE)</f>
        <v>5.8722540145462823E-11</v>
      </c>
      <c r="J33">
        <f>_xll.acq_options_trinomial_american_greeks(J$31,$F33,$C$5,$C$6,$C$8,$C$9,$C$7,TRUE)</f>
        <v>64.949991296236519</v>
      </c>
      <c r="K33">
        <f>_xll.acq_options_trinomial_american_greeks(K$31,$F33,$C$5,$C$6,$C$8,$C$9,$C$7,TRUE)</f>
        <v>-113.20838067874206</v>
      </c>
      <c r="L33">
        <f>_xll.acq_options_trinomial_american_greeks(L$31,$F33,$C$5,$C$6,$C$8,$C$9,$C$7,TRUE)</f>
        <v>-0.17769684790280849</v>
      </c>
      <c r="M33">
        <f>_xll.acq_options_trinomial_american_greeks(M$31,$F33,$C$5,$C$6,$C$8,$C$9,$C$7,TRUE)</f>
        <v>81.532816544747533</v>
      </c>
      <c r="N33">
        <f>_xll.acq_options_trinomial_american_greeks(N$31,$F33,$C$5,$C$6,$C$8,$C$9,$C$7,TRUE)</f>
        <v>-4.7827450419415385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</row>
    <row r="34" spans="6:28" x14ac:dyDescent="0.25">
      <c r="F34" s="13">
        <v>120</v>
      </c>
      <c r="G34">
        <f>_xll.acq_options_trinomial_american_greeks(G$31,$F34,$C$5,$C$6,$C$8,$C$9,$C$7,TRUE)</f>
        <v>13.82720226720512</v>
      </c>
      <c r="H34">
        <f>_xll.acq_options_trinomial_american_greeks(H$31,$F34,$C$5,$C$6,$C$8,$C$9,$C$7,TRUE)</f>
        <v>0.47848197390088687</v>
      </c>
      <c r="I34">
        <f>_xll.acq_options_trinomial_american_greeks(I$31,$F34,$C$5,$C$6,$C$8,$C$9,$C$7,TRUE)</f>
        <v>2.2771907816200434E-10</v>
      </c>
      <c r="J34">
        <f>_xll.acq_options_trinomial_american_greeks(J$31,$F34,$C$5,$C$6,$C$8,$C$9,$C$7,TRUE)</f>
        <v>74.852091676898809</v>
      </c>
      <c r="K34">
        <f>_xll.acq_options_trinomial_american_greeks(K$31,$F34,$C$5,$C$6,$C$8,$C$9,$C$7,TRUE)</f>
        <v>-88.392597945130547</v>
      </c>
      <c r="L34">
        <f>_xll.acq_options_trinomial_american_greeks(L$31,$F34,$C$5,$C$6,$C$8,$C$9,$C$7,TRUE)</f>
        <v>-0.18458280548472317</v>
      </c>
      <c r="M34">
        <f>_xll.acq_options_trinomial_american_greeks(M$31,$F34,$C$5,$C$6,$C$8,$C$9,$C$7,TRUE)</f>
        <v>105.7794469868707</v>
      </c>
      <c r="N34">
        <f>_xll.acq_options_trinomial_american_greeks(N$31,$F34,$C$5,$C$6,$C$8,$C$9,$C$7,TRUE)</f>
        <v>-5.7203410286241763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</row>
    <row r="35" spans="6:28" x14ac:dyDescent="0.25">
      <c r="F35" s="13">
        <v>130</v>
      </c>
      <c r="G35">
        <f>_xll.acq_options_trinomial_american_greeks(G$31,$F35,$C$5,$C$6,$C$8,$C$9,$C$7,TRUE)</f>
        <v>18.910900777762919</v>
      </c>
      <c r="H35">
        <f>_xll.acq_options_trinomial_american_greeks(H$31,$F35,$C$5,$C$6,$C$8,$C$9,$C$7,TRUE)</f>
        <v>0.55201185821982346</v>
      </c>
      <c r="I35">
        <f>_xll.acq_options_trinomial_american_greeks(I$31,$F35,$C$5,$C$6,$C$8,$C$9,$C$7,TRUE)</f>
        <v>5.8104737326654342E-10</v>
      </c>
      <c r="J35">
        <f>_xll.acq_options_trinomial_american_greeks(J$31,$F35,$C$5,$C$6,$C$8,$C$9,$C$7,TRUE)</f>
        <v>79.481068669899386</v>
      </c>
      <c r="K35">
        <f>_xll.acq_options_trinomial_american_greeks(K$31,$F35,$C$5,$C$6,$C$8,$C$9,$C$7,TRUE)</f>
        <v>-53.355814188194017</v>
      </c>
      <c r="L35">
        <f>_xll.acq_options_trinomial_american_greeks(L$31,$F35,$C$5,$C$6,$C$8,$C$9,$C$7,TRUE)</f>
        <v>-0.18210767560589147</v>
      </c>
      <c r="M35">
        <f>_xll.acq_options_trinomial_american_greeks(M$31,$F35,$C$5,$C$6,$C$8,$C$9,$C$7,TRUE)</f>
        <v>130.31398520029569</v>
      </c>
      <c r="N35">
        <f>_xll.acq_options_trinomial_american_greeks(N$31,$F35,$C$5,$C$6,$C$8,$C$9,$C$7,TRUE)</f>
        <v>-6.3917393571273351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</row>
    <row r="36" spans="6:28" x14ac:dyDescent="0.25">
      <c r="F36" s="13">
        <v>140</v>
      </c>
      <c r="G36">
        <f>_xll.acq_options_trinomial_american_greeks(G$31,$F36,$C$5,$C$6,$C$8,$C$9,$C$7,TRUE)</f>
        <v>24.736221086274632</v>
      </c>
      <c r="H36">
        <f>_xll.acq_options_trinomial_american_greeks(H$31,$F36,$C$5,$C$6,$C$8,$C$9,$C$7,TRUE)</f>
        <v>0.62326296426118732</v>
      </c>
      <c r="I36">
        <f>_xll.acq_options_trinomial_american_greeks(I$31,$F36,$C$5,$C$6,$C$8,$C$9,$C$7,TRUE)</f>
        <v>2.0830502855497629E-9</v>
      </c>
      <c r="J36">
        <f>_xll.acq_options_trinomial_american_greeks(J$31,$F36,$C$5,$C$6,$C$8,$C$9,$C$7,TRUE)</f>
        <v>81.555348545597468</v>
      </c>
      <c r="K36">
        <f>_xll.acq_options_trinomial_american_greeks(K$31,$F36,$C$5,$C$6,$C$8,$C$9,$C$7,TRUE)</f>
        <v>-16.105285467915564</v>
      </c>
      <c r="L36">
        <f>_xll.acq_options_trinomial_american_greeks(L$31,$F36,$C$5,$C$6,$C$8,$C$9,$C$7,TRUE)</f>
        <v>-0.17331131552111856</v>
      </c>
      <c r="M36">
        <f>_xll.acq_options_trinomial_american_greeks(M$31,$F36,$C$5,$C$6,$C$8,$C$9,$C$7,TRUE)</f>
        <v>154.1532184908867</v>
      </c>
      <c r="N36">
        <f>_xll.acq_options_trinomial_american_greeks(N$31,$F36,$C$5,$C$6,$C$8,$C$9,$C$7,TRUE)</f>
        <v>-6.9140677929624417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</row>
    <row r="37" spans="6:28" x14ac:dyDescent="0.25">
      <c r="F37" s="13">
        <v>150</v>
      </c>
      <c r="G37">
        <f>_xll.acq_options_trinomial_american_greeks(G$31,$F37,$C$5,$C$6,$C$8,$C$9,$C$7,TRUE)</f>
        <v>31.218139732490769</v>
      </c>
      <c r="H37">
        <f>_xll.acq_options_trinomial_american_greeks(H$31,$F37,$C$5,$C$6,$C$8,$C$9,$C$7,TRUE)</f>
        <v>0.67909357487404054</v>
      </c>
      <c r="I37">
        <f>_xll.acq_options_trinomial_american_greeks(I$31,$F37,$C$5,$C$6,$C$8,$C$9,$C$7,TRUE)</f>
        <v>0.14372810144259854</v>
      </c>
      <c r="J37">
        <f>_xll.acq_options_trinomial_american_greeks(J$31,$F37,$C$5,$C$6,$C$8,$C$9,$C$7,TRUE)</f>
        <v>80.84702764518596</v>
      </c>
      <c r="K37">
        <f>_xll.acq_options_trinomial_american_greeks(K$31,$F37,$C$5,$C$6,$C$8,$C$9,$C$7,TRUE)</f>
        <v>19.713966153744877</v>
      </c>
      <c r="L37">
        <f>_xll.acq_options_trinomial_american_greeks(L$31,$F37,$C$5,$C$6,$C$8,$C$9,$C$7,TRUE)</f>
        <v>-0.16173432548782785</v>
      </c>
      <c r="M37">
        <f>_xll.acq_options_trinomial_american_greeks(M$31,$F37,$C$5,$C$6,$C$8,$C$9,$C$7,TRUE)</f>
        <v>176.61404577466831</v>
      </c>
      <c r="N37">
        <f>_xll.acq_options_trinomial_american_greeks(N$31,$F37,$C$5,$C$6,$C$8,$C$9,$C$7,TRUE)</f>
        <v>-7.2631118331116795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</row>
    <row r="38" spans="6:28" x14ac:dyDescent="0.25">
      <c r="F38" s="13">
        <v>160</v>
      </c>
      <c r="G38">
        <f>_xll.acq_options_trinomial_american_greeks(G$31,$F38,$C$5,$C$6,$C$8,$C$9,$C$7,TRUE)</f>
        <v>38.292345819275447</v>
      </c>
      <c r="H38">
        <f>_xll.acq_options_trinomial_american_greeks(H$31,$F38,$C$5,$C$6,$C$8,$C$9,$C$7,TRUE)</f>
        <v>0.73074294636117365</v>
      </c>
      <c r="I38">
        <f>_xll.acq_options_trinomial_american_greeks(I$31,$F38,$C$5,$C$6,$C$8,$C$9,$C$7,TRUE)</f>
        <v>6.2649885279597584E-9</v>
      </c>
      <c r="J38">
        <f>_xll.acq_options_trinomial_american_greeks(J$31,$F38,$C$5,$C$6,$C$8,$C$9,$C$7,TRUE)</f>
        <v>78.353014527664229</v>
      </c>
      <c r="K38">
        <f>_xll.acq_options_trinomial_american_greeks(K$31,$F38,$C$5,$C$6,$C$8,$C$9,$C$7,TRUE)</f>
        <v>51.448812442345115</v>
      </c>
      <c r="L38">
        <f>_xll.acq_options_trinomial_american_greeks(L$31,$F38,$C$5,$C$6,$C$8,$C$9,$C$7,TRUE)</f>
        <v>-0.14731081598995388</v>
      </c>
      <c r="M38">
        <f>_xll.acq_options_trinomial_american_greeks(M$31,$F38,$C$5,$C$6,$C$8,$C$9,$C$7,TRUE)</f>
        <v>197.16610791654787</v>
      </c>
      <c r="N38">
        <f>_xll.acq_options_trinomial_american_greeks(N$31,$F38,$C$5,$C$6,$C$8,$C$9,$C$7,TRUE)</f>
        <v>-7.4787564680676155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</row>
    <row r="39" spans="6:28" x14ac:dyDescent="0.25">
      <c r="F39" s="13">
        <v>170</v>
      </c>
      <c r="G39">
        <f>_xll.acq_options_trinomial_american_greeks(G$31,$F39,$C$5,$C$6,$C$8,$C$9,$C$7,TRUE)</f>
        <v>45.837473168332053</v>
      </c>
      <c r="H39">
        <f>_xll.acq_options_trinomial_american_greeks(H$31,$F39,$C$5,$C$6,$C$8,$C$9,$C$7,TRUE)</f>
        <v>0.7784244787043092</v>
      </c>
      <c r="I39">
        <f>_xll.acq_options_trinomial_american_greeks(I$31,$F39,$C$5,$C$6,$C$8,$C$9,$C$7,TRUE)</f>
        <v>8.581713649411199E-2</v>
      </c>
      <c r="J39">
        <f>_xll.acq_options_trinomial_american_greeks(J$31,$F39,$C$5,$C$6,$C$8,$C$9,$C$7,TRUE)</f>
        <v>73.832047638319338</v>
      </c>
      <c r="K39">
        <f>_xll.acq_options_trinomial_american_greeks(K$31,$F39,$C$5,$C$6,$C$8,$C$9,$C$7,TRUE)</f>
        <v>1075.315653878306</v>
      </c>
      <c r="L39">
        <f>_xll.acq_options_trinomial_american_greeks(L$31,$F39,$C$5,$C$6,$C$8,$C$9,$C$7,TRUE)</f>
        <v>-8.847101984343908</v>
      </c>
      <c r="M39">
        <f>_xll.acq_options_trinomial_american_greeks(M$31,$F39,$C$5,$C$6,$C$8,$C$9,$C$7,TRUE)</f>
        <v>215.71592047807542</v>
      </c>
      <c r="N39">
        <f>_xll.acq_options_trinomial_american_greeks(N$31,$F39,$C$5,$C$6,$C$8,$C$9,$C$7,TRUE)</f>
        <v>-7.5233023337517579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</row>
    <row r="40" spans="6:28" x14ac:dyDescent="0.25">
      <c r="F40" s="13">
        <v>180</v>
      </c>
      <c r="G40">
        <f>_xll.acq_options_trinomial_american_greeks(G$31,$F40,$C$5,$C$6,$C$8,$C$9,$C$7,TRUE)</f>
        <v>53.809616845565508</v>
      </c>
      <c r="H40">
        <f>_xll.acq_options_trinomial_american_greeks(H$31,$F40,$C$5,$C$6,$C$8,$C$9,$C$7,TRUE)</f>
        <v>0.81779818235775781</v>
      </c>
      <c r="I40">
        <f>_xll.acq_options_trinomial_american_greeks(I$31,$F40,$C$5,$C$6,$C$8,$C$9,$C$7,TRUE)</f>
        <v>1.9250444859574567E-8</v>
      </c>
      <c r="J40">
        <f>_xll.acq_options_trinomial_american_greeks(J$31,$F40,$C$5,$C$6,$C$8,$C$9,$C$7,TRUE)</f>
        <v>68.434666958395894</v>
      </c>
      <c r="K40">
        <f>_xll.acq_options_trinomial_american_greeks(K$31,$F40,$C$5,$C$6,$C$8,$C$9,$C$7,TRUE)</f>
        <v>96.434884412133215</v>
      </c>
      <c r="L40">
        <f>_xll.acq_options_trinomial_american_greeks(L$31,$F40,$C$5,$C$6,$C$8,$C$9,$C$7,TRUE)</f>
        <v>-0.11328195093085469</v>
      </c>
      <c r="M40">
        <f>_xll.acq_options_trinomial_american_greeks(M$31,$F40,$C$5,$C$6,$C$8,$C$9,$C$7,TRUE)</f>
        <v>232.03763664032451</v>
      </c>
      <c r="N40">
        <f>_xll.acq_options_trinomial_american_greeks(N$31,$F40,$C$5,$C$6,$C$8,$C$9,$C$7,TRUE)</f>
        <v>-7.5251362879811268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</row>
    <row r="41" spans="6:28" x14ac:dyDescent="0.25">
      <c r="F41" s="13">
        <v>190</v>
      </c>
      <c r="G41">
        <f>_xll.acq_options_trinomial_american_greeks(G$31,$F41,$C$5,$C$6,$C$8,$C$9,$C$7,TRUE)</f>
        <v>62.116364964224886</v>
      </c>
      <c r="H41">
        <f>_xll.acq_options_trinomial_american_greeks(H$31,$F41,$C$5,$C$6,$C$8,$C$9,$C$7,TRUE)</f>
        <v>0.84611319290691478</v>
      </c>
      <c r="I41">
        <f>_xll.acq_options_trinomial_american_greeks(I$31,$F41,$C$5,$C$6,$C$8,$C$9,$C$7,TRUE)</f>
        <v>2.9191300038941955E-8</v>
      </c>
      <c r="J41">
        <f>_xll.acq_options_trinomial_american_greeks(J$31,$F41,$C$5,$C$6,$C$8,$C$9,$C$7,TRUE)</f>
        <v>62.907195937505321</v>
      </c>
      <c r="K41">
        <f>_xll.acq_options_trinomial_american_greeks(K$31,$F41,$C$5,$C$6,$C$8,$C$9,$C$7,TRUE)</f>
        <v>110.49322016276619</v>
      </c>
      <c r="L41">
        <f>_xll.acq_options_trinomial_american_greeks(L$31,$F41,$C$5,$C$6,$C$8,$C$9,$C$7,TRUE)</f>
        <v>-9.9153728783107908E-2</v>
      </c>
      <c r="M41">
        <f>_xll.acq_options_trinomial_american_greeks(M$31,$F41,$C$5,$C$6,$C$8,$C$9,$C$7,TRUE)</f>
        <v>246.29950503892672</v>
      </c>
      <c r="N41">
        <f>_xll.acq_options_trinomial_american_greeks(N$31,$F41,$C$5,$C$6,$C$8,$C$9,$C$7,TRUE)</f>
        <v>-7.450945374046114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</row>
    <row r="42" spans="6:28" x14ac:dyDescent="0.25">
      <c r="F42" s="13">
        <v>200</v>
      </c>
      <c r="G42">
        <f>_xll.acq_options_trinomial_american_greeks(G$31,$F42,$C$5,$C$6,$C$8,$C$9,$C$7,TRUE)</f>
        <v>70.701685113070141</v>
      </c>
      <c r="H42">
        <f>_xll.acq_options_trinomial_american_greeks(H$31,$F42,$C$5,$C$6,$C$8,$C$9,$C$7,TRUE)</f>
        <v>0.87070972634769817</v>
      </c>
      <c r="I42">
        <f>_xll.acq_options_trinomial_american_greeks(I$31,$F42,$C$5,$C$6,$C$8,$C$9,$C$7,TRUE)</f>
        <v>5.1476689577611965E-8</v>
      </c>
      <c r="J42">
        <f>_xll.acq_options_trinomial_american_greeks(J$31,$F42,$C$5,$C$6,$C$8,$C$9,$C$7,TRUE)</f>
        <v>56.955360588460685</v>
      </c>
      <c r="K42">
        <f>_xll.acq_options_trinomial_american_greeks(K$31,$F42,$C$5,$C$6,$C$8,$C$9,$C$7,TRUE)</f>
        <v>118.79238434175932</v>
      </c>
      <c r="L42">
        <f>_xll.acq_options_trinomial_american_greeks(L$31,$F42,$C$5,$C$6,$C$8,$C$9,$C$7,TRUE)</f>
        <v>-8.5399495475257936E-2</v>
      </c>
      <c r="M42">
        <f>_xll.acq_options_trinomial_american_greeks(M$31,$F42,$C$5,$C$6,$C$8,$C$9,$C$7,TRUE)</f>
        <v>258.60972247978253</v>
      </c>
      <c r="N42">
        <f>_xll.acq_options_trinomial_american_greeks(N$31,$F42,$C$5,$C$6,$C$8,$C$9,$C$7,TRUE)</f>
        <v>-7.313717833113742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9" t="s">
        <v>173</v>
      </c>
      <c r="H45" s="59"/>
      <c r="I45" s="59"/>
      <c r="J45" s="59"/>
      <c r="K45" s="59"/>
      <c r="L45" s="59"/>
      <c r="M45" s="59"/>
      <c r="N45" s="59"/>
      <c r="S45" s="59" t="s">
        <v>166</v>
      </c>
      <c r="T45" s="59"/>
      <c r="U45" s="59"/>
      <c r="V45" s="59"/>
      <c r="W45" s="59"/>
      <c r="X45" s="59"/>
      <c r="Y45" s="59"/>
      <c r="Z45" s="59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_xll.acq_options_trinomial_american_greeks(G$31,$F47,$C$5,$C$6,$C$8,$C$9,$C$7,FALSE)</f>
        <v>50.000000000000156</v>
      </c>
      <c r="H47">
        <f>_xll.acq_options_trinomial_american_greeks(H$31,$F47,$C$5,$C$6,$C$8,$C$9,$C$7,FALSE)</f>
        <v>-1.0000000000003695</v>
      </c>
      <c r="I47">
        <f>_xll.acq_options_trinomial_american_greeks(I$31,$F47,$C$5,$C$6,$C$8,$C$9,$C$7,FALSE)</f>
        <v>-4.8316906031686806E-11</v>
      </c>
      <c r="J47">
        <f>_xll.acq_options_trinomial_american_greeks(J$31,$F47,$C$5,$C$6,$C$8,$C$9,$C$7,FALSE)</f>
        <v>-7.1054273576009954E-11</v>
      </c>
      <c r="K47">
        <f>_xll.acq_options_trinomial_american_greeks(K$31,$F47,$C$5,$C$6,$C$8,$C$9,$C$7,FALSE)</f>
        <v>-2.8421709430404007E-7</v>
      </c>
      <c r="L47">
        <f>_xll.acq_options_trinomial_american_greeks(L$31,$F47,$C$5,$C$6,$C$8,$C$9,$C$7,FALSE)</f>
        <v>3.1974423109204508E-8</v>
      </c>
      <c r="M47">
        <f>_xll.acq_options_trinomial_american_greeks(M$31,$F47,$C$5,$C$6,$C$8,$C$9,$C$7,FALSE)</f>
        <v>0</v>
      </c>
      <c r="N47">
        <f>_xll.acq_options_trinomial_american_greeks(N$31,$F47,$C$5,$C$6,$C$8,$C$9,$C$7,FALSE)</f>
        <v>-1.1368683772161603E-10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_xll.acq_options_trinomial_american_greeks(G$31,$F48,$C$5,$C$6,$C$8,$C$9,$C$7,FALSE)</f>
        <v>40.227288075886058</v>
      </c>
      <c r="H48">
        <f>_xll.acq_options_trinomial_american_greeks(H$31,$F48,$C$5,$C$6,$C$8,$C$9,$C$7,FALSE)</f>
        <v>-0.8894063411423887</v>
      </c>
      <c r="I48">
        <f>_xll.acq_options_trinomial_american_greeks(I$31,$F48,$C$5,$C$6,$C$8,$C$9,$C$7,FALSE)</f>
        <v>1.5489309560954767E-2</v>
      </c>
      <c r="J48">
        <f>_xll.acq_options_trinomial_american_greeks(J$31,$F48,$C$5,$C$6,$C$8,$C$9,$C$7,FALSE)</f>
        <v>22.119322474541271</v>
      </c>
      <c r="K48">
        <f>_xll.acq_options_trinomial_american_greeks(K$31,$F48,$C$5,$C$6,$C$8,$C$9,$C$7,FALSE)</f>
        <v>550.71893198999078</v>
      </c>
      <c r="L48">
        <f>_xll.acq_options_trinomial_american_greeks(L$31,$F48,$C$5,$C$6,$C$8,$C$9,$C$7,FALSE)</f>
        <v>3.1272784966063227</v>
      </c>
      <c r="M48">
        <f>_xll.acq_options_trinomial_american_greeks(M$31,$F48,$C$5,$C$6,$C$8,$C$9,$C$7,FALSE)</f>
        <v>-36.629314813083624</v>
      </c>
      <c r="N48">
        <f>_xll.acq_options_trinomial_american_greeks(N$31,$F48,$C$5,$C$6,$C$8,$C$9,$C$7,FALSE)</f>
        <v>-0.33502480132341361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_xll.acq_options_trinomial_american_greeks(G$31,$F49,$C$5,$C$6,$C$8,$C$9,$C$7,FALSE)</f>
        <v>32.166777814204401</v>
      </c>
      <c r="H49">
        <f>_xll.acq_options_trinomial_american_greeks(H$31,$F49,$C$5,$C$6,$C$8,$C$9,$C$7,FALSE)</f>
        <v>-0.71665054220713864</v>
      </c>
      <c r="I49">
        <f>_xll.acq_options_trinomial_american_greeks(I$31,$F49,$C$5,$C$6,$C$8,$C$9,$C$7,FALSE)</f>
        <v>9.9891035384066153E-3</v>
      </c>
      <c r="J49">
        <f>_xll.acq_options_trinomial_american_greeks(J$31,$F49,$C$5,$C$6,$C$8,$C$9,$C$7,FALSE)</f>
        <v>51.357774368955901</v>
      </c>
      <c r="K49">
        <f>_xll.acq_options_trinomial_american_greeks(K$31,$F49,$C$5,$C$6,$C$8,$C$9,$C$7,FALSE)</f>
        <v>142.84724407787053</v>
      </c>
      <c r="L49">
        <f>_xll.acq_options_trinomial_american_greeks(L$31,$F49,$C$5,$C$6,$C$8,$C$9,$C$7,FALSE)</f>
        <v>1.8020900931503547</v>
      </c>
      <c r="M49">
        <f>_xll.acq_options_trinomial_american_greeks(M$31,$F49,$C$5,$C$6,$C$8,$C$9,$C$7,FALSE)</f>
        <v>-77.487185436513784</v>
      </c>
      <c r="N49">
        <f>_xll.acq_options_trinomial_american_greeks(N$31,$F49,$C$5,$C$6,$C$8,$C$9,$C$7,FALSE)</f>
        <v>-0.9473947105718139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_xll.acq_options_trinomial_american_greeks(G$31,$F50,$C$5,$C$6,$C$8,$C$9,$C$7,FALSE)</f>
        <v>25.709356904086903</v>
      </c>
      <c r="H50">
        <f>_xll.acq_options_trinomial_american_greeks(H$31,$F50,$C$5,$C$6,$C$8,$C$9,$C$7,FALSE)</f>
        <v>-0.57499768124133022</v>
      </c>
      <c r="I50">
        <f>_xll.acq_options_trinomial_american_greeks(I$31,$F50,$C$5,$C$6,$C$8,$C$9,$C$7,FALSE)</f>
        <v>7.0907435719474695E-3</v>
      </c>
      <c r="J50">
        <f>_xll.acq_options_trinomial_american_greeks(J$31,$F50,$C$5,$C$6,$C$8,$C$9,$C$7,FALSE)</f>
        <v>69.647618032519119</v>
      </c>
      <c r="K50">
        <f>_xll.acq_options_trinomial_american_greeks(K$31,$F50,$C$5,$C$6,$C$8,$C$9,$C$7,FALSE)</f>
        <v>45.032961764945867</v>
      </c>
      <c r="L50">
        <f>_xll.acq_options_trinomial_american_greeks(L$31,$F50,$C$5,$C$6,$C$8,$C$9,$C$7,FALSE)</f>
        <v>0.78662725311318127</v>
      </c>
      <c r="M50">
        <f>_xll.acq_options_trinomial_american_greeks(M$31,$F50,$C$5,$C$6,$C$8,$C$9,$C$7,FALSE)</f>
        <v>-97.67336474380528</v>
      </c>
      <c r="N50">
        <f>_xll.acq_options_trinomial_american_greeks(N$31,$F50,$C$5,$C$6,$C$8,$C$9,$C$7,FALSE)</f>
        <v>-1.4440318355113391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_xll.acq_options_trinomial_american_greeks(G$31,$F51,$C$5,$C$6,$C$8,$C$9,$C$7,FALSE)</f>
        <v>20.530861355560823</v>
      </c>
      <c r="H51">
        <f>_xll.acq_options_trinomial_american_greeks(H$31,$F51,$C$5,$C$6,$C$8,$C$9,$C$7,FALSE)</f>
        <v>-0.45915599071855789</v>
      </c>
      <c r="I51">
        <f>_xll.acq_options_trinomial_american_greeks(I$31,$F51,$C$5,$C$6,$C$8,$C$9,$C$7,FALSE)</f>
        <v>6.6847323435378506E-3</v>
      </c>
      <c r="J51">
        <f>_xll.acq_options_trinomial_american_greeks(J$31,$F51,$C$5,$C$6,$C$8,$C$9,$C$7,FALSE)</f>
        <v>79.502171362486536</v>
      </c>
      <c r="K51">
        <f>_xll.acq_options_trinomial_american_greeks(K$31,$F51,$C$5,$C$6,$C$8,$C$9,$C$7,FALSE)</f>
        <v>20.519248977279858</v>
      </c>
      <c r="L51">
        <f>_xll.acq_options_trinomial_american_greeks(L$31,$F51,$C$5,$C$6,$C$8,$C$9,$C$7,FALSE)</f>
        <v>0.51084190388905881</v>
      </c>
      <c r="M51">
        <f>_xll.acq_options_trinomial_american_greeks(M$31,$F51,$C$5,$C$6,$C$8,$C$9,$C$7,FALSE)</f>
        <v>-104.04927047039791</v>
      </c>
      <c r="N51">
        <f>_xll.acq_options_trinomial_american_greeks(N$31,$F51,$C$5,$C$6,$C$8,$C$9,$C$7,FALSE)</f>
        <v>-1.8081481572984615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_xll.acq_options_trinomial_american_greeks(G$31,$F52,$C$5,$C$6,$C$8,$C$9,$C$7,FALSE)</f>
        <v>16.377968211394698</v>
      </c>
      <c r="H52">
        <f>_xll.acq_options_trinomial_american_greeks(H$31,$F52,$C$5,$C$6,$C$8,$C$9,$C$7,FALSE)</f>
        <v>-0.37176889697108828</v>
      </c>
      <c r="I52">
        <f>_xll.acq_options_trinomial_american_greeks(I$31,$F52,$C$5,$C$6,$C$8,$C$9,$C$7,FALSE)</f>
        <v>6.7661235440949791E-2</v>
      </c>
      <c r="J52">
        <f>_xll.acq_options_trinomial_american_greeks(J$31,$F52,$C$5,$C$6,$C$8,$C$9,$C$7,FALSE)</f>
        <v>83.03101706208686</v>
      </c>
      <c r="K52">
        <f>_xll.acq_options_trinomial_american_greeks(K$31,$F52,$C$5,$C$6,$C$8,$C$9,$C$7,FALSE)</f>
        <v>17.390221472624035</v>
      </c>
      <c r="L52">
        <f>_xll.acq_options_trinomial_american_greeks(L$31,$F52,$C$5,$C$6,$C$8,$C$9,$C$7,FALSE)</f>
        <v>0.13579878199720952</v>
      </c>
      <c r="M52">
        <f>_xll.acq_options_trinomial_american_greeks(M$31,$F52,$C$5,$C$6,$C$8,$C$9,$C$7,FALSE)</f>
        <v>-101.53289379418418</v>
      </c>
      <c r="N52">
        <f>_xll.acq_options_trinomial_american_greeks(N$31,$F52,$C$5,$C$6,$C$8,$C$9,$C$7,FALSE)</f>
        <v>-2.0410383686773059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_xll.acq_options_trinomial_american_greeks(G$31,$F53,$C$5,$C$6,$C$8,$C$9,$C$7,FALSE)</f>
        <v>13.062883099918247</v>
      </c>
      <c r="H53">
        <f>_xll.acq_options_trinomial_american_greeks(H$31,$F53,$C$5,$C$6,$C$8,$C$9,$C$7,FALSE)</f>
        <v>-0.29691488871357308</v>
      </c>
      <c r="I53">
        <f>_xll.acq_options_trinomial_american_greeks(I$31,$F53,$C$5,$C$6,$C$8,$C$9,$C$7,FALSE)</f>
        <v>3.4732161689754459E-3</v>
      </c>
      <c r="J53">
        <f>_xll.acq_options_trinomial_american_greeks(J$31,$F53,$C$5,$C$6,$C$8,$C$9,$C$7,FALSE)</f>
        <v>82.565425729446957</v>
      </c>
      <c r="K53">
        <f>_xll.acq_options_trinomial_american_greeks(K$31,$F53,$C$5,$C$6,$C$8,$C$9,$C$7,FALSE)</f>
        <v>36.572952396340952</v>
      </c>
      <c r="L53">
        <f>_xll.acq_options_trinomial_american_greeks(L$31,$F53,$C$5,$C$6,$C$8,$C$9,$C$7,FALSE)</f>
        <v>-0.11357795859368025</v>
      </c>
      <c r="M53">
        <f>_xll.acq_options_trinomial_american_greeks(M$31,$F53,$C$5,$C$6,$C$8,$C$9,$C$7,FALSE)</f>
        <v>-94.622479997800824</v>
      </c>
      <c r="N53">
        <f>_xll.acq_options_trinomial_american_greeks(N$31,$F53,$C$5,$C$6,$C$8,$C$9,$C$7,FALSE)</f>
        <v>-2.1647265994300113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_xll.acq_options_trinomial_american_greeks(G$31,$F54,$C$5,$C$6,$C$8,$C$9,$C$7,FALSE)</f>
        <v>10.403962898100559</v>
      </c>
      <c r="H54">
        <f>_xll.acq_options_trinomial_american_greeks(H$31,$F54,$C$5,$C$6,$C$8,$C$9,$C$7,FALSE)</f>
        <v>-0.23704518330002264</v>
      </c>
      <c r="I54">
        <f>_xll.acq_options_trinomial_american_greeks(I$31,$F54,$C$5,$C$6,$C$8,$C$9,$C$7,FALSE)</f>
        <v>4.8244400420729104E-2</v>
      </c>
      <c r="J54">
        <f>_xll.acq_options_trinomial_american_greeks(J$31,$F54,$C$5,$C$6,$C$8,$C$9,$C$7,FALSE)</f>
        <v>79.160519891699295</v>
      </c>
      <c r="K54">
        <f>_xll.acq_options_trinomial_american_greeks(K$31,$F54,$C$5,$C$6,$C$8,$C$9,$C$7,FALSE)</f>
        <v>580.55057075634409</v>
      </c>
      <c r="L54">
        <f>_xll.acq_options_trinomial_american_greeks(L$31,$F54,$C$5,$C$6,$C$8,$C$9,$C$7,FALSE)</f>
        <v>-4.6480733431053523</v>
      </c>
      <c r="M54">
        <f>_xll.acq_options_trinomial_american_greeks(M$31,$F54,$C$5,$C$6,$C$8,$C$9,$C$7,FALSE)</f>
        <v>-85.359082955794634</v>
      </c>
      <c r="N54">
        <f>_xll.acq_options_trinomial_american_greeks(N$31,$F54,$C$5,$C$6,$C$8,$C$9,$C$7,FALSE)</f>
        <v>-2.1767534966805613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_xll.acq_options_trinomial_american_greeks(G$31,$F55,$C$5,$C$6,$C$8,$C$9,$C$7,FALSE)</f>
        <v>8.2909842221380146</v>
      </c>
      <c r="H55">
        <f>_xll.acq_options_trinomial_american_greeks(H$31,$F55,$C$5,$C$6,$C$8,$C$9,$C$7,FALSE)</f>
        <v>-0.18632222442169283</v>
      </c>
      <c r="I55">
        <f>_xll.acq_options_trinomial_american_greeks(I$31,$F55,$C$5,$C$6,$C$8,$C$9,$C$7,FALSE)</f>
        <v>1.8937878489531542E-3</v>
      </c>
      <c r="J55">
        <f>_xll.acq_options_trinomial_american_greeks(J$31,$F55,$C$5,$C$6,$C$8,$C$9,$C$7,FALSE)</f>
        <v>73.799974646326419</v>
      </c>
      <c r="K55">
        <f>_xll.acq_options_trinomial_american_greeks(K$31,$F55,$C$5,$C$6,$C$8,$C$9,$C$7,FALSE)</f>
        <v>97.753212308759885</v>
      </c>
      <c r="L55">
        <f>_xll.acq_options_trinomial_american_greeks(L$31,$F55,$C$5,$C$6,$C$8,$C$9,$C$7,FALSE)</f>
        <v>-0.23102755175585798</v>
      </c>
      <c r="M55">
        <f>_xll.acq_options_trinomial_american_greeks(M$31,$F55,$C$5,$C$6,$C$8,$C$9,$C$7,FALSE)</f>
        <v>-75.509750560629911</v>
      </c>
      <c r="N55">
        <f>_xll.acq_options_trinomial_american_greeks(N$31,$F55,$C$5,$C$6,$C$8,$C$9,$C$7,FALSE)</f>
        <v>-2.1273655174596229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_xll.acq_options_trinomial_american_greeks(G$31,$F56,$C$5,$C$6,$C$8,$C$9,$C$7,FALSE)</f>
        <v>6.6048920021230355</v>
      </c>
      <c r="H56">
        <f>_xll.acq_options_trinomial_american_greeks(H$31,$F56,$C$5,$C$6,$C$8,$C$9,$C$7,FALSE)</f>
        <v>-0.14954415215775801</v>
      </c>
      <c r="I56">
        <f>_xll.acq_options_trinomial_american_greeks(I$31,$F56,$C$5,$C$6,$C$8,$C$9,$C$7,FALSE)</f>
        <v>1.5443315182402057E-3</v>
      </c>
      <c r="J56">
        <f>_xll.acq_options_trinomial_american_greeks(J$31,$F56,$C$5,$C$6,$C$8,$C$9,$C$7,FALSE)</f>
        <v>67.898838839230478</v>
      </c>
      <c r="K56">
        <f>_xll.acq_options_trinomial_american_greeks(K$31,$F56,$C$5,$C$6,$C$8,$C$9,$C$7,FALSE)</f>
        <v>132.37811138644417</v>
      </c>
      <c r="L56">
        <f>_xll.acq_options_trinomial_american_greeks(L$31,$F56,$C$5,$C$6,$C$8,$C$9,$C$7,FALSE)</f>
        <v>-0.31105670683650999</v>
      </c>
      <c r="M56">
        <f>_xll.acq_options_trinomial_american_greeks(M$31,$F56,$C$5,$C$6,$C$8,$C$9,$C$7,FALSE)</f>
        <v>-65.716297827119959</v>
      </c>
      <c r="N56">
        <f>_xll.acq_options_trinomial_american_greeks(N$31,$F56,$C$5,$C$6,$C$8,$C$9,$C$7,FALSE)</f>
        <v>-2.0370295627349932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_xll.acq_options_trinomial_american_greeks(G$31,$F57,$C$5,$C$6,$C$8,$C$9,$C$7,FALSE)</f>
        <v>5.261799746378073</v>
      </c>
      <c r="H57">
        <f>_xll.acq_options_trinomial_american_greeks(H$31,$F57,$C$5,$C$6,$C$8,$C$9,$C$7,FALSE)</f>
        <v>-0.11934416277745274</v>
      </c>
      <c r="I57">
        <f>_xll.acq_options_trinomial_american_greeks(I$31,$F57,$C$5,$C$6,$C$8,$C$9,$C$7,FALSE)</f>
        <v>1.021320175809137E-3</v>
      </c>
      <c r="J57">
        <f>_xll.acq_options_trinomial_american_greeks(J$31,$F57,$C$5,$C$6,$C$8,$C$9,$C$7,FALSE)</f>
        <v>61.460196580122641</v>
      </c>
      <c r="K57">
        <f>_xll.acq_options_trinomial_american_greeks(K$31,$F57,$C$5,$C$6,$C$8,$C$9,$C$7,FALSE)</f>
        <v>149.0794894696279</v>
      </c>
      <c r="L57">
        <f>_xll.acq_options_trinomial_american_greeks(L$31,$F57,$C$5,$C$6,$C$8,$C$9,$C$7,FALSE)</f>
        <v>-0.27238517552596875</v>
      </c>
      <c r="M57">
        <f>_xll.acq_options_trinomial_american_greeks(M$31,$F57,$C$5,$C$6,$C$8,$C$9,$C$7,FALSE)</f>
        <v>-56.524295826722245</v>
      </c>
      <c r="N57">
        <f>_xll.acq_options_trinomial_american_greeks(N$31,$F57,$C$5,$C$6,$C$8,$C$9,$C$7,FALSE)</f>
        <v>-1.9059481586447546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CA9D-20A9-4DB7-AD8A-F59DC22CC79A}">
  <dimension ref="A1:AA57"/>
  <sheetViews>
    <sheetView topLeftCell="B1" workbookViewId="0">
      <selection activeCell="K1" sqref="K1"/>
    </sheetView>
  </sheetViews>
  <sheetFormatPr defaultRowHeight="15" x14ac:dyDescent="0.25"/>
  <cols>
    <col min="2" max="2" width="14.28515625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2" width="12.7109375" customWidth="1"/>
    <col min="13" max="15" width="12" bestFit="1" customWidth="1"/>
    <col min="24" max="24" width="12" bestFit="1" customWidth="1"/>
    <col min="33" max="33" width="12.7109375" bestFit="1" customWidth="1"/>
  </cols>
  <sheetData>
    <row r="1" spans="1:27" ht="20.25" thickBot="1" x14ac:dyDescent="0.35">
      <c r="A1" s="60" t="s">
        <v>162</v>
      </c>
      <c r="B1" s="60"/>
      <c r="C1" s="60"/>
      <c r="D1" s="60"/>
      <c r="E1" s="60"/>
      <c r="F1" s="60"/>
      <c r="G1" s="60"/>
      <c r="I1">
        <f>_xll.acq_options_binomial_american_price($C$5,F14,$C$7,$C$9,$C$10,$C$8,FALSE,6)</f>
        <v>20.986795441796307</v>
      </c>
    </row>
    <row r="2" spans="1:27" ht="15.75" thickTop="1" x14ac:dyDescent="0.25"/>
    <row r="3" spans="1:27" ht="15.75" thickBot="1" x14ac:dyDescent="0.3">
      <c r="B3" s="3" t="s">
        <v>170</v>
      </c>
      <c r="C3" s="3"/>
      <c r="F3" s="59" t="s">
        <v>139</v>
      </c>
      <c r="G3" s="59"/>
      <c r="H3" s="59"/>
      <c r="I3" s="59" t="s">
        <v>163</v>
      </c>
      <c r="J3" s="59"/>
      <c r="K3" s="59" t="s">
        <v>171</v>
      </c>
      <c r="L3" s="59"/>
      <c r="M3" s="59" t="s">
        <v>137</v>
      </c>
      <c r="N3" s="59"/>
      <c r="P3" s="59" t="s">
        <v>139</v>
      </c>
      <c r="Q3" s="59"/>
      <c r="R3" s="59"/>
      <c r="S3" s="59" t="s">
        <v>163</v>
      </c>
      <c r="T3" s="59"/>
      <c r="U3" s="59" t="s">
        <v>137</v>
      </c>
      <c r="V3" s="59"/>
      <c r="W3" s="59" t="s">
        <v>171</v>
      </c>
      <c r="X3" s="59"/>
    </row>
    <row r="4" spans="1:27" x14ac:dyDescent="0.25">
      <c r="B4" t="s">
        <v>168</v>
      </c>
      <c r="C4" s="5" t="s">
        <v>99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K4" t="s">
        <v>91</v>
      </c>
      <c r="L4" t="s">
        <v>138</v>
      </c>
      <c r="M4" t="s">
        <v>91</v>
      </c>
      <c r="N4" t="s">
        <v>138</v>
      </c>
      <c r="P4" t="s">
        <v>88</v>
      </c>
      <c r="Q4" t="s">
        <v>91</v>
      </c>
      <c r="R4" t="s">
        <v>138</v>
      </c>
      <c r="S4" t="s">
        <v>91</v>
      </c>
      <c r="T4" t="s">
        <v>138</v>
      </c>
      <c r="U4" t="s">
        <v>91</v>
      </c>
      <c r="V4" t="s">
        <v>138</v>
      </c>
      <c r="W4" t="s">
        <v>91</v>
      </c>
      <c r="X4" t="s">
        <v>138</v>
      </c>
    </row>
    <row r="5" spans="1:27" x14ac:dyDescent="0.25">
      <c r="B5" t="s">
        <v>124</v>
      </c>
      <c r="C5" s="5">
        <v>80</v>
      </c>
      <c r="F5">
        <v>10</v>
      </c>
      <c r="G5">
        <f>_xll.acq_options_bjerksund_greeks($C$4,$C$5,F5,$C$7,$C$9,$C$10,$C$8,TRUE)</f>
        <v>70</v>
      </c>
      <c r="H5">
        <f>_xll.acq_options_bjerksund_greeks($C$4,$C$5,F5,$C$7,$C$9,$C$10,$C$8,FALSE)</f>
        <v>9.1802121460204944E-12</v>
      </c>
      <c r="I5">
        <f>_xll.acq_options_binomial_american_greeks($C$4,$C$5,F5,$C$7,$C$9,$C$10,$C$8,TRUE,500)</f>
        <v>70.00000000000118</v>
      </c>
      <c r="J5">
        <f>_xll.acq_options_binomial_american_greeks($C$4,$C$5,F5,$C$7,$C$9,$C$10,$C$8,FALSE)</f>
        <v>6.7346288312237292E-12</v>
      </c>
      <c r="K5">
        <f>_xll.acq_options_trinomial_american_greeks($C$4,$C$5,F5,$C$7,$C$9,$C$10,$C$8,TRUE,500)</f>
        <v>69.999999999999986</v>
      </c>
      <c r="L5">
        <f>_xll.acq_options_trinomial_american_greeks($C$4,$C$5,F5,$C$7,$C$9,$C$10,$C$8,FALSE,500)</f>
        <v>7.7531407749717081E-12</v>
      </c>
      <c r="M5">
        <f>_xll.acq_options_blackscholes_greeks($C$4,$C$5,F5,$C$7,$C$9,$C$10,$C$8,TRUE)</f>
        <v>63.779913678635367</v>
      </c>
      <c r="N5">
        <f>_xll.acq_options_blackscholes_greeks($C$4,$C$5,F5,$C$7,$C$9,$C$10,$C$8,FALSE)</f>
        <v>9.1842814948206544E-12</v>
      </c>
      <c r="P5">
        <v>0.1</v>
      </c>
      <c r="Q5">
        <f>_xll.acq_options_bjerksund_greeks($C$4,$C$5,$C$6,$P5,$C$9,$C$10,$C$8,TRUE)</f>
        <v>3.335177460144223E-4</v>
      </c>
      <c r="R5">
        <f>_xll.acq_options_bjerksund_greeks($C$4,$C$5,$C$6,P5,$C$9,$C$10,$C$8,FALSE)</f>
        <v>20</v>
      </c>
      <c r="S5">
        <f>_xll.acq_options_binomial_american_greeks($C$4,$C$5,$C$6,P5,$C$9,$C$10,$C$8,TRUE,500)</f>
        <v>3.2540922869439743E-4</v>
      </c>
      <c r="T5">
        <f>_xll.acq_options_binomial_american_greeks($C$4,$C$5,$C$6,P5,$C$9,$C$10,$C$8,FALSE)</f>
        <v>20.000000000002345</v>
      </c>
      <c r="U5">
        <f>_xll.acq_options_blackscholes_greeks($C$4,$C$5,$C$6,P5,$C$9,$C$10,$C$8,TRUE)</f>
        <v>3.3351774601797848E-4</v>
      </c>
      <c r="V5">
        <f>_xll.acq_options_blackscholes_greeks($C$4,$C$5,$C$6,P5,$C$9,$C$10,$C$8,FALSE)</f>
        <v>19.721490775620225</v>
      </c>
      <c r="W5">
        <f>_xll.acq_options_trinomial_american_greeks($C$4,$C$5,$C$6,P5,$C$9,$C$10,$C$8,TRUE,500)</f>
        <v>3.2878225846039481E-4</v>
      </c>
      <c r="X5">
        <f>_xll.acq_options_trinomial_american_greeks($C$4,$C$5,$C$6,P5,$C$9,$C$10,$C$8,FALSE)</f>
        <v>20.000000000000043</v>
      </c>
      <c r="Z5">
        <f>K5-L5 +(F5-$C$5 *EXP(-$C$7*($C$10-$C$9)))*EXP(-$C$7*$C$9)</f>
        <v>6.2200863213660327</v>
      </c>
    </row>
    <row r="6" spans="1:27" x14ac:dyDescent="0.25">
      <c r="B6" t="s">
        <v>87</v>
      </c>
      <c r="C6" s="5">
        <v>100</v>
      </c>
      <c r="F6">
        <v>20</v>
      </c>
      <c r="G6">
        <f>_xll.acq_options_bjerksund_greeks($C$4,$C$5,F6,$C$7,$C$9,$C$10,$C$8,TRUE)</f>
        <v>60</v>
      </c>
      <c r="H6">
        <f>_xll.acq_options_bjerksund_greeks($C$4,$C$5,F6,$C$7,$C$9,$C$10,$C$8,FALSE)</f>
        <v>6.2439020780402643E-6</v>
      </c>
      <c r="I6">
        <f>_xll.acq_options_binomial_american_greeks($C$4,$C$5,F6,$C$7,$C$9,$C$10,$C$8,TRUE,500)</f>
        <v>60.00000000000118</v>
      </c>
      <c r="J6">
        <f>_xll.acq_options_binomial_american_greeks($C$4,$C$5,F6,$C$7,$C$9,$C$10,$C$8,FALSE)</f>
        <v>5.8263507221031199E-6</v>
      </c>
      <c r="K6">
        <f>_xll.acq_options_trinomial_american_greeks($C$4,$C$5,F6,$C$7,$C$9,$C$10,$C$8,TRUE,500)</f>
        <v>59.999999999999986</v>
      </c>
      <c r="L6">
        <f>_xll.acq_options_trinomial_american_greeks($C$4,$C$5,F6,$C$7,$C$9,$C$10,$C$8,FALSE,500)</f>
        <v>6.1198396917104289E-6</v>
      </c>
      <c r="M6">
        <f>_xll.acq_options_blackscholes_greeks($C$4,$C$5,F6,$C$7,$C$9,$C$10,$C$8,TRUE)</f>
        <v>55.172840147299368</v>
      </c>
      <c r="N6">
        <f>_xll.acq_options_blackscholes_greeks($C$4,$C$5,F6,$C$7,$C$9,$C$10,$C$8,FALSE)</f>
        <v>6.2329237730476437E-6</v>
      </c>
      <c r="P6">
        <v>0.25</v>
      </c>
      <c r="Q6">
        <f>_xll.acq_options_bjerksund_greeks($C$4,$C$5,$C$6,$P6,$C$9,$C$10,$C$8,TRUE)</f>
        <v>4.5456678892776381E-2</v>
      </c>
      <c r="R6">
        <f>_xll.acq_options_bjerksund_greeks($C$4,$C$5,$C$6,P6,$C$9,$C$10,$C$8,FALSE)</f>
        <v>20</v>
      </c>
      <c r="S6">
        <f>_xll.acq_options_binomial_american_greeks($C$4,$C$5,$C$6,P6,$C$9,$C$10,$C$8,TRUE,500)</f>
        <v>4.5078317313361912E-2</v>
      </c>
      <c r="T6">
        <f>_xll.acq_options_binomial_american_greeks($C$4,$C$5,$C$6,P6,$C$9,$C$10,$C$8,FALSE)</f>
        <v>19.999999999999176</v>
      </c>
      <c r="U6">
        <f>_xll.acq_options_blackscholes_greeks($C$4,$C$5,$C$6,P6,$C$9,$C$10,$C$8,TRUE)</f>
        <v>4.5456678892759728E-2</v>
      </c>
      <c r="V6">
        <f>_xll.acq_options_blackscholes_greeks($C$4,$C$5,$C$6,P6,$C$9,$C$10,$C$8,FALSE)</f>
        <v>19.352663939265554</v>
      </c>
      <c r="W6">
        <f>_xll.acq_options_trinomial_american_greeks($C$4,$C$5,$C$6,P6,$C$9,$C$10,$C$8,TRUE,500)</f>
        <v>4.5362907552770448E-2</v>
      </c>
      <c r="X6">
        <f>_xll.acq_options_trinomial_american_greeks($C$4,$C$5,$C$6,P6,$C$9,$C$10,$C$8,FALSE)</f>
        <v>19.999999999999872</v>
      </c>
      <c r="Z6">
        <f t="shared" ref="Z6:Z21" si="0">K6-L6 +(F6-$C$5 *EXP(-$C$7*($C$10-$C$9)))*EXP(-$C$7*$C$9)</f>
        <v>4.8271599657846807</v>
      </c>
    </row>
    <row r="7" spans="1:27" x14ac:dyDescent="0.25">
      <c r="B7" t="s">
        <v>88</v>
      </c>
      <c r="C7" s="5">
        <v>2.5</v>
      </c>
      <c r="F7">
        <v>30</v>
      </c>
      <c r="G7">
        <f>_xll.acq_options_bjerksund_greeks($C$4,$C$5,F7,$C$7,$C$9,$C$10,$C$8,TRUE)</f>
        <v>50</v>
      </c>
      <c r="H7">
        <f>_xll.acq_options_bjerksund_greeks($C$4,$C$5,F7,$C$7,$C$9,$C$10,$C$8,FALSE)</f>
        <v>2.0157900578396948E-3</v>
      </c>
      <c r="I7">
        <f>_xll.acq_options_binomial_american_greeks($C$4,$C$5,F7,$C$7,$C$9,$C$10,$C$8,TRUE,500)</f>
        <v>50.00000000000118</v>
      </c>
      <c r="J7">
        <f>_xll.acq_options_binomial_american_greeks($C$4,$C$5,F7,$C$7,$C$9,$C$10,$C$8,FALSE)</f>
        <v>2.0164891238280643E-3</v>
      </c>
      <c r="K7">
        <f>_xll.acq_options_trinomial_american_greeks($C$4,$C$5,F7,$C$7,$C$9,$C$10,$C$8,TRUE,500)</f>
        <v>49.999999999999986</v>
      </c>
      <c r="L7">
        <f>_xll.acq_options_trinomial_american_greeks($C$4,$C$5,F7,$C$7,$C$9,$C$10,$C$8,FALSE,500)</f>
        <v>2.0202104753871985E-3</v>
      </c>
      <c r="M7">
        <f>_xll.acq_options_blackscholes_greeks($C$4,$C$5,F7,$C$7,$C$9,$C$10,$C$8,TRUE)</f>
        <v>46.567757798347316</v>
      </c>
      <c r="N7">
        <f>_xll.acq_options_blackscholes_greeks($C$4,$C$5,F7,$C$7,$C$9,$C$10,$C$8,FALSE)</f>
        <v>2.003648222303353E-3</v>
      </c>
      <c r="P7">
        <v>0.5</v>
      </c>
      <c r="Q7">
        <f>_xll.acq_options_bjerksund_greeks($C$4,$C$5,$C$6,$P7,$C$9,$C$10,$C$8,TRUE)</f>
        <v>0.35505451568060664</v>
      </c>
      <c r="R7">
        <f>_xll.acq_options_bjerksund_greeks($C$4,$C$5,$C$6,P7,$C$9,$C$10,$C$8,FALSE)</f>
        <v>20</v>
      </c>
      <c r="S7">
        <f>_xll.acq_options_binomial_american_greeks($C$4,$C$5,$C$6,P7,$C$9,$C$10,$C$8,TRUE,500)</f>
        <v>0.35501734744452784</v>
      </c>
      <c r="T7">
        <f>_xll.acq_options_binomial_american_greeks($C$4,$C$5,$C$6,P7,$C$9,$C$10,$C$8,FALSE)</f>
        <v>20.000000000000711</v>
      </c>
      <c r="U7">
        <f>_xll.acq_options_blackscholes_greeks($C$4,$C$5,$C$6,P7,$C$9,$C$10,$C$8,TRUE)</f>
        <v>0.35505450869495725</v>
      </c>
      <c r="V7">
        <f>_xll.acq_options_blackscholes_greeks($C$4,$C$5,$C$6,P7,$C$9,$C$10,$C$8,FALSE)</f>
        <v>18.98371399900536</v>
      </c>
      <c r="W7">
        <f>_xll.acq_options_trinomial_american_greeks($C$4,$C$5,$C$6,P7,$C$9,$C$10,$C$8,TRUE,500)</f>
        <v>0.35446037434305855</v>
      </c>
      <c r="X7">
        <f>_xll.acq_options_trinomial_american_greeks($C$4,$C$5,$C$6,P7,$C$9,$C$10,$C$8,FALSE)</f>
        <v>19.999999999999858</v>
      </c>
      <c r="Z7">
        <f t="shared" si="0"/>
        <v>3.4322256393995616</v>
      </c>
    </row>
    <row r="8" spans="1:27" x14ac:dyDescent="0.25">
      <c r="B8" t="s">
        <v>89</v>
      </c>
      <c r="C8" s="5">
        <v>0.2</v>
      </c>
      <c r="F8">
        <v>40</v>
      </c>
      <c r="G8">
        <f>_xll.acq_options_bjerksund_greeks($C$4,$C$5,F8,$C$7,$C$9,$C$10,$C$8,TRUE)</f>
        <v>40</v>
      </c>
      <c r="H8">
        <f>_xll.acq_options_bjerksund_greeks($C$4,$C$5,F8,$C$7,$C$9,$C$10,$C$8,FALSE)</f>
        <v>5.0063267512371112E-2</v>
      </c>
      <c r="I8">
        <f>_xll.acq_options_binomial_american_greeks($C$4,$C$5,F8,$C$7,$C$9,$C$10,$C$8,TRUE,500)</f>
        <v>40.00000000000118</v>
      </c>
      <c r="J8">
        <f>_xll.acq_options_binomial_american_greeks($C$4,$C$5,F8,$C$7,$C$9,$C$10,$C$8,FALSE)</f>
        <v>5.0724140906864779E-2</v>
      </c>
      <c r="K8">
        <f>_xll.acq_options_trinomial_american_greeks($C$4,$C$5,F8,$C$7,$C$9,$C$10,$C$8,TRUE,500)</f>
        <v>39.999999999999986</v>
      </c>
      <c r="L8">
        <f>_xll.acq_options_trinomial_american_greeks($C$4,$C$5,F8,$C$7,$C$9,$C$10,$C$8,FALSE,500)</f>
        <v>5.0745317142587704E-2</v>
      </c>
      <c r="M8">
        <f>_xll.acq_options_blackscholes_greeks($C$4,$C$5,F8,$C$7,$C$9,$C$10,$C$8,TRUE)</f>
        <v>38.008037548963244</v>
      </c>
      <c r="N8">
        <f>_xll.acq_options_blackscholes_greeks($C$4,$C$5,F8,$C$7,$C$9,$C$10,$C$8,FALSE)</f>
        <v>4.9363163088802509E-2</v>
      </c>
      <c r="P8">
        <v>1</v>
      </c>
      <c r="Q8">
        <f>_xll.acq_options_bjerksund_greeks($C$4,$C$5,$C$6,$P8,$C$9,$C$10,$C$8,TRUE)</f>
        <v>1.3714112161997178</v>
      </c>
      <c r="R8">
        <f>_xll.acq_options_bjerksund_greeks($C$4,$C$5,$C$6,P8,$C$9,$C$10,$C$8,FALSE)</f>
        <v>20.12865819676859</v>
      </c>
      <c r="S8">
        <f>_xll.acq_options_binomial_american_greeks($C$4,$C$5,$C$6,P8,$C$9,$C$10,$C$8,TRUE,500)</f>
        <v>1.372410174366212</v>
      </c>
      <c r="T8">
        <f>_xll.acq_options_binomial_american_greeks($C$4,$C$5,$C$6,P8,$C$9,$C$10,$C$8,FALSE)</f>
        <v>20.163865097563622</v>
      </c>
      <c r="U8">
        <f>_xll.acq_options_blackscholes_greeks($C$4,$C$5,$C$6,P8,$C$9,$C$10,$C$8,TRUE)</f>
        <v>1.3713969167756943</v>
      </c>
      <c r="V8">
        <f>_xll.acq_options_blackscholes_greeks($C$4,$C$5,$C$6,P8,$C$9,$C$10,$C$8,FALSE)</f>
        <v>18.684695143014714</v>
      </c>
      <c r="W8">
        <f>_xll.acq_options_trinomial_american_greeks($C$4,$C$5,$C$6,P8,$C$9,$C$10,$C$8,TRUE,500)</f>
        <v>1.3717766118614212</v>
      </c>
      <c r="X8">
        <f>_xll.acq_options_trinomial_american_greeks($C$4,$C$5,$C$6,P8,$C$9,$C$10,$C$8,FALSE)</f>
        <v>20.162507499201109</v>
      </c>
      <c r="Z8">
        <f t="shared" si="0"/>
        <v>1.9905802969829409</v>
      </c>
      <c r="AA8" s="13"/>
    </row>
    <row r="9" spans="1:27" x14ac:dyDescent="0.25">
      <c r="B9" t="s">
        <v>90</v>
      </c>
      <c r="C9" s="51">
        <v>0.06</v>
      </c>
      <c r="F9">
        <v>50</v>
      </c>
      <c r="G9">
        <f>_xll.acq_options_bjerksund_greeks($C$4,$C$5,F9,$C$7,$C$9,$C$10,$C$8,TRUE)</f>
        <v>30.487152647952069</v>
      </c>
      <c r="H9">
        <f>_xll.acq_options_bjerksund_greeks($C$4,$C$5,F9,$C$7,$C$9,$C$10,$C$8,FALSE)</f>
        <v>0.37549289503182592</v>
      </c>
      <c r="I9">
        <f>_xll.acq_options_binomial_american_greeks($C$4,$C$5,F9,$C$7,$C$9,$C$10,$C$8,TRUE,500)</f>
        <v>30.498607987378957</v>
      </c>
      <c r="J9">
        <f>_xll.acq_options_binomial_american_greeks($C$4,$C$5,F9,$C$7,$C$9,$C$10,$C$8,FALSE)</f>
        <v>0.38098762630663141</v>
      </c>
      <c r="K9">
        <f>_xll.acq_options_trinomial_american_greeks($C$4,$C$5,F9,$C$7,$C$9,$C$10,$C$8,TRUE,500)</f>
        <v>30.498380409808711</v>
      </c>
      <c r="L9">
        <f>_xll.acq_options_trinomial_american_greeks($C$4,$C$5,F9,$C$7,$C$9,$C$10,$C$8,FALSE,500)</f>
        <v>0.38081386927335337</v>
      </c>
      <c r="M9">
        <f>_xll.acq_options_blackscholes_greeks($C$4,$C$5,F9,$C$7,$C$9,$C$10,$C$8,TRUE)</f>
        <v>29.717343880901694</v>
      </c>
      <c r="N9">
        <f>_xll.acq_options_blackscholes_greeks($C$4,$C$5,F9,$C$7,$C$9,$C$10,$C$8,FALSE)</f>
        <v>0.36574925927782242</v>
      </c>
      <c r="P9">
        <v>2</v>
      </c>
      <c r="Q9">
        <f>_xll.acq_options_bjerksund_greeks($C$4,$C$5,$C$6,$P9,$C$9,$C$10,$C$8,TRUE)</f>
        <v>3.5533683946349583</v>
      </c>
      <c r="R9">
        <f>_xll.acq_options_bjerksund_greeks($C$4,$C$5,$C$6,P9,$C$9,$C$10,$C$8,FALSE)</f>
        <v>20.750365893277309</v>
      </c>
      <c r="S9">
        <f>_xll.acq_options_binomial_american_greeks($C$4,$C$5,$C$6,P9,$C$9,$C$10,$C$8,TRUE,500)</f>
        <v>3.553605543926504</v>
      </c>
      <c r="T9">
        <f>_xll.acq_options_binomial_american_greeks($C$4,$C$5,$C$6,P9,$C$9,$C$10,$C$8,FALSE)</f>
        <v>20.792522602415836</v>
      </c>
      <c r="U9">
        <f>_xll.acq_options_blackscholes_greeks($C$4,$C$5,$C$6,P9,$C$9,$C$10,$C$8,TRUE)</f>
        <v>3.5516862799483064</v>
      </c>
      <c r="V9">
        <f>_xll.acq_options_blackscholes_greeks($C$4,$C$5,$C$6,P9,$C$9,$C$10,$C$8,FALSE)</f>
        <v>18.394422240733199</v>
      </c>
      <c r="W9">
        <f>_xll.acq_options_trinomial_american_greeks($C$4,$C$5,$C$6,P9,$C$9,$C$10,$C$8,TRUE,500)</f>
        <v>3.5552974923851526</v>
      </c>
      <c r="X9">
        <f>_xll.acq_options_trinomial_american_greeks($C$4,$C$5,$C$6,P9,$C$9,$C$10,$C$8,FALSE)</f>
        <v>20.7919965425789</v>
      </c>
      <c r="Y9" s="11"/>
      <c r="Z9">
        <f t="shared" si="0"/>
        <v>0.76597191891147176</v>
      </c>
    </row>
    <row r="10" spans="1:27" x14ac:dyDescent="0.25">
      <c r="B10" t="s">
        <v>123</v>
      </c>
      <c r="C10" s="52">
        <v>0.04</v>
      </c>
      <c r="F10">
        <v>60</v>
      </c>
      <c r="G10">
        <f>_xll.acq_options_bjerksund_greeks($C$4,$C$5,F10,$C$7,$C$9,$C$10,$C$8,TRUE)</f>
        <v>22.430820824175672</v>
      </c>
      <c r="H10">
        <f>_xll.acq_options_bjerksund_greeks($C$4,$C$5,F10,$C$7,$C$9,$C$10,$C$8,FALSE)</f>
        <v>1.4628849085821187</v>
      </c>
      <c r="I10">
        <f>_xll.acq_options_binomial_american_greeks($C$4,$C$5,F10,$C$7,$C$9,$C$10,$C$8,TRUE,500)</f>
        <v>22.445588153801527</v>
      </c>
      <c r="J10">
        <f>_xll.acq_options_binomial_american_greeks($C$4,$C$5,F10,$C$7,$C$9,$C$10,$C$8,FALSE)</f>
        <v>1.4797874865549066</v>
      </c>
      <c r="K10">
        <f>_xll.acq_options_trinomial_american_greeks($C$4,$C$5,F10,$C$7,$C$9,$C$10,$C$8,TRUE,500)</f>
        <v>22.446455528312654</v>
      </c>
      <c r="L10">
        <f>_xll.acq_options_trinomial_american_greeks($C$4,$C$5,F10,$C$7,$C$9,$C$10,$C$8,FALSE,500)</f>
        <v>1.480431683143093</v>
      </c>
      <c r="M10">
        <f>_xll.acq_options_blackscholes_greeks($C$4,$C$5,F10,$C$7,$C$9,$C$10,$C$8,TRUE)</f>
        <v>22.146383610307787</v>
      </c>
      <c r="N10">
        <f>_xll.acq_options_blackscholes_greeks($C$4,$C$5,F10,$C$7,$C$9,$C$10,$C$8,FALSE)</f>
        <v>1.401868752934508</v>
      </c>
      <c r="P10">
        <v>3</v>
      </c>
      <c r="Q10">
        <f>_xll.acq_options_bjerksund_greeks($C$4,$C$5,$C$6,$P10,$C$9,$C$10,$C$8,TRUE)</f>
        <v>5.489098402517925</v>
      </c>
      <c r="R10">
        <f>_xll.acq_options_bjerksund_greeks($C$4,$C$5,$C$6,P10,$C$9,$C$10,$C$8,FALSE)</f>
        <v>21.317820273681445</v>
      </c>
      <c r="S10">
        <f>_xll.acq_options_binomial_american_greeks($C$4,$C$5,$C$6,P10,$C$9,$C$10,$C$8,TRUE,500)</f>
        <v>5.4921344238709562</v>
      </c>
      <c r="T10">
        <f>_xll.acq_options_binomial_american_greeks($C$4,$C$5,$C$6,P10,$C$9,$C$10,$C$8,FALSE)</f>
        <v>21.366066041117783</v>
      </c>
      <c r="U10">
        <f>_xll.acq_options_blackscholes_greeks($C$4,$C$5,$C$6,P10,$C$9,$C$10,$C$8,TRUE)</f>
        <v>5.4765239990462931</v>
      </c>
      <c r="V10">
        <f>_xll.acq_options_blackscholes_greeks($C$4,$C$5,$C$6,P10,$C$9,$C$10,$C$8,FALSE)</f>
        <v>18.049910202800888</v>
      </c>
      <c r="W10">
        <f>_xll.acq_options_trinomial_american_greeks($C$4,$C$5,$C$6,P10,$C$9,$C$10,$C$8,TRUE,500)</f>
        <v>5.4919312685658506</v>
      </c>
      <c r="X10">
        <f>_xll.acq_options_trinomial_american_greeks($C$4,$C$5,$C$6,P10,$C$9,$C$10,$C$8,FALSE)</f>
        <v>21.363386936449352</v>
      </c>
      <c r="Z10">
        <f t="shared" si="0"/>
        <v>0.2215089877962555</v>
      </c>
    </row>
    <row r="11" spans="1:27" x14ac:dyDescent="0.25">
      <c r="B11" t="s">
        <v>91</v>
      </c>
      <c r="C11" s="5" t="b">
        <v>1</v>
      </c>
      <c r="F11">
        <v>70</v>
      </c>
      <c r="G11">
        <f>_xll.acq_options_bjerksund_greeks($C$4,$C$5,F11,$C$7,$C$9,$C$10,$C$8,TRUE)</f>
        <v>15.853930971233307</v>
      </c>
      <c r="H11">
        <f>_xll.acq_options_bjerksund_greeks($C$4,$C$5,F11,$C$7,$C$9,$C$10,$C$8,FALSE)</f>
        <v>3.8462442765554528</v>
      </c>
      <c r="I11">
        <f>_xll.acq_options_binomial_american_greeks($C$4,$C$5,F11,$C$7,$C$9,$C$10,$C$8,TRUE,500)</f>
        <v>15.866713732138688</v>
      </c>
      <c r="J11">
        <f>_xll.acq_options_binomial_american_greeks($C$4,$C$5,F11,$C$7,$C$9,$C$10,$C$8,FALSE)</f>
        <v>3.8824119701638331</v>
      </c>
      <c r="K11">
        <f>_xll.acq_options_trinomial_american_greeks($C$4,$C$5,F11,$C$7,$C$9,$C$10,$C$8,TRUE,500)</f>
        <v>15.865993500151173</v>
      </c>
      <c r="L11">
        <f>_xll.acq_options_trinomial_american_greeks($C$4,$C$5,F11,$C$7,$C$9,$C$10,$C$8,FALSE,500)</f>
        <v>3.8810475580777197</v>
      </c>
      <c r="M11">
        <f>_xll.acq_options_blackscholes_greeks($C$4,$C$5,F11,$C$7,$C$9,$C$10,$C$8,TRUE)</f>
        <v>15.749546206029741</v>
      </c>
      <c r="N11">
        <f>_xll.acq_options_blackscholes_greeks($C$4,$C$5,F11,$C$7,$C$9,$C$10,$C$8,FALSE)</f>
        <v>3.61211111290703</v>
      </c>
      <c r="P11">
        <v>4</v>
      </c>
      <c r="Q11">
        <f>_xll.acq_options_bjerksund_greeks($C$4,$C$5,$C$6,$P11,$C$9,$C$10,$C$8,TRUE)</f>
        <v>7.1597639755190912</v>
      </c>
      <c r="R11">
        <f>_xll.acq_options_bjerksund_greeks($C$4,$C$5,$C$6,P11,$C$9,$C$10,$C$8,FALSE)</f>
        <v>21.78394002129593</v>
      </c>
      <c r="S11">
        <f>_xll.acq_options_binomial_american_greeks($C$4,$C$5,$C$6,P11,$C$9,$C$10,$C$8,TRUE,500)</f>
        <v>7.1670978039002691</v>
      </c>
      <c r="T11">
        <f>_xll.acq_options_binomial_american_greeks($C$4,$C$5,$C$6,P11,$C$9,$C$10,$C$8,FALSE)</f>
        <v>21.834705046034131</v>
      </c>
      <c r="U11">
        <f>_xll.acq_options_blackscholes_greeks($C$4,$C$5,$C$6,P11,$C$9,$C$10,$C$8,TRUE)</f>
        <v>7.1184240923643642</v>
      </c>
      <c r="V11">
        <f>_xll.acq_options_blackscholes_greeks($C$4,$C$5,$C$6,P11,$C$9,$C$10,$C$8,FALSE)</f>
        <v>17.60970708172281</v>
      </c>
      <c r="W11">
        <f>_xll.acq_options_trinomial_american_greeks($C$4,$C$5,$C$6,P11,$C$9,$C$10,$C$8,TRUE,500)</f>
        <v>7.1659504190710379</v>
      </c>
      <c r="X11">
        <f>_xll.acq_options_trinomial_american_greeks($C$4,$C$5,$C$6,P11,$C$9,$C$10,$C$8,FALSE)</f>
        <v>21.831061875064631</v>
      </c>
      <c r="Z11">
        <f t="shared" si="0"/>
        <v>-0.15248915104927363</v>
      </c>
    </row>
    <row r="12" spans="1:27" x14ac:dyDescent="0.25">
      <c r="B12" t="s">
        <v>161</v>
      </c>
      <c r="C12" s="50">
        <f>C9-C10</f>
        <v>1.9999999999999997E-2</v>
      </c>
      <c r="F12">
        <v>80</v>
      </c>
      <c r="G12">
        <f>_xll.acq_options_bjerksund_greeks($C$4,$C$5,F12,$C$7,$C$9,$C$10,$C$8,TRUE)</f>
        <v>10.785772502599372</v>
      </c>
      <c r="H12">
        <f>_xll.acq_options_bjerksund_greeks($C$4,$C$5,F12,$C$7,$C$9,$C$10,$C$8,FALSE)</f>
        <v>7.8700177822955482</v>
      </c>
      <c r="I12">
        <f>_xll.acq_options_binomial_american_greeks($C$4,$C$5,F12,$C$7,$C$9,$C$10,$C$8,TRUE,500)</f>
        <v>10.787516089465147</v>
      </c>
      <c r="J12">
        <f>_xll.acq_options_binomial_american_greeks($C$4,$C$5,F12,$C$7,$C$9,$C$10,$C$8,FALSE)</f>
        <v>7.9148107175946514</v>
      </c>
      <c r="K12">
        <f>_xll.acq_options_trinomial_american_greeks($C$4,$C$5,F12,$C$7,$C$9,$C$10,$C$8,TRUE,500)</f>
        <v>10.789799785481252</v>
      </c>
      <c r="L12">
        <f>_xll.acq_options_trinomial_american_greeks($C$4,$C$5,F12,$C$7,$C$9,$C$10,$C$8,FALSE,500)</f>
        <v>7.9151152949034689</v>
      </c>
      <c r="M12">
        <f>_xll.acq_options_blackscholes_greeks($C$4,$C$5,F12,$C$7,$C$9,$C$10,$C$8,TRUE)</f>
        <v>10.747330990955795</v>
      </c>
      <c r="N12">
        <f>_xll.acq_options_blackscholes_greeks($C$4,$C$5,F12,$C$7,$C$9,$C$10,$C$8,FALSE)</f>
        <v>7.2169756620836516</v>
      </c>
      <c r="P12">
        <v>5</v>
      </c>
      <c r="Q12">
        <f>_xll.acq_options_bjerksund_greeks($C$4,$C$5,$C$6,$P12,$C$9,$C$10,$C$8,TRUE)</f>
        <v>8.6069710414120095</v>
      </c>
      <c r="R12">
        <f>_xll.acq_options_bjerksund_greeks($C$4,$C$5,$C$6,P12,$C$9,$C$10,$C$8,FALSE)</f>
        <v>22.164364553620423</v>
      </c>
      <c r="S12">
        <f>_xll.acq_options_binomial_american_greeks($C$4,$C$5,$C$6,P12,$C$9,$C$10,$C$8,TRUE,500)</f>
        <v>8.6208685977530592</v>
      </c>
      <c r="T12">
        <f>_xll.acq_options_binomial_american_greeks($C$4,$C$5,$C$6,P12,$C$9,$C$10,$C$8,FALSE)</f>
        <v>22.216409923670852</v>
      </c>
      <c r="U12">
        <f>_xll.acq_options_blackscholes_greeks($C$4,$C$5,$C$6,P12,$C$9,$C$10,$C$8,TRUE)</f>
        <v>8.5135393274726532</v>
      </c>
      <c r="V12">
        <f>_xll.acq_options_blackscholes_greeks($C$4,$C$5,$C$6,P12,$C$9,$C$10,$C$8,FALSE)</f>
        <v>17.096901149405888</v>
      </c>
      <c r="W12">
        <f>_xll.acq_options_trinomial_american_greeks($C$4,$C$5,$C$6,P12,$C$9,$C$10,$C$8,TRUE,500)</f>
        <v>8.6155333627550021</v>
      </c>
      <c r="X12">
        <f>_xll.acq_options_trinomial_american_greeks($C$4,$C$5,$C$6,P12,$C$9,$C$10,$C$8,FALSE)</f>
        <v>22.210377103114283</v>
      </c>
      <c r="Z12">
        <f t="shared" si="0"/>
        <v>-0.65567083829436656</v>
      </c>
    </row>
    <row r="13" spans="1:27" x14ac:dyDescent="0.25">
      <c r="F13">
        <v>90</v>
      </c>
      <c r="G13">
        <f>_xll.acq_options_bjerksund_greeks($C$4,$C$5,F13,$C$7,$C$9,$C$10,$C$8,TRUE)</f>
        <v>7.102541516770799</v>
      </c>
      <c r="H13">
        <f>_xll.acq_options_bjerksund_greeks($C$4,$C$5,F13,$C$7,$C$9,$C$10,$C$8,FALSE)</f>
        <v>13.629482806088344</v>
      </c>
      <c r="I13">
        <f>_xll.acq_options_binomial_american_greeks($C$4,$C$5,F13,$C$7,$C$9,$C$10,$C$8,TRUE,500)</f>
        <v>7.105659637756867</v>
      </c>
      <c r="J13">
        <f>_xll.acq_options_binomial_american_greeks($C$4,$C$5,F13,$C$7,$C$9,$C$10,$C$8,FALSE)</f>
        <v>13.678926821754601</v>
      </c>
      <c r="K13">
        <f>_xll.acq_options_trinomial_american_greeks($C$4,$C$5,F13,$C$7,$C$9,$C$10,$C$8,TRUE,500)</f>
        <v>7.1050671839426629</v>
      </c>
      <c r="L13">
        <f>_xll.acq_options_trinomial_american_greeks($C$4,$C$5,F13,$C$7,$C$9,$C$10,$C$8,FALSE,500)</f>
        <v>13.67667721163852</v>
      </c>
      <c r="M13">
        <f>_xll.acq_options_blackscholes_greeks($C$4,$C$5,F13,$C$7,$C$9,$C$10,$C$8,TRUE)</f>
        <v>7.0882590547425899</v>
      </c>
      <c r="N13">
        <f>_xll.acq_options_blackscholes_greeks($C$4,$C$5,F13,$C$7,$C$9,$C$10,$C$8,FALSE)</f>
        <v>12.164983490121045</v>
      </c>
      <c r="P13">
        <v>6</v>
      </c>
      <c r="Q13">
        <f>_xll.acq_options_bjerksund_greeks($C$4,$C$5,$C$6,$P13,$C$9,$C$10,$C$8,TRUE)</f>
        <v>9.8690906190489329</v>
      </c>
      <c r="R13">
        <f>_xll.acq_options_bjerksund_greeks($C$4,$C$5,$C$6,P13,$C$9,$C$10,$C$8,FALSE)</f>
        <v>22.477253634679737</v>
      </c>
      <c r="S13">
        <f>_xll.acq_options_binomial_american_greeks($C$4,$C$5,$C$6,P13,$C$9,$C$10,$C$8,TRUE,500)</f>
        <v>9.8784238870998458</v>
      </c>
      <c r="T13">
        <f>_xll.acq_options_binomial_american_greeks($C$4,$C$5,$C$6,P13,$C$9,$C$10,$C$8,FALSE)</f>
        <v>22.526416162511772</v>
      </c>
      <c r="U13">
        <f>_xll.acq_options_blackscholes_greeks($C$4,$C$5,$C$6,P13,$C$9,$C$10,$C$8,TRUE)</f>
        <v>9.6976621265012177</v>
      </c>
      <c r="V13">
        <f>_xll.acq_options_blackscholes_greeks($C$4,$C$5,$C$6,P13,$C$9,$C$10,$C$8,FALSE)</f>
        <v>16.535065848280055</v>
      </c>
      <c r="W13">
        <f>_xll.acq_options_trinomial_american_greeks($C$4,$C$5,$C$6,P13,$C$9,$C$10,$C$8,TRUE,500)</f>
        <v>9.8821952981193775</v>
      </c>
      <c r="X13">
        <f>_xll.acq_options_trinomial_american_greeks($C$4,$C$5,$C$6,P13,$C$9,$C$10,$C$8,FALSE)</f>
        <v>22.521623286708291</v>
      </c>
      <c r="Z13">
        <f t="shared" si="0"/>
        <v>-1.494885592317428</v>
      </c>
    </row>
    <row r="14" spans="1:27" x14ac:dyDescent="0.25">
      <c r="F14">
        <v>100</v>
      </c>
      <c r="G14">
        <f>_xll.acq_options_bjerksund_greeks($C$4,$C$5,F14,$C$7,$C$9,$C$10,$C$8,TRUE)</f>
        <v>4.5564752177547092</v>
      </c>
      <c r="H14">
        <f>_xll.acq_options_bjerksund_greeks($C$4,$C$5,F14,$C$7,$C$9,$C$10,$C$8,FALSE)</f>
        <v>21.046997807419487</v>
      </c>
      <c r="I14">
        <f>_xll.acq_options_binomial_american_greeks($C$4,$C$5,F14,$C$7,$C$9,$C$10,$C$8,TRUE,500)</f>
        <v>4.5560551169431056</v>
      </c>
      <c r="J14" s="43">
        <f>_xll.acq_options_binomial_american_greeks($C$4,$C$5,F14,$C$7,$C$9,$C$10,$C$8,FALSE)</f>
        <v>21.091955921688211</v>
      </c>
      <c r="K14">
        <f>_xll.acq_options_trinomial_american_greeks($C$4,$C$5,F14,$C$7,$C$9,$C$10,$C$8,TRUE,500)</f>
        <v>4.5576258454195173</v>
      </c>
      <c r="L14">
        <f>_xll.acq_options_trinomial_american_greeks($C$4,$C$5,F14,$C$7,$C$9,$C$10,$C$8,FALSE,500)</f>
        <v>21.090392408953964</v>
      </c>
      <c r="M14">
        <f>_xll.acq_options_blackscholes_greeks($C$4,$C$5,F14,$C$7,$C$9,$C$10,$C$8,TRUE)</f>
        <v>4.5511018468385949</v>
      </c>
      <c r="N14">
        <f>_xll.acq_options_blackscholes_greeks($C$4,$C$5,F14,$C$7,$C$9,$C$10,$C$8,FALSE)</f>
        <v>18.234906046467614</v>
      </c>
      <c r="P14">
        <v>7</v>
      </c>
      <c r="Q14">
        <f>_xll.acq_options_bjerksund_greeks($C$4,$C$5,$C$6,$P14,$C$9,$C$10,$C$8,TRUE)</f>
        <v>10.976626329711749</v>
      </c>
      <c r="R14">
        <f>_xll.acq_options_bjerksund_greeks($C$4,$C$5,$C$6,P14,$C$9,$C$10,$C$8,FALSE)</f>
        <v>22.737124892423981</v>
      </c>
      <c r="S14">
        <f>_xll.acq_options_binomial_american_greeks($C$4,$C$5,$C$6,P14,$C$9,$C$10,$C$8,TRUE,500)</f>
        <v>10.994300133623087</v>
      </c>
      <c r="T14">
        <f>_xll.acq_options_binomial_american_greeks($C$4,$C$5,$C$6,P14,$C$9,$C$10,$C$8,FALSE)</f>
        <v>22.78526027783365</v>
      </c>
      <c r="U14">
        <f>_xll.acq_options_blackscholes_greeks($C$4,$C$5,$C$6,P14,$C$9,$C$10,$C$8,TRUE)</f>
        <v>10.70055077793285</v>
      </c>
      <c r="V14">
        <f>_xll.acq_options_blackscholes_greeks($C$4,$C$5,$C$6,P14,$C$9,$C$10,$C$8,FALSE)</f>
        <v>15.942533442980483</v>
      </c>
      <c r="W14">
        <f>_xll.acq_options_trinomial_american_greeks($C$4,$C$5,$C$6,P14,$C$9,$C$10,$C$8,TRUE,500)</f>
        <v>10.9937639191799</v>
      </c>
      <c r="X14">
        <f>_xll.acq_options_trinomial_american_greeks($C$4,$C$5,$C$6,P14,$C$9,$C$10,$C$8,FALSE)</f>
        <v>22.780982213002527</v>
      </c>
      <c r="Z14">
        <f t="shared" si="0"/>
        <v>-2.8489623639054376</v>
      </c>
    </row>
    <row r="15" spans="1:27" x14ac:dyDescent="0.25">
      <c r="F15">
        <v>110</v>
      </c>
      <c r="G15">
        <f>_xll.acq_options_bjerksund_greeks($C$4,$C$5,F15,$C$7,$C$9,$C$10,$C$8,TRUE)</f>
        <v>2.8649835138199933</v>
      </c>
      <c r="H15">
        <f>_xll.acq_options_bjerksund_greeks($C$4,$C$5,F15,$C$7,$C$9,$C$10,$C$8,FALSE)</f>
        <v>30</v>
      </c>
      <c r="I15">
        <f>_xll.acq_options_binomial_american_greeks($C$4,$C$5,F15,$C$7,$C$9,$C$10,$C$8,TRUE,500)</f>
        <v>2.8658896425262248</v>
      </c>
      <c r="J15">
        <f>_xll.acq_options_binomial_american_greeks($C$4,$C$5,F15,$C$7,$C$9,$C$10,$C$8,FALSE)</f>
        <v>30.035232694413907</v>
      </c>
      <c r="K15">
        <f>_xll.acq_options_trinomial_american_greeks($C$4,$C$5,F15,$C$7,$C$9,$C$10,$C$8,TRUE,500)</f>
        <v>2.8641484870550871</v>
      </c>
      <c r="L15">
        <f>_xll.acq_options_trinomial_american_greeks($C$4,$C$5,F15,$C$7,$C$9,$C$10,$C$8,FALSE,500)</f>
        <v>30.037336547675785</v>
      </c>
      <c r="M15">
        <f>_xll.acq_options_blackscholes_greeks($C$4,$C$5,F15,$C$7,$C$9,$C$10,$C$8,TRUE)</f>
        <v>2.862930735575695</v>
      </c>
      <c r="N15">
        <f>_xll.acq_options_blackscholes_greeks($C$4,$C$5,F15,$C$7,$C$9,$C$10,$C$8,FALSE)</f>
        <v>25.153814699455282</v>
      </c>
      <c r="P15">
        <v>8</v>
      </c>
      <c r="Q15">
        <f>_xll.acq_options_bjerksund_greeks($C$4,$C$5,$C$6,$P15,$C$9,$C$10,$C$8,TRUE)</f>
        <v>11.953580710569064</v>
      </c>
      <c r="R15">
        <f>_xll.acq_options_bjerksund_greeks($C$4,$C$5,$C$6,P15,$C$9,$C$10,$C$8,FALSE)</f>
        <v>22.954984683416903</v>
      </c>
      <c r="S15">
        <f>_xll.acq_options_binomial_american_greeks($C$4,$C$5,$C$6,P15,$C$9,$C$10,$C$8,TRUE,500)</f>
        <v>11.974898991092967</v>
      </c>
      <c r="T15">
        <f>_xll.acq_options_binomial_american_greeks($C$4,$C$5,$C$6,P15,$C$9,$C$10,$C$8,FALSE)</f>
        <v>23.001839807411503</v>
      </c>
      <c r="U15">
        <f>_xll.acq_options_blackscholes_greeks($C$4,$C$5,$C$6,P15,$C$9,$C$10,$C$8,TRUE)</f>
        <v>11.546546232333785</v>
      </c>
      <c r="V15">
        <f>_xll.acq_options_blackscholes_greeks($C$4,$C$5,$C$6,P15,$C$9,$C$10,$C$8,FALSE)</f>
        <v>15.332962447052594</v>
      </c>
      <c r="W15">
        <f>_xll.acq_options_trinomial_american_greeks($C$4,$C$5,$C$6,P15,$C$9,$C$10,$C$8,TRUE,500)</f>
        <v>11.971555048494547</v>
      </c>
      <c r="X15">
        <f>_xll.acq_options_trinomial_american_greeks($C$4,$C$5,$C$6,P15,$C$9,$C$10,$C$8,FALSE)</f>
        <v>23.000735550756232</v>
      </c>
      <c r="Z15">
        <f t="shared" si="0"/>
        <v>-4.882304096741116</v>
      </c>
    </row>
    <row r="16" spans="1:27" x14ac:dyDescent="0.25">
      <c r="F16">
        <v>120</v>
      </c>
      <c r="G16">
        <f>_xll.acq_options_bjerksund_greeks($C$4,$C$5,F16,$C$7,$C$9,$C$10,$C$8,TRUE)</f>
        <v>1.7747808899319608</v>
      </c>
      <c r="H16">
        <f>_xll.acq_options_bjerksund_greeks($C$4,$C$5,F16,$C$7,$C$9,$C$10,$C$8,FALSE)</f>
        <v>40</v>
      </c>
      <c r="I16">
        <f>_xll.acq_options_binomial_american_greeks($C$4,$C$5,F16,$C$7,$C$9,$C$10,$C$8,TRUE,500)</f>
        <v>1.7752763323819662</v>
      </c>
      <c r="J16">
        <f>_xll.acq_options_binomial_american_greeks($C$4,$C$5,F16,$C$7,$C$9,$C$10,$C$8,FALSE)</f>
        <v>39.99999999999882</v>
      </c>
      <c r="K16">
        <f>_xll.acq_options_trinomial_american_greeks($C$4,$C$5,F16,$C$7,$C$9,$C$10,$C$8,TRUE,500)</f>
        <v>1.7749433956584808</v>
      </c>
      <c r="L16">
        <f>_xll.acq_options_trinomial_american_greeks($C$4,$C$5,F16,$C$7,$C$9,$C$10,$C$8,FALSE,500)</f>
        <v>40.000000000000014</v>
      </c>
      <c r="M16">
        <f>_xll.acq_options_blackscholes_greeks($C$4,$C$5,F16,$C$7,$C$9,$C$10,$C$8,TRUE)</f>
        <v>1.7739829852483062</v>
      </c>
      <c r="N16">
        <f>_xll.acq_options_blackscholes_greeks($C$4,$C$5,F16,$C$7,$C$9,$C$10,$C$8,FALSE)</f>
        <v>32.671946713378489</v>
      </c>
      <c r="P16">
        <v>9</v>
      </c>
      <c r="Q16">
        <f>_xll.acq_options_bjerksund_greeks($C$4,$C$5,$C$6,$P16,$C$9,$C$10,$C$8,TRUE)</f>
        <v>12.819088931134925</v>
      </c>
      <c r="R16">
        <f>_xll.acq_options_bjerksund_greeks($C$4,$C$5,$C$6,P16,$C$9,$C$10,$C$8,FALSE)</f>
        <v>23.139158276283936</v>
      </c>
      <c r="S16">
        <f>_xll.acq_options_binomial_american_greeks($C$4,$C$5,$C$6,P16,$C$9,$C$10,$C$8,TRUE,500)</f>
        <v>12.836107576563149</v>
      </c>
      <c r="T16">
        <f>_xll.acq_options_binomial_american_greeks($C$4,$C$5,$C$6,P16,$C$9,$C$10,$C$8,FALSE)</f>
        <v>23.185655001003557</v>
      </c>
      <c r="U16">
        <f>_xll.acq_options_blackscholes_greeks($C$4,$C$5,$C$6,P16,$C$9,$C$10,$C$8,TRUE)</f>
        <v>12.255754166105291</v>
      </c>
      <c r="V16">
        <f>_xll.acq_options_blackscholes_greeks($C$4,$C$5,$C$6,P16,$C$9,$C$10,$C$8,FALSE)</f>
        <v>14.71647331782178</v>
      </c>
      <c r="W16">
        <f>_xll.acq_options_trinomial_american_greeks($C$4,$C$5,$C$6,P16,$C$9,$C$10,$C$8,TRUE,500)</f>
        <v>12.836507128490545</v>
      </c>
      <c r="X16">
        <f>_xll.acq_options_trinomial_american_greeks($C$4,$C$5,$C$6,P16,$C$9,$C$10,$C$8,FALSE)</f>
        <v>23.184663050501612</v>
      </c>
      <c r="Z16">
        <f t="shared" si="0"/>
        <v>-7.3270928762113705</v>
      </c>
    </row>
    <row r="17" spans="2:26" ht="15.75" thickBot="1" x14ac:dyDescent="0.3">
      <c r="B17" s="3" t="s">
        <v>169</v>
      </c>
      <c r="F17">
        <v>130</v>
      </c>
      <c r="G17">
        <f>_xll.acq_options_bjerksund_greeks($C$4,$C$5,F17,$C$7,$C$9,$C$10,$C$8,TRUE)</f>
        <v>1.0877976643522516</v>
      </c>
      <c r="H17">
        <f>_xll.acq_options_bjerksund_greeks($C$4,$C$5,F17,$C$7,$C$9,$C$10,$C$8,FALSE)</f>
        <v>50</v>
      </c>
      <c r="I17">
        <f>_xll.acq_options_binomial_american_greeks($C$4,$C$5,F17,$C$7,$C$9,$C$10,$C$8,TRUE,500)</f>
        <v>1.0859947582280787</v>
      </c>
      <c r="J17">
        <f>_xll.acq_options_binomial_american_greeks($C$4,$C$5,F17,$C$7,$C$9,$C$10,$C$8,FALSE)</f>
        <v>49.99999999999882</v>
      </c>
      <c r="K17">
        <f>_xll.acq_options_trinomial_american_greeks($C$4,$C$5,F17,$C$7,$C$9,$C$10,$C$8,TRUE,500)</f>
        <v>1.0875315364274123</v>
      </c>
      <c r="L17">
        <f>_xll.acq_options_trinomial_american_greeks($C$4,$C$5,F17,$C$7,$C$9,$C$10,$C$8,FALSE,500)</f>
        <v>50.000000000000014</v>
      </c>
      <c r="M17">
        <f>_xll.acq_options_blackscholes_greeks($C$4,$C$5,F17,$C$7,$C$9,$C$10,$C$8,TRUE)</f>
        <v>1.0874817137678168</v>
      </c>
      <c r="N17">
        <f>_xll.acq_options_blackscholes_greeks($C$4,$C$5,F17,$C$7,$C$9,$C$10,$C$8,FALSE)</f>
        <v>40.592525206148579</v>
      </c>
      <c r="P17">
        <v>10</v>
      </c>
      <c r="Q17">
        <f>_xll.acq_options_bjerksund_greeks($C$4,$C$5,$C$6,$P17,$C$9,$C$10,$C$8,TRUE)</f>
        <v>13.588657407426926</v>
      </c>
      <c r="R17">
        <f>_xll.acq_options_bjerksund_greeks($C$4,$C$5,$C$6,P17,$C$9,$C$10,$C$8,FALSE)</f>
        <v>23.296007166975251</v>
      </c>
      <c r="S17">
        <f>_xll.acq_options_binomial_american_greeks($C$4,$C$5,$C$6,P17,$C$9,$C$10,$C$8,TRUE,500)</f>
        <v>13.602428476058812</v>
      </c>
      <c r="T17">
        <f>_xll.acq_options_binomial_american_greeks($C$4,$C$5,$C$6,P17,$C$9,$C$10,$C$8,FALSE)</f>
        <v>23.340300244311813</v>
      </c>
      <c r="U17">
        <f>_xll.acq_options_blackscholes_greeks($C$4,$C$5,$C$6,P17,$C$9,$C$10,$C$8,TRUE)</f>
        <v>12.845018758126805</v>
      </c>
      <c r="V17">
        <f>_xll.acq_options_blackscholes_greeks($C$4,$C$5,$C$6,P17,$C$9,$C$10,$C$8,FALSE)</f>
        <v>14.1005786846783</v>
      </c>
      <c r="W17">
        <f>_xll.acq_options_trinomial_american_greeks($C$4,$C$5,$C$6,P17,$C$9,$C$10,$C$8,TRUE,500)</f>
        <v>13.610353346017032</v>
      </c>
      <c r="X17">
        <f>_xll.acq_options_trinomial_american_greeks($C$4,$C$5,$C$6,P17,$C$9,$C$10,$C$8,FALSE)</f>
        <v>23.340568738630711</v>
      </c>
      <c r="Z17">
        <f t="shared" si="0"/>
        <v>-9.4074249711918583</v>
      </c>
    </row>
    <row r="18" spans="2:26" x14ac:dyDescent="0.25">
      <c r="B18" t="s">
        <v>99</v>
      </c>
      <c r="F18">
        <v>140</v>
      </c>
      <c r="G18">
        <f>_xll.acq_options_bjerksund_greeks($C$4,$C$5,F18,$C$7,$C$9,$C$10,$C$8,TRUE)</f>
        <v>0.66194442960889432</v>
      </c>
      <c r="H18">
        <f>_xll.acq_options_bjerksund_greeks($C$4,$C$5,F18,$C$7,$C$9,$C$10,$C$8,FALSE)</f>
        <v>60</v>
      </c>
      <c r="I18">
        <f>_xll.acq_options_binomial_american_greeks($C$4,$C$5,F18,$C$7,$C$9,$C$10,$C$8,TRUE,500)</f>
        <v>0.66062760556418976</v>
      </c>
      <c r="J18">
        <f>_xll.acq_options_binomial_american_greeks($C$4,$C$5,F18,$C$7,$C$9,$C$10,$C$8,FALSE)</f>
        <v>59.99999999999882</v>
      </c>
      <c r="K18">
        <f>_xll.acq_options_trinomial_american_greeks($C$4,$C$5,F18,$C$7,$C$9,$C$10,$C$8,TRUE,500)</f>
        <v>0.66035216158533605</v>
      </c>
      <c r="L18">
        <f>_xll.acq_options_trinomial_american_greeks($C$4,$C$5,F18,$C$7,$C$9,$C$10,$C$8,FALSE,500)</f>
        <v>60.000000000000014</v>
      </c>
      <c r="M18">
        <f>_xll.acq_options_blackscholes_greeks($C$4,$C$5,F18,$C$7,$C$9,$C$10,$C$8,TRUE)</f>
        <v>0.66181689423987855</v>
      </c>
      <c r="N18">
        <f>_xll.acq_options_blackscholes_greeks($C$4,$C$5,F18,$C$7,$C$9,$C$10,$C$8,FALSE)</f>
        <v>48.773940150871198</v>
      </c>
      <c r="P18">
        <v>11</v>
      </c>
      <c r="Q18">
        <f>_xll.acq_options_bjerksund_greeks($C$4,$C$5,$C$6,$P18,$C$9,$C$10,$C$8,TRUE)</f>
        <v>14.275042748570662</v>
      </c>
      <c r="R18">
        <f>_xll.acq_options_bjerksund_greeks($C$4,$C$5,$C$6,P18,$C$9,$C$10,$C$8,FALSE)</f>
        <v>23.430456199878812</v>
      </c>
      <c r="S18">
        <f>_xll.acq_options_binomial_american_greeks($C$4,$C$5,$C$6,P18,$C$9,$C$10,$C$8,TRUE,500)</f>
        <v>14.295498438240386</v>
      </c>
      <c r="T18">
        <f>_xll.acq_options_binomial_american_greeks($C$4,$C$5,$C$6,P18,$C$9,$C$10,$C$8,FALSE)</f>
        <v>23.47315978238187</v>
      </c>
      <c r="U18">
        <f>_xll.acq_options_blackscholes_greeks($C$4,$C$5,$C$6,P18,$C$9,$C$10,$C$8,TRUE)</f>
        <v>13.32864340022109</v>
      </c>
      <c r="V18">
        <f>_xll.acq_options_blackscholes_greeks($C$4,$C$5,$C$6,P18,$C$9,$C$10,$C$8,FALSE)</f>
        <v>13.490863162739707</v>
      </c>
      <c r="W18">
        <f>_xll.acq_options_trinomial_american_greeks($C$4,$C$5,$C$6,P18,$C$9,$C$10,$C$8,TRUE,500)</f>
        <v>14.296489058553618</v>
      </c>
      <c r="X18">
        <f>_xll.acq_options_trinomial_american_greeks($C$4,$C$5,$C$6,P18,$C$9,$C$10,$C$8,FALSE)</f>
        <v>23.470588501533062</v>
      </c>
      <c r="Z18">
        <f t="shared" si="0"/>
        <v>-11.227524581783356</v>
      </c>
    </row>
    <row r="19" spans="2:26" x14ac:dyDescent="0.25">
      <c r="B19" t="s">
        <v>100</v>
      </c>
      <c r="F19">
        <v>150</v>
      </c>
      <c r="G19">
        <f>_xll.acq_options_bjerksund_greeks($C$4,$C$5,F19,$C$7,$C$9,$C$10,$C$8,TRUE)</f>
        <v>0.40100452141440712</v>
      </c>
      <c r="H19">
        <f>_xll.acq_options_bjerksund_greeks($C$4,$C$5,F19,$C$7,$C$9,$C$10,$C$8,FALSE)</f>
        <v>70</v>
      </c>
      <c r="I19">
        <f>_xll.acq_options_binomial_american_greeks($C$4,$C$5,F19,$C$7,$C$9,$C$10,$C$8,TRUE,500)</f>
        <v>0.39967596050848903</v>
      </c>
      <c r="J19">
        <f>_xll.acq_options_binomial_american_greeks($C$4,$C$5,F19,$C$7,$C$9,$C$10,$C$8,FALSE)</f>
        <v>69.99999999999882</v>
      </c>
      <c r="K19">
        <f>_xll.acq_options_trinomial_american_greeks($C$4,$C$5,F19,$C$7,$C$9,$C$10,$C$8,TRUE,500)</f>
        <v>0.40069869352047782</v>
      </c>
      <c r="L19">
        <f>_xll.acq_options_trinomial_american_greeks($C$4,$C$5,F19,$C$7,$C$9,$C$10,$C$8,FALSE,500)</f>
        <v>70.000000000000014</v>
      </c>
      <c r="M19">
        <f>_xll.acq_options_blackscholes_greeks($C$4,$C$5,F19,$C$7,$C$9,$C$10,$C$8,TRUE)</f>
        <v>0.40095203195998286</v>
      </c>
      <c r="N19">
        <f>_xll.acq_options_blackscholes_greeks($C$4,$C$5,F19,$C$7,$C$9,$C$10,$C$8,FALSE)</f>
        <v>57.120155052841895</v>
      </c>
      <c r="P19">
        <v>12</v>
      </c>
      <c r="Q19">
        <f>_xll.acq_options_bjerksund_greeks($C$4,$C$5,$C$6,$P19,$C$9,$C$10,$C$8,TRUE)</f>
        <v>14.888875484549732</v>
      </c>
      <c r="R19">
        <f>_xll.acq_options_bjerksund_greeks($C$4,$C$5,$C$6,P19,$C$9,$C$10,$C$8,FALSE)</f>
        <v>23.546368284992187</v>
      </c>
      <c r="S19">
        <f>_xll.acq_options_binomial_american_greeks($C$4,$C$5,$C$6,P19,$C$9,$C$10,$C$8,TRUE,500)</f>
        <v>14.911991152854359</v>
      </c>
      <c r="T19">
        <f>_xll.acq_options_binomial_american_greeks($C$4,$C$5,$C$6,P19,$C$9,$C$10,$C$8,FALSE)</f>
        <v>23.584843510692622</v>
      </c>
      <c r="U19">
        <f>_xll.acq_options_blackscholes_greeks($C$4,$C$5,$C$6,P19,$C$9,$C$10,$C$8,TRUE)</f>
        <v>13.718916522506802</v>
      </c>
      <c r="V19">
        <f>_xll.acq_options_blackscholes_greeks($C$4,$C$5,$C$6,P19,$C$9,$C$10,$C$8,FALSE)</f>
        <v>12.891470774012703</v>
      </c>
      <c r="W19">
        <f>_xll.acq_options_trinomial_american_greeks($C$4,$C$5,$C$6,P19,$C$9,$C$10,$C$8,TRUE,500)</f>
        <v>14.907287728066489</v>
      </c>
      <c r="X19">
        <f>_xll.acq_options_trinomial_american_greeks($C$4,$C$5,$C$6,P19,$C$9,$C$10,$C$8,FALSE)</f>
        <v>23.579038532429529</v>
      </c>
      <c r="Z19">
        <f t="shared" si="0"/>
        <v>-12.880098285597633</v>
      </c>
    </row>
    <row r="20" spans="2:26" x14ac:dyDescent="0.25">
      <c r="B20" t="s">
        <v>101</v>
      </c>
      <c r="F20">
        <v>160</v>
      </c>
      <c r="G20">
        <f>_xll.acq_options_bjerksund_greeks($C$4,$C$5,F20,$C$7,$C$9,$C$10,$C$8,TRUE)</f>
        <v>0.24236350083225489</v>
      </c>
      <c r="H20">
        <f>_xll.acq_options_bjerksund_greeks($C$4,$C$5,F20,$C$7,$C$9,$C$10,$C$8,FALSE)</f>
        <v>80</v>
      </c>
      <c r="I20">
        <f>_xll.acq_options_binomial_american_greeks($C$4,$C$5,F20,$C$7,$C$9,$C$10,$C$8,TRUE,500)</f>
        <v>0.24169918851687733</v>
      </c>
      <c r="J20">
        <f>_xll.acq_options_binomial_american_greeks($C$4,$C$5,F20,$C$7,$C$9,$C$10,$C$8,FALSE)</f>
        <v>79.99999999999882</v>
      </c>
      <c r="K20">
        <f>_xll.acq_options_trinomial_american_greeks($C$4,$C$5,F20,$C$7,$C$9,$C$10,$C$8,TRUE,500)</f>
        <v>0.24197271431601239</v>
      </c>
      <c r="L20">
        <f>_xll.acq_options_trinomial_american_greeks($C$4,$C$5,F20,$C$7,$C$9,$C$10,$C$8,FALSE,500)</f>
        <v>80.000000000000014</v>
      </c>
      <c r="M20">
        <f>_xll.acq_options_blackscholes_greeks($C$4,$C$5,F20,$C$7,$C$9,$C$10,$C$8,TRUE)</f>
        <v>0.24234147714966259</v>
      </c>
      <c r="N20">
        <f>_xll.acq_options_blackscholes_greeks($C$4,$C$5,F20,$C$7,$C$9,$C$10,$C$8,FALSE)</f>
        <v>65.568624262282157</v>
      </c>
      <c r="P20">
        <v>13</v>
      </c>
      <c r="Q20">
        <f>_xll.acq_options_bjerksund_greeks($C$4,$C$5,$C$6,$P20,$C$9,$C$10,$C$8,TRUE)</f>
        <v>15.43911053354682</v>
      </c>
      <c r="R20">
        <f>_xll.acq_options_bjerksund_greeks($C$4,$C$5,$C$6,P20,$C$9,$C$10,$C$8,FALSE)</f>
        <v>23.646810681268672</v>
      </c>
      <c r="S20">
        <f>_xll.acq_options_binomial_american_greeks($C$4,$C$5,$C$6,P20,$C$9,$C$10,$C$8,TRUE,500)</f>
        <v>15.462162648753464</v>
      </c>
      <c r="T20">
        <f>_xll.acq_options_binomial_american_greeks($C$4,$C$5,$C$6,P20,$C$9,$C$10,$C$8,FALSE)</f>
        <v>23.680439775099803</v>
      </c>
      <c r="U20">
        <f>_xll.acq_options_blackscholes_greeks($C$4,$C$5,$C$6,P20,$C$9,$C$10,$C$8,TRUE)</f>
        <v>14.026499138914556</v>
      </c>
      <c r="V20">
        <f>_xll.acq_options_blackscholes_greeks($C$4,$C$5,$C$6,P20,$C$9,$C$10,$C$8,FALSE)</f>
        <v>12.305456431821359</v>
      </c>
      <c r="W20">
        <f>_xll.acq_options_trinomial_american_greeks($C$4,$C$5,$C$6,P20,$C$9,$C$10,$C$8,TRUE,500)</f>
        <v>15.457808393273426</v>
      </c>
      <c r="X20">
        <f>_xll.acq_options_trinomial_american_greeks($C$4,$C$5,$C$6,P20,$C$9,$C$10,$C$8,FALSE)</f>
        <v>23.671109322291649</v>
      </c>
      <c r="Z20">
        <f t="shared" si="0"/>
        <v>-14.431744500551531</v>
      </c>
    </row>
    <row r="21" spans="2:26" x14ac:dyDescent="0.25">
      <c r="B21" t="s">
        <v>102</v>
      </c>
      <c r="F21">
        <v>170</v>
      </c>
      <c r="G21">
        <f>_xll.acq_options_bjerksund_greeks($C$4,$C$5,F21,$C$7,$C$9,$C$10,$C$8,TRUE)</f>
        <v>0.14639028291574618</v>
      </c>
      <c r="H21">
        <f>_xll.acq_options_bjerksund_greeks($C$4,$C$5,F21,$C$7,$C$9,$C$10,$C$8,FALSE)</f>
        <v>90</v>
      </c>
      <c r="I21">
        <f>_xll.acq_options_binomial_american_greeks($C$4,$C$5,F21,$C$7,$C$9,$C$10,$C$8,TRUE,500)</f>
        <v>0.14568502917523413</v>
      </c>
      <c r="J21">
        <f>_xll.acq_options_binomial_american_greeks($C$4,$C$5,F21,$C$7,$C$9,$C$10,$C$8,FALSE)</f>
        <v>89.99999999999882</v>
      </c>
      <c r="K21">
        <f>_xll.acq_options_trinomial_american_greeks($C$4,$C$5,F21,$C$7,$C$9,$C$10,$C$8,TRUE,500)</f>
        <v>0.14601281191060614</v>
      </c>
      <c r="L21">
        <f>_xll.acq_options_trinomial_american_greeks($C$4,$C$5,F21,$C$7,$C$9,$C$10,$C$8,FALSE,500)</f>
        <v>90.000000000000014</v>
      </c>
      <c r="M21">
        <f>_xll.acq_options_blackscholes_greeks($C$4,$C$5,F21,$C$7,$C$9,$C$10,$C$8,TRUE)</f>
        <v>0.14638086539598461</v>
      </c>
      <c r="N21">
        <f>_xll.acq_options_blackscholes_greeks($C$4,$C$5,F21,$C$7,$C$9,$C$10,$C$8,FALSE)</f>
        <v>74.079743414779045</v>
      </c>
      <c r="P21">
        <v>14</v>
      </c>
      <c r="Q21">
        <f>_xll.acq_options_bjerksund_greeks($C$4,$C$5,$C$6,$P21,$C$9,$C$10,$C$8,TRUE)</f>
        <v>15.933359702623587</v>
      </c>
      <c r="R21">
        <f>_xll.acq_options_bjerksund_greeks($C$4,$C$5,$C$6,P21,$C$9,$C$10,$C$8,FALSE)</f>
        <v>23.734246158697331</v>
      </c>
      <c r="S21">
        <f>_xll.acq_options_binomial_american_greeks($C$4,$C$5,$C$6,P21,$C$9,$C$10,$C$8,TRUE,500)</f>
        <v>15.954537142435116</v>
      </c>
      <c r="T21">
        <f>_xll.acq_options_binomial_american_greeks($C$4,$C$5,$C$6,P21,$C$9,$C$10,$C$8,FALSE)</f>
        <v>23.769689047142705</v>
      </c>
      <c r="U21">
        <f>_xll.acq_options_blackscholes_greeks($C$4,$C$5,$C$6,P21,$C$9,$C$10,$C$8,TRUE)</f>
        <v>14.260715508430181</v>
      </c>
      <c r="V21">
        <f>_xll.acq_options_blackscholes_greeks($C$4,$C$5,$C$6,P21,$C$9,$C$10,$C$8,FALSE)</f>
        <v>11.73504274343296</v>
      </c>
      <c r="W21">
        <f>_xll.acq_options_trinomial_american_greeks($C$4,$C$5,$C$6,P21,$C$9,$C$10,$C$8,TRUE,500)</f>
        <v>15.954057435044053</v>
      </c>
      <c r="X21">
        <f>_xll.acq_options_trinomial_american_greeks($C$4,$C$5,$C$6,P21,$C$9,$C$10,$C$8,FALSE)</f>
        <v>23.752446518069757</v>
      </c>
      <c r="Z21">
        <f t="shared" si="0"/>
        <v>-15.920624638706357</v>
      </c>
    </row>
    <row r="22" spans="2:26" x14ac:dyDescent="0.25">
      <c r="B22" t="s">
        <v>103</v>
      </c>
    </row>
    <row r="23" spans="2:26" x14ac:dyDescent="0.25">
      <c r="B23" t="s">
        <v>104</v>
      </c>
    </row>
    <row r="24" spans="2:26" x14ac:dyDescent="0.25">
      <c r="B24" t="s">
        <v>105</v>
      </c>
    </row>
    <row r="25" spans="2:26" x14ac:dyDescent="0.25">
      <c r="B25" t="s">
        <v>106</v>
      </c>
    </row>
    <row r="54" spans="6:20" x14ac:dyDescent="0.25">
      <c r="F54" s="13"/>
      <c r="T54" s="13"/>
    </row>
    <row r="55" spans="6:20" x14ac:dyDescent="0.25">
      <c r="F55" s="13"/>
      <c r="T55" s="13"/>
    </row>
    <row r="56" spans="6:20" x14ac:dyDescent="0.25">
      <c r="F56" s="13"/>
      <c r="T56" s="13"/>
    </row>
    <row r="57" spans="6:20" x14ac:dyDescent="0.25">
      <c r="F57" s="13"/>
      <c r="T57" s="13"/>
    </row>
  </sheetData>
  <mergeCells count="9">
    <mergeCell ref="W3:X3"/>
    <mergeCell ref="P3:R3"/>
    <mergeCell ref="S3:T3"/>
    <mergeCell ref="U3:V3"/>
    <mergeCell ref="A1:G1"/>
    <mergeCell ref="F3:H3"/>
    <mergeCell ref="I3:J3"/>
    <mergeCell ref="M3:N3"/>
    <mergeCell ref="K3:L3"/>
  </mergeCells>
  <dataValidations count="1">
    <dataValidation type="list" allowBlank="1" showInputMessage="1" showErrorMessage="1" sqref="C4" xr:uid="{0143FBA1-C7DA-494A-8D8A-90DE5E7148A0}">
      <formula1>$B$18:$B$25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Utils</vt:lpstr>
      <vt:lpstr>SABR</vt:lpstr>
      <vt:lpstr>Black</vt:lpstr>
      <vt:lpstr>Bachelier</vt:lpstr>
      <vt:lpstr>BlackScholes</vt:lpstr>
      <vt:lpstr>BjerksundStensland2002</vt:lpstr>
      <vt:lpstr>BinomialAmerican</vt:lpstr>
      <vt:lpstr>TrinomialAmerican</vt:lpstr>
      <vt:lpstr>Comparison-American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2022-01-03T00:00:17Z</dcterms:modified>
</cp:coreProperties>
</file>