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P:\Dev\dotnet\Sirius\sirius\wwwroot\files\"/>
    </mc:Choice>
  </mc:AlternateContent>
  <xr:revisionPtr revIDLastSave="0" documentId="13_ncr:1_{640CD79A-AD08-4641-82F3-E123F333062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ORD MONDAY" sheetId="2" r:id="rId1"/>
    <sheet name="ОПЕРАТИВКА пн-пн" sheetId="1" r:id="rId2"/>
    <sheet name="баланс" sheetId="3" r:id="rId3"/>
    <sheet name="Сверка 310" sheetId="4" r:id="rId4"/>
    <sheet name="Сверка 310 пред.мес." sheetId="5" r:id="rId5"/>
    <sheet name="references" sheetId="6" r:id="rId6"/>
  </sheets>
  <externalReferences>
    <externalReference r:id="rId7"/>
    <externalReference r:id="rId8"/>
  </externalReferences>
  <definedNames>
    <definedName name="_xlnm.Print_Titles" localSheetId="1">'ОПЕРАТИВКА пн-пн'!$A:$C</definedName>
    <definedName name="_xlnm.Print_Area" localSheetId="0">'WORD MONDAY'!$A$1:$D$76</definedName>
    <definedName name="_xlnm.Print_Area" localSheetId="2">баланс!$B$1:$S$74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" l="1"/>
  <c r="A31" i="2" s="1"/>
  <c r="K30" i="2"/>
  <c r="A30" i="2" s="1"/>
  <c r="K21" i="2"/>
  <c r="K24" i="2"/>
  <c r="K25" i="2"/>
  <c r="K26" i="2"/>
  <c r="K27" i="2"/>
  <c r="C82" i="3"/>
  <c r="K19" i="2" s="1"/>
  <c r="A19" i="2" s="1"/>
  <c r="AI6" i="4" l="1"/>
  <c r="AI5" i="4"/>
  <c r="P19" i="3"/>
  <c r="K22" i="2" l="1"/>
  <c r="A28" i="2"/>
  <c r="K28" i="2"/>
  <c r="B85" i="3" l="1"/>
  <c r="B82" i="3"/>
  <c r="A1" i="2"/>
  <c r="R20" i="3"/>
  <c r="P20" i="3"/>
  <c r="O20" i="3"/>
  <c r="O19" i="3"/>
  <c r="F10" i="3"/>
  <c r="C93" i="3"/>
  <c r="B93" i="3"/>
  <c r="C92" i="3"/>
  <c r="B92" i="3"/>
  <c r="C90" i="3"/>
  <c r="C89" i="3"/>
  <c r="C88" i="3"/>
  <c r="B88" i="3"/>
  <c r="R78" i="3"/>
  <c r="N78" i="3"/>
  <c r="J78" i="3"/>
  <c r="F78" i="3"/>
  <c r="S78" i="3" s="1"/>
  <c r="R77" i="3"/>
  <c r="N77" i="3"/>
  <c r="J77" i="3"/>
  <c r="F77" i="3"/>
  <c r="S77" i="3" s="1"/>
  <c r="R76" i="3"/>
  <c r="S76" i="3" s="1"/>
  <c r="N76" i="3"/>
  <c r="J76" i="3"/>
  <c r="F76" i="3"/>
  <c r="AQ115" i="5"/>
  <c r="AI115" i="5"/>
  <c r="AQ114" i="5"/>
  <c r="AI114" i="5"/>
  <c r="AQ113" i="5"/>
  <c r="AI113" i="5"/>
  <c r="AQ111" i="5"/>
  <c r="AK111" i="5"/>
  <c r="AJ111" i="5"/>
  <c r="AI111" i="5"/>
  <c r="AQ110" i="5"/>
  <c r="AK110" i="5"/>
  <c r="AJ110" i="5"/>
  <c r="AI110" i="5"/>
  <c r="AQ109" i="5"/>
  <c r="AK109" i="5"/>
  <c r="AJ109" i="5"/>
  <c r="AI109" i="5"/>
  <c r="AQ108" i="5"/>
  <c r="AK108" i="5"/>
  <c r="AJ108" i="5"/>
  <c r="AI108" i="5"/>
  <c r="AQ107" i="5"/>
  <c r="AK107" i="5"/>
  <c r="AJ107" i="5"/>
  <c r="AI107" i="5"/>
  <c r="AQ106" i="5"/>
  <c r="AK106" i="5"/>
  <c r="AJ106" i="5"/>
  <c r="AI106" i="5"/>
  <c r="AQ105" i="5"/>
  <c r="AK105" i="5"/>
  <c r="AJ105" i="5"/>
  <c r="AI105" i="5"/>
  <c r="AQ104" i="5"/>
  <c r="AK104" i="5"/>
  <c r="AJ104" i="5"/>
  <c r="AI104" i="5"/>
  <c r="AQ103" i="5"/>
  <c r="AK103" i="5"/>
  <c r="AJ103" i="5"/>
  <c r="AI103" i="5"/>
  <c r="AQ102" i="5"/>
  <c r="AK102" i="5"/>
  <c r="AJ102" i="5"/>
  <c r="AI102" i="5"/>
  <c r="AQ101" i="5"/>
  <c r="AK101" i="5"/>
  <c r="AJ101" i="5"/>
  <c r="AI101" i="5"/>
  <c r="AQ100" i="5"/>
  <c r="AK100" i="5"/>
  <c r="AJ100" i="5"/>
  <c r="AI100" i="5"/>
  <c r="AQ99" i="5"/>
  <c r="AK99" i="5"/>
  <c r="AJ99" i="5"/>
  <c r="AI99" i="5"/>
  <c r="AQ98" i="5"/>
  <c r="AK98" i="5"/>
  <c r="AJ98" i="5"/>
  <c r="AI98" i="5"/>
  <c r="AJ97" i="5"/>
  <c r="AH97" i="5"/>
  <c r="AG97" i="5"/>
  <c r="AG93" i="5" s="1"/>
  <c r="AF97" i="5"/>
  <c r="AE97" i="5"/>
  <c r="AD97" i="5"/>
  <c r="AC97" i="5"/>
  <c r="AB97" i="5"/>
  <c r="AA97" i="5"/>
  <c r="Z97" i="5"/>
  <c r="Y97" i="5"/>
  <c r="X97" i="5"/>
  <c r="W97" i="5"/>
  <c r="V97" i="5"/>
  <c r="U97" i="5"/>
  <c r="U93" i="5" s="1"/>
  <c r="T97" i="5"/>
  <c r="S97" i="5"/>
  <c r="R97" i="5"/>
  <c r="Q97" i="5"/>
  <c r="Q93" i="5" s="1"/>
  <c r="P97" i="5"/>
  <c r="P93" i="5" s="1"/>
  <c r="O97" i="5"/>
  <c r="N97" i="5"/>
  <c r="N93" i="5" s="1"/>
  <c r="M97" i="5"/>
  <c r="M93" i="5" s="1"/>
  <c r="L97" i="5"/>
  <c r="L93" i="5" s="1"/>
  <c r="K97" i="5"/>
  <c r="K93" i="5" s="1"/>
  <c r="J97" i="5"/>
  <c r="J93" i="5" s="1"/>
  <c r="I97" i="5"/>
  <c r="I93" i="5" s="1"/>
  <c r="H97" i="5"/>
  <c r="H93" i="5" s="1"/>
  <c r="G97" i="5"/>
  <c r="G93" i="5" s="1"/>
  <c r="F97" i="5"/>
  <c r="F93" i="5" s="1"/>
  <c r="E97" i="5"/>
  <c r="E93" i="5" s="1"/>
  <c r="D97" i="5"/>
  <c r="AI97" i="5" s="1"/>
  <c r="AQ96" i="5"/>
  <c r="AK96" i="5"/>
  <c r="AJ96" i="5"/>
  <c r="AI96" i="5"/>
  <c r="AQ95" i="5"/>
  <c r="AK95" i="5"/>
  <c r="AJ95" i="5"/>
  <c r="AI95" i="5"/>
  <c r="AQ94" i="5"/>
  <c r="AK94" i="5"/>
  <c r="AJ94" i="5"/>
  <c r="AI94" i="5"/>
  <c r="AH93" i="5"/>
  <c r="AF93" i="5"/>
  <c r="AE93" i="5"/>
  <c r="AD93" i="5"/>
  <c r="AC93" i="5"/>
  <c r="AB93" i="5"/>
  <c r="AA93" i="5"/>
  <c r="Z93" i="5"/>
  <c r="Y93" i="5"/>
  <c r="X93" i="5"/>
  <c r="W93" i="5"/>
  <c r="V93" i="5"/>
  <c r="T93" i="5"/>
  <c r="S93" i="5"/>
  <c r="R93" i="5"/>
  <c r="O93" i="5"/>
  <c r="AK92" i="5"/>
  <c r="AJ92" i="5"/>
  <c r="AI92" i="5"/>
  <c r="AQ91" i="5"/>
  <c r="AK91" i="5"/>
  <c r="AJ91" i="5"/>
  <c r="AI91" i="5"/>
  <c r="AQ90" i="5"/>
  <c r="AK90" i="5"/>
  <c r="AJ90" i="5"/>
  <c r="AI90" i="5"/>
  <c r="AQ89" i="5"/>
  <c r="AK89" i="5"/>
  <c r="AJ89" i="5"/>
  <c r="AI89" i="5"/>
  <c r="AQ88" i="5"/>
  <c r="AK88" i="5"/>
  <c r="AJ88" i="5"/>
  <c r="AI88" i="5"/>
  <c r="AQ87" i="5"/>
  <c r="AK87" i="5"/>
  <c r="AJ87" i="5"/>
  <c r="AI87" i="5"/>
  <c r="AQ86" i="5"/>
  <c r="AK86" i="5"/>
  <c r="AJ86" i="5"/>
  <c r="AI86" i="5"/>
  <c r="AQ85" i="5"/>
  <c r="AK85" i="5"/>
  <c r="AJ85" i="5"/>
  <c r="AI85" i="5"/>
  <c r="AQ84" i="5"/>
  <c r="AK84" i="5"/>
  <c r="AJ84" i="5"/>
  <c r="AI84" i="5"/>
  <c r="AQ83" i="5"/>
  <c r="AK83" i="5"/>
  <c r="AJ83" i="5"/>
  <c r="AI83" i="5"/>
  <c r="AQ82" i="5"/>
  <c r="AK82" i="5"/>
  <c r="AJ82" i="5"/>
  <c r="AI82" i="5"/>
  <c r="AQ81" i="5"/>
  <c r="AK81" i="5"/>
  <c r="AJ81" i="5"/>
  <c r="AI81" i="5"/>
  <c r="AK80" i="5"/>
  <c r="AI80" i="5"/>
  <c r="AH80" i="5"/>
  <c r="AG80" i="5"/>
  <c r="AF80" i="5"/>
  <c r="AF77" i="5" s="1"/>
  <c r="AE80" i="5"/>
  <c r="AD80" i="5"/>
  <c r="AC80" i="5"/>
  <c r="AB80" i="5"/>
  <c r="AA80" i="5"/>
  <c r="Z80" i="5"/>
  <c r="Y80" i="5"/>
  <c r="X80" i="5"/>
  <c r="W80" i="5"/>
  <c r="V80" i="5"/>
  <c r="U80" i="5"/>
  <c r="T80" i="5"/>
  <c r="T77" i="5" s="1"/>
  <c r="S80" i="5"/>
  <c r="S77" i="5" s="1"/>
  <c r="R80" i="5"/>
  <c r="Q80" i="5"/>
  <c r="P80" i="5"/>
  <c r="O80" i="5"/>
  <c r="N80" i="5"/>
  <c r="M80" i="5"/>
  <c r="L80" i="5"/>
  <c r="L77" i="5" s="1"/>
  <c r="K80" i="5"/>
  <c r="K77" i="5" s="1"/>
  <c r="J80" i="5"/>
  <c r="J77" i="5" s="1"/>
  <c r="I80" i="5"/>
  <c r="I77" i="5" s="1"/>
  <c r="H80" i="5"/>
  <c r="H77" i="5" s="1"/>
  <c r="G80" i="5"/>
  <c r="G77" i="5" s="1"/>
  <c r="F80" i="5"/>
  <c r="F77" i="5" s="1"/>
  <c r="E80" i="5"/>
  <c r="E77" i="5" s="1"/>
  <c r="D80" i="5"/>
  <c r="D77" i="5" s="1"/>
  <c r="AQ79" i="5"/>
  <c r="AK79" i="5"/>
  <c r="AJ79" i="5"/>
  <c r="AI79" i="5"/>
  <c r="AQ78" i="5"/>
  <c r="AK78" i="5"/>
  <c r="AJ78" i="5"/>
  <c r="AI78" i="5"/>
  <c r="AH77" i="5"/>
  <c r="AG77" i="5"/>
  <c r="AE77" i="5"/>
  <c r="AD77" i="5"/>
  <c r="AC77" i="5"/>
  <c r="AB77" i="5"/>
  <c r="AA77" i="5"/>
  <c r="Z77" i="5"/>
  <c r="Y77" i="5"/>
  <c r="X77" i="5"/>
  <c r="W77" i="5"/>
  <c r="V77" i="5"/>
  <c r="U77" i="5"/>
  <c r="R77" i="5"/>
  <c r="Q77" i="5"/>
  <c r="P77" i="5"/>
  <c r="O77" i="5"/>
  <c r="N77" i="5"/>
  <c r="M77" i="5"/>
  <c r="AQ76" i="5"/>
  <c r="AK76" i="5"/>
  <c r="AJ76" i="5"/>
  <c r="AI76" i="5"/>
  <c r="AQ75" i="5"/>
  <c r="AK75" i="5"/>
  <c r="AJ75" i="5"/>
  <c r="AI75" i="5"/>
  <c r="AQ71" i="5"/>
  <c r="AK71" i="5"/>
  <c r="AJ71" i="5"/>
  <c r="AI71" i="5"/>
  <c r="AQ70" i="5"/>
  <c r="AK70" i="5"/>
  <c r="AJ70" i="5"/>
  <c r="AI70" i="5"/>
  <c r="AQ69" i="5"/>
  <c r="AK69" i="5"/>
  <c r="AJ69" i="5"/>
  <c r="AI69" i="5"/>
  <c r="AQ68" i="5"/>
  <c r="AK68" i="5"/>
  <c r="AJ68" i="5"/>
  <c r="AI68" i="5"/>
  <c r="AQ67" i="5"/>
  <c r="AK67" i="5"/>
  <c r="AJ67" i="5"/>
  <c r="AI67" i="5"/>
  <c r="AQ66" i="5"/>
  <c r="AK66" i="5"/>
  <c r="AJ66" i="5"/>
  <c r="AI66" i="5"/>
  <c r="AQ65" i="5"/>
  <c r="AK65" i="5"/>
  <c r="AJ65" i="5"/>
  <c r="AI65" i="5"/>
  <c r="AQ64" i="5"/>
  <c r="AK64" i="5"/>
  <c r="AJ64" i="5"/>
  <c r="AI64" i="5"/>
  <c r="AH63" i="5"/>
  <c r="AH59" i="5" s="1"/>
  <c r="AG63" i="5"/>
  <c r="AF63" i="5"/>
  <c r="AF59" i="5" s="1"/>
  <c r="AE63" i="5"/>
  <c r="AE59" i="5" s="1"/>
  <c r="AD63" i="5"/>
  <c r="AD59" i="5" s="1"/>
  <c r="AC63" i="5"/>
  <c r="AC59" i="5" s="1"/>
  <c r="AB63" i="5"/>
  <c r="AB59" i="5" s="1"/>
  <c r="AA63" i="5"/>
  <c r="AA59" i="5" s="1"/>
  <c r="Z63" i="5"/>
  <c r="Z59" i="5" s="1"/>
  <c r="Y63" i="5"/>
  <c r="Y59" i="5" s="1"/>
  <c r="X63" i="5"/>
  <c r="X5" i="5" s="1"/>
  <c r="W63" i="5"/>
  <c r="W59" i="5" s="1"/>
  <c r="V63" i="5"/>
  <c r="V59" i="5" s="1"/>
  <c r="U63" i="5"/>
  <c r="T63" i="5"/>
  <c r="S63" i="5"/>
  <c r="S59" i="5" s="1"/>
  <c r="R63" i="5"/>
  <c r="Q63" i="5"/>
  <c r="P63" i="5"/>
  <c r="P59" i="5" s="1"/>
  <c r="O63" i="5"/>
  <c r="N63" i="5"/>
  <c r="M63" i="5"/>
  <c r="L63" i="5"/>
  <c r="K63" i="5"/>
  <c r="J63" i="5"/>
  <c r="I63" i="5"/>
  <c r="H63" i="5"/>
  <c r="G63" i="5"/>
  <c r="G59" i="5" s="1"/>
  <c r="F63" i="5"/>
  <c r="F5" i="5" s="1"/>
  <c r="E63" i="5"/>
  <c r="D63" i="5"/>
  <c r="AJ63" i="5" s="1"/>
  <c r="AQ62" i="5"/>
  <c r="AK62" i="5"/>
  <c r="AJ62" i="5"/>
  <c r="AQ61" i="5"/>
  <c r="AK61" i="5"/>
  <c r="AJ61" i="5"/>
  <c r="AQ60" i="5"/>
  <c r="AK60" i="5"/>
  <c r="AJ60" i="5"/>
  <c r="AG59" i="5"/>
  <c r="U59" i="5"/>
  <c r="T59" i="5"/>
  <c r="R59" i="5"/>
  <c r="Q59" i="5"/>
  <c r="O59" i="5"/>
  <c r="N59" i="5"/>
  <c r="M59" i="5"/>
  <c r="L59" i="5"/>
  <c r="K59" i="5"/>
  <c r="J59" i="5"/>
  <c r="I59" i="5"/>
  <c r="H59" i="5"/>
  <c r="F59" i="5"/>
  <c r="E59" i="5"/>
  <c r="D59" i="5"/>
  <c r="AQ58" i="5"/>
  <c r="AK58" i="5"/>
  <c r="AJ58" i="5"/>
  <c r="AI58" i="5"/>
  <c r="AQ57" i="5"/>
  <c r="AK57" i="5"/>
  <c r="AJ57" i="5"/>
  <c r="AI57" i="5"/>
  <c r="AQ56" i="5"/>
  <c r="AK56" i="5"/>
  <c r="AJ56" i="5"/>
  <c r="AI56" i="5"/>
  <c r="AQ55" i="5"/>
  <c r="AK55" i="5"/>
  <c r="AJ55" i="5"/>
  <c r="AI55" i="5"/>
  <c r="AQ54" i="5"/>
  <c r="AK54" i="5"/>
  <c r="AJ54" i="5"/>
  <c r="AI54" i="5"/>
  <c r="AQ53" i="5"/>
  <c r="AK53" i="5"/>
  <c r="AJ53" i="5"/>
  <c r="AI53" i="5"/>
  <c r="AQ52" i="5"/>
  <c r="AK52" i="5"/>
  <c r="AJ52" i="5"/>
  <c r="AI52" i="5"/>
  <c r="AQ51" i="5"/>
  <c r="AK51" i="5"/>
  <c r="AJ51" i="5"/>
  <c r="AI51" i="5"/>
  <c r="AQ50" i="5"/>
  <c r="AK50" i="5"/>
  <c r="AJ50" i="5"/>
  <c r="AI50" i="5"/>
  <c r="AQ49" i="5"/>
  <c r="AK49" i="5"/>
  <c r="AJ49" i="5"/>
  <c r="AI49" i="5"/>
  <c r="AQ48" i="5"/>
  <c r="AK48" i="5"/>
  <c r="AJ48" i="5"/>
  <c r="AI48" i="5"/>
  <c r="AQ47" i="5"/>
  <c r="AK47" i="5"/>
  <c r="AJ47" i="5"/>
  <c r="AI47" i="5"/>
  <c r="AQ46" i="5"/>
  <c r="AK46" i="5"/>
  <c r="AJ46" i="5"/>
  <c r="AI46" i="5"/>
  <c r="AQ45" i="5"/>
  <c r="AK45" i="5"/>
  <c r="AJ45" i="5"/>
  <c r="AI45" i="5"/>
  <c r="AQ44" i="5"/>
  <c r="AK44" i="5"/>
  <c r="AJ44" i="5"/>
  <c r="AI44" i="5"/>
  <c r="AQ43" i="5"/>
  <c r="AK43" i="5"/>
  <c r="AJ43" i="5"/>
  <c r="AI43" i="5"/>
  <c r="AK42" i="5"/>
  <c r="AI42" i="5"/>
  <c r="AH42" i="5"/>
  <c r="AG42" i="5"/>
  <c r="AF42" i="5"/>
  <c r="AF39" i="5" s="1"/>
  <c r="AE42" i="5"/>
  <c r="AD42" i="5"/>
  <c r="AC42" i="5"/>
  <c r="AB42" i="5"/>
  <c r="AA42" i="5"/>
  <c r="Z42" i="5"/>
  <c r="Y42" i="5"/>
  <c r="X42" i="5"/>
  <c r="W42" i="5"/>
  <c r="V42" i="5"/>
  <c r="U42" i="5"/>
  <c r="T42" i="5"/>
  <c r="T39" i="5" s="1"/>
  <c r="S42" i="5"/>
  <c r="S5" i="5" s="1"/>
  <c r="R42" i="5"/>
  <c r="Q42" i="5"/>
  <c r="P42" i="5"/>
  <c r="O42" i="5"/>
  <c r="N42" i="5"/>
  <c r="M42" i="5"/>
  <c r="L42" i="5"/>
  <c r="L39" i="5" s="1"/>
  <c r="K42" i="5"/>
  <c r="K39" i="5" s="1"/>
  <c r="J42" i="5"/>
  <c r="J39" i="5" s="1"/>
  <c r="I42" i="5"/>
  <c r="I39" i="5" s="1"/>
  <c r="H42" i="5"/>
  <c r="H39" i="5" s="1"/>
  <c r="G42" i="5"/>
  <c r="G39" i="5" s="1"/>
  <c r="F42" i="5"/>
  <c r="F39" i="5" s="1"/>
  <c r="E42" i="5"/>
  <c r="E39" i="5" s="1"/>
  <c r="D42" i="5"/>
  <c r="D39" i="5" s="1"/>
  <c r="AQ41" i="5"/>
  <c r="AK41" i="5"/>
  <c r="AJ41" i="5"/>
  <c r="AI41" i="5"/>
  <c r="AQ40" i="5"/>
  <c r="AK40" i="5"/>
  <c r="AJ40" i="5"/>
  <c r="AI40" i="5"/>
  <c r="AH39" i="5"/>
  <c r="AG39" i="5"/>
  <c r="AE39" i="5"/>
  <c r="AD39" i="5"/>
  <c r="AC39" i="5"/>
  <c r="AB39" i="5"/>
  <c r="AA39" i="5"/>
  <c r="Z39" i="5"/>
  <c r="Y39" i="5"/>
  <c r="X39" i="5"/>
  <c r="W39" i="5"/>
  <c r="V39" i="5"/>
  <c r="U39" i="5"/>
  <c r="R39" i="5"/>
  <c r="Q39" i="5"/>
  <c r="P39" i="5"/>
  <c r="O39" i="5"/>
  <c r="N39" i="5"/>
  <c r="M39" i="5"/>
  <c r="AQ38" i="5"/>
  <c r="AK38" i="5"/>
  <c r="AJ38" i="5"/>
  <c r="AI38" i="5"/>
  <c r="AQ37" i="5"/>
  <c r="AK37" i="5"/>
  <c r="AJ37" i="5"/>
  <c r="AI37" i="5"/>
  <c r="AK36" i="5"/>
  <c r="AJ36" i="5"/>
  <c r="AI36" i="5"/>
  <c r="AQ35" i="5"/>
  <c r="AK35" i="5"/>
  <c r="AJ35" i="5"/>
  <c r="AI35" i="5"/>
  <c r="AQ34" i="5"/>
  <c r="AK34" i="5"/>
  <c r="AJ34" i="5"/>
  <c r="AI34" i="5"/>
  <c r="AQ33" i="5"/>
  <c r="AK33" i="5"/>
  <c r="AJ33" i="5"/>
  <c r="AI33" i="5"/>
  <c r="AQ32" i="5"/>
  <c r="AK32" i="5"/>
  <c r="AJ32" i="5"/>
  <c r="AI32" i="5"/>
  <c r="AH31" i="5"/>
  <c r="AG31" i="5"/>
  <c r="AF31" i="5"/>
  <c r="AE31" i="5"/>
  <c r="AD31" i="5"/>
  <c r="AC31" i="5"/>
  <c r="AC5" i="5" s="1"/>
  <c r="AB31" i="5"/>
  <c r="AA31" i="5"/>
  <c r="AA5" i="5" s="1"/>
  <c r="Z31" i="5"/>
  <c r="Z5" i="5" s="1"/>
  <c r="Y31" i="5"/>
  <c r="X31" i="5"/>
  <c r="W31" i="5"/>
  <c r="W5" i="5" s="1"/>
  <c r="V31" i="5"/>
  <c r="U31" i="5"/>
  <c r="U5" i="5" s="1"/>
  <c r="T31" i="5"/>
  <c r="T5" i="5" s="1"/>
  <c r="S31" i="5"/>
  <c r="S28" i="5" s="1"/>
  <c r="S11" i="5" s="1"/>
  <c r="R31" i="5"/>
  <c r="R28" i="5" s="1"/>
  <c r="R11" i="5" s="1"/>
  <c r="Q31" i="5"/>
  <c r="Q28" i="5" s="1"/>
  <c r="P31" i="5"/>
  <c r="P28" i="5" s="1"/>
  <c r="O31" i="5"/>
  <c r="O28" i="5" s="1"/>
  <c r="N31" i="5"/>
  <c r="N28" i="5" s="1"/>
  <c r="M31" i="5"/>
  <c r="M28" i="5" s="1"/>
  <c r="M11" i="5" s="1"/>
  <c r="L31" i="5"/>
  <c r="L28" i="5" s="1"/>
  <c r="L11" i="5" s="1"/>
  <c r="K31" i="5"/>
  <c r="K28" i="5" s="1"/>
  <c r="K11" i="5" s="1"/>
  <c r="J31" i="5"/>
  <c r="J28" i="5" s="1"/>
  <c r="I31" i="5"/>
  <c r="H31" i="5"/>
  <c r="G31" i="5"/>
  <c r="G28" i="5" s="1"/>
  <c r="F31" i="5"/>
  <c r="E31" i="5"/>
  <c r="D31" i="5"/>
  <c r="AK31" i="5" s="1"/>
  <c r="AQ30" i="5"/>
  <c r="AK30" i="5"/>
  <c r="AJ30" i="5"/>
  <c r="AI30" i="5"/>
  <c r="AQ29" i="5"/>
  <c r="AK29" i="5"/>
  <c r="AJ29" i="5"/>
  <c r="AI29" i="5"/>
  <c r="AH28" i="5"/>
  <c r="AG28" i="5"/>
  <c r="AF28" i="5"/>
  <c r="AE28" i="5"/>
  <c r="AD28" i="5"/>
  <c r="AC28" i="5"/>
  <c r="AB28" i="5"/>
  <c r="Y28" i="5"/>
  <c r="X28" i="5"/>
  <c r="X11" i="5" s="1"/>
  <c r="W28" i="5"/>
  <c r="V28" i="5"/>
  <c r="V11" i="5" s="1"/>
  <c r="U28" i="5"/>
  <c r="T28" i="5"/>
  <c r="I28" i="5"/>
  <c r="H28" i="5"/>
  <c r="F28" i="5"/>
  <c r="E28" i="5"/>
  <c r="D28" i="5"/>
  <c r="AQ27" i="5"/>
  <c r="AJ27" i="5"/>
  <c r="AI27" i="5"/>
  <c r="AQ26" i="5"/>
  <c r="AJ26" i="5"/>
  <c r="AI26" i="5"/>
  <c r="AH25" i="5"/>
  <c r="AG25" i="5"/>
  <c r="AF25" i="5"/>
  <c r="AE25" i="5"/>
  <c r="AD25" i="5"/>
  <c r="AC25" i="5"/>
  <c r="AC11" i="5" s="1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AK25" i="5" s="1"/>
  <c r="AQ24" i="5"/>
  <c r="AQ23" i="5"/>
  <c r="AK23" i="5"/>
  <c r="AJ23" i="5"/>
  <c r="AI23" i="5"/>
  <c r="AQ22" i="5"/>
  <c r="AK22" i="5"/>
  <c r="AJ22" i="5"/>
  <c r="AI22" i="5"/>
  <c r="AQ21" i="5"/>
  <c r="AK21" i="5"/>
  <c r="AJ21" i="5"/>
  <c r="AI21" i="5"/>
  <c r="AQ20" i="5"/>
  <c r="AK20" i="5"/>
  <c r="AJ20" i="5"/>
  <c r="AI20" i="5"/>
  <c r="AQ19" i="5"/>
  <c r="AK19" i="5"/>
  <c r="AJ19" i="5"/>
  <c r="AI19" i="5"/>
  <c r="AQ18" i="5"/>
  <c r="AK18" i="5"/>
  <c r="AJ18" i="5"/>
  <c r="AI18" i="5"/>
  <c r="AQ17" i="5"/>
  <c r="AK17" i="5"/>
  <c r="AJ17" i="5"/>
  <c r="AI17" i="5"/>
  <c r="AQ16" i="5"/>
  <c r="AK16" i="5"/>
  <c r="AJ16" i="5"/>
  <c r="AI16" i="5"/>
  <c r="AH15" i="5"/>
  <c r="AH12" i="5" s="1"/>
  <c r="AH11" i="5" s="1"/>
  <c r="AG15" i="5"/>
  <c r="AG12" i="5" s="1"/>
  <c r="AG11" i="5" s="1"/>
  <c r="AF15" i="5"/>
  <c r="AF12" i="5" s="1"/>
  <c r="AF11" i="5" s="1"/>
  <c r="AE15" i="5"/>
  <c r="AE12" i="5" s="1"/>
  <c r="AE11" i="5" s="1"/>
  <c r="AD15" i="5"/>
  <c r="AC15" i="5"/>
  <c r="AB15" i="5"/>
  <c r="AB5" i="5" s="1"/>
  <c r="AA15" i="5"/>
  <c r="Z15" i="5"/>
  <c r="Y15" i="5"/>
  <c r="Y5" i="5" s="1"/>
  <c r="X15" i="5"/>
  <c r="W15" i="5"/>
  <c r="V15" i="5"/>
  <c r="V5" i="5" s="1"/>
  <c r="U15" i="5"/>
  <c r="T15" i="5"/>
  <c r="S15" i="5"/>
  <c r="R15" i="5"/>
  <c r="Q15" i="5"/>
  <c r="P15" i="5"/>
  <c r="P5" i="5" s="1"/>
  <c r="O15" i="5"/>
  <c r="O5" i="5" s="1"/>
  <c r="N15" i="5"/>
  <c r="M15" i="5"/>
  <c r="M5" i="5" s="1"/>
  <c r="L15" i="5"/>
  <c r="K15" i="5"/>
  <c r="K5" i="5" s="1"/>
  <c r="J15" i="5"/>
  <c r="I15" i="5"/>
  <c r="I5" i="5" s="1"/>
  <c r="H15" i="5"/>
  <c r="H12" i="5" s="1"/>
  <c r="H11" i="5" s="1"/>
  <c r="G15" i="5"/>
  <c r="G12" i="5" s="1"/>
  <c r="G11" i="5" s="1"/>
  <c r="F15" i="5"/>
  <c r="F12" i="5" s="1"/>
  <c r="F11" i="5" s="1"/>
  <c r="E15" i="5"/>
  <c r="E12" i="5" s="1"/>
  <c r="E11" i="5" s="1"/>
  <c r="D15" i="5"/>
  <c r="D12" i="5" s="1"/>
  <c r="AQ14" i="5"/>
  <c r="AK14" i="5"/>
  <c r="AJ14" i="5"/>
  <c r="AI14" i="5"/>
  <c r="AQ13" i="5"/>
  <c r="AK13" i="5"/>
  <c r="AJ13" i="5"/>
  <c r="AI13" i="5"/>
  <c r="AD12" i="5"/>
  <c r="AD11" i="5" s="1"/>
  <c r="AC12" i="5"/>
  <c r="AA12" i="5"/>
  <c r="Z12" i="5"/>
  <c r="Y12" i="5"/>
  <c r="Y11" i="5" s="1"/>
  <c r="X12" i="5"/>
  <c r="W12" i="5"/>
  <c r="V12" i="5"/>
  <c r="U12" i="5"/>
  <c r="U11" i="5" s="1"/>
  <c r="T12" i="5"/>
  <c r="T11" i="5" s="1"/>
  <c r="S12" i="5"/>
  <c r="R12" i="5"/>
  <c r="Q12" i="5"/>
  <c r="Q11" i="5" s="1"/>
  <c r="N12" i="5"/>
  <c r="M12" i="5"/>
  <c r="L12" i="5"/>
  <c r="K12" i="5"/>
  <c r="J12" i="5"/>
  <c r="J11" i="5" s="1"/>
  <c r="I12" i="5"/>
  <c r="I11" i="5" s="1"/>
  <c r="W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AK10" i="5" s="1"/>
  <c r="AK9" i="5"/>
  <c r="AJ9" i="5"/>
  <c r="AI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AI8" i="5" s="1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K8" i="5" s="1"/>
  <c r="AR6" i="5"/>
  <c r="AO5" i="5"/>
  <c r="AH5" i="5"/>
  <c r="AH112" i="5" s="1"/>
  <c r="AF5" i="5"/>
  <c r="AF112" i="5" s="1"/>
  <c r="AD5" i="5"/>
  <c r="AD112" i="5" s="1"/>
  <c r="N5" i="5"/>
  <c r="N7" i="5" s="1"/>
  <c r="AJ4" i="5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Q115" i="4"/>
  <c r="AI115" i="4"/>
  <c r="AQ114" i="4"/>
  <c r="AI114" i="4"/>
  <c r="AQ113" i="4"/>
  <c r="AI113" i="4"/>
  <c r="AQ111" i="4"/>
  <c r="AK111" i="4"/>
  <c r="AI111" i="4"/>
  <c r="AQ110" i="4"/>
  <c r="AK110" i="4"/>
  <c r="AI110" i="4"/>
  <c r="AQ109" i="4"/>
  <c r="AK109" i="4"/>
  <c r="AI109" i="4"/>
  <c r="AQ108" i="4"/>
  <c r="AK108" i="4"/>
  <c r="AI108" i="4"/>
  <c r="AQ107" i="4"/>
  <c r="AK107" i="4"/>
  <c r="AI107" i="4"/>
  <c r="AQ106" i="4"/>
  <c r="AK106" i="4"/>
  <c r="AI106" i="4"/>
  <c r="AQ105" i="4"/>
  <c r="AK105" i="4"/>
  <c r="AI105" i="4"/>
  <c r="AQ104" i="4"/>
  <c r="AK104" i="4"/>
  <c r="AI104" i="4"/>
  <c r="AQ103" i="4"/>
  <c r="AK103" i="4"/>
  <c r="AI103" i="4"/>
  <c r="AQ102" i="4"/>
  <c r="AK102" i="4"/>
  <c r="AI102" i="4"/>
  <c r="AQ101" i="4"/>
  <c r="AK101" i="4"/>
  <c r="AI101" i="4"/>
  <c r="AQ100" i="4"/>
  <c r="AK100" i="4"/>
  <c r="AI100" i="4"/>
  <c r="AQ99" i="4"/>
  <c r="AK99" i="4"/>
  <c r="AI99" i="4"/>
  <c r="AQ98" i="4"/>
  <c r="AK98" i="4"/>
  <c r="AI98" i="4"/>
  <c r="AH97" i="4"/>
  <c r="AG97" i="4"/>
  <c r="AF97" i="4"/>
  <c r="AE97" i="4"/>
  <c r="AD97" i="4"/>
  <c r="AC97" i="4"/>
  <c r="AB97" i="4"/>
  <c r="AA97" i="4"/>
  <c r="AA93" i="4" s="1"/>
  <c r="Z97" i="4"/>
  <c r="Z93" i="4" s="1"/>
  <c r="Y97" i="4"/>
  <c r="Y93" i="4" s="1"/>
  <c r="X97" i="4"/>
  <c r="X93" i="4" s="1"/>
  <c r="W97" i="4"/>
  <c r="W93" i="4" s="1"/>
  <c r="V97" i="4"/>
  <c r="V93" i="4" s="1"/>
  <c r="U97" i="4"/>
  <c r="U93" i="4" s="1"/>
  <c r="T97" i="4"/>
  <c r="T93" i="4" s="1"/>
  <c r="S97" i="4"/>
  <c r="S93" i="4" s="1"/>
  <c r="R97" i="4"/>
  <c r="R93" i="4" s="1"/>
  <c r="Q97" i="4"/>
  <c r="Q93" i="4" s="1"/>
  <c r="P97" i="4"/>
  <c r="P93" i="4" s="1"/>
  <c r="O97" i="4"/>
  <c r="O116" i="4" s="1"/>
  <c r="N97" i="4"/>
  <c r="N93" i="4" s="1"/>
  <c r="M97" i="4"/>
  <c r="L97" i="4"/>
  <c r="K97" i="4"/>
  <c r="J97" i="4"/>
  <c r="I97" i="4"/>
  <c r="H97" i="4"/>
  <c r="G97" i="4"/>
  <c r="F97" i="4"/>
  <c r="E97" i="4"/>
  <c r="AK97" i="4" s="1"/>
  <c r="D97" i="4"/>
  <c r="AQ96" i="4"/>
  <c r="AK96" i="4"/>
  <c r="AI96" i="4"/>
  <c r="AQ95" i="4"/>
  <c r="AK95" i="4"/>
  <c r="AI95" i="4"/>
  <c r="AQ94" i="4"/>
  <c r="AK94" i="4"/>
  <c r="AI94" i="4"/>
  <c r="AH93" i="4"/>
  <c r="AG93" i="4"/>
  <c r="AF93" i="4"/>
  <c r="AE93" i="4"/>
  <c r="AD93" i="4"/>
  <c r="AC93" i="4"/>
  <c r="AB93" i="4"/>
  <c r="M93" i="4"/>
  <c r="L93" i="4"/>
  <c r="K93" i="4"/>
  <c r="J93" i="4"/>
  <c r="I93" i="4"/>
  <c r="H93" i="4"/>
  <c r="G93" i="4"/>
  <c r="F93" i="4"/>
  <c r="E93" i="4"/>
  <c r="D93" i="4"/>
  <c r="AK92" i="4"/>
  <c r="AI92" i="4"/>
  <c r="AQ91" i="4"/>
  <c r="AK91" i="4"/>
  <c r="AI91" i="4"/>
  <c r="AQ90" i="4"/>
  <c r="AK90" i="4"/>
  <c r="AI90" i="4"/>
  <c r="AQ89" i="4"/>
  <c r="AK89" i="4"/>
  <c r="AI89" i="4"/>
  <c r="AQ88" i="4"/>
  <c r="AK88" i="4"/>
  <c r="AI88" i="4"/>
  <c r="AQ87" i="4"/>
  <c r="AK87" i="4"/>
  <c r="AI87" i="4"/>
  <c r="AQ86" i="4"/>
  <c r="AK86" i="4"/>
  <c r="AI86" i="4"/>
  <c r="AQ85" i="4"/>
  <c r="AK85" i="4"/>
  <c r="AI85" i="4"/>
  <c r="AQ84" i="4"/>
  <c r="AK84" i="4"/>
  <c r="AI84" i="4"/>
  <c r="AQ83" i="4"/>
  <c r="AK83" i="4"/>
  <c r="AI83" i="4"/>
  <c r="AQ82" i="4"/>
  <c r="AK82" i="4"/>
  <c r="AI82" i="4"/>
  <c r="AQ81" i="4"/>
  <c r="AK81" i="4"/>
  <c r="AI81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V77" i="4" s="1"/>
  <c r="U80" i="4"/>
  <c r="U77" i="4" s="1"/>
  <c r="T80" i="4"/>
  <c r="T77" i="4" s="1"/>
  <c r="S80" i="4"/>
  <c r="S77" i="4" s="1"/>
  <c r="R80" i="4"/>
  <c r="R77" i="4" s="1"/>
  <c r="Q80" i="4"/>
  <c r="Q77" i="4" s="1"/>
  <c r="P80" i="4"/>
  <c r="P77" i="4" s="1"/>
  <c r="O80" i="4"/>
  <c r="O77" i="4" s="1"/>
  <c r="N80" i="4"/>
  <c r="N77" i="4" s="1"/>
  <c r="M80" i="4"/>
  <c r="M77" i="4" s="1"/>
  <c r="L80" i="4"/>
  <c r="K80" i="4"/>
  <c r="J80" i="4"/>
  <c r="I80" i="4"/>
  <c r="H80" i="4"/>
  <c r="G80" i="4"/>
  <c r="F80" i="4"/>
  <c r="E80" i="4"/>
  <c r="D80" i="4"/>
  <c r="AK80" i="4" s="1"/>
  <c r="AQ79" i="4"/>
  <c r="AK79" i="4"/>
  <c r="AI79" i="4"/>
  <c r="AQ78" i="4"/>
  <c r="AK78" i="4"/>
  <c r="AI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L77" i="4"/>
  <c r="K77" i="4"/>
  <c r="J77" i="4"/>
  <c r="I77" i="4"/>
  <c r="H77" i="4"/>
  <c r="G77" i="4"/>
  <c r="F77" i="4"/>
  <c r="E77" i="4"/>
  <c r="D77" i="4"/>
  <c r="AQ76" i="4"/>
  <c r="AK76" i="4"/>
  <c r="AI76" i="4"/>
  <c r="AQ75" i="4"/>
  <c r="AK75" i="4"/>
  <c r="AI75" i="4"/>
  <c r="AQ74" i="4"/>
  <c r="AK74" i="4"/>
  <c r="AI74" i="4"/>
  <c r="AQ73" i="4"/>
  <c r="AK73" i="4"/>
  <c r="AI73" i="4"/>
  <c r="AQ72" i="4"/>
  <c r="AK72" i="4"/>
  <c r="AI72" i="4"/>
  <c r="AQ71" i="4"/>
  <c r="AK71" i="4"/>
  <c r="AI71" i="4"/>
  <c r="AQ70" i="4"/>
  <c r="AK70" i="4"/>
  <c r="AI70" i="4"/>
  <c r="AQ69" i="4"/>
  <c r="AK69" i="4"/>
  <c r="AI69" i="4"/>
  <c r="AQ68" i="4"/>
  <c r="AK68" i="4"/>
  <c r="AI68" i="4"/>
  <c r="AQ67" i="4"/>
  <c r="AK67" i="4"/>
  <c r="AI67" i="4"/>
  <c r="AQ66" i="4"/>
  <c r="AK66" i="4"/>
  <c r="AI66" i="4"/>
  <c r="AQ65" i="4"/>
  <c r="AK65" i="4"/>
  <c r="AI65" i="4"/>
  <c r="AQ64" i="4"/>
  <c r="AK64" i="4"/>
  <c r="AI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V59" i="4" s="1"/>
  <c r="U63" i="4"/>
  <c r="U59" i="4" s="1"/>
  <c r="T63" i="4"/>
  <c r="T59" i="4" s="1"/>
  <c r="S63" i="4"/>
  <c r="S59" i="4" s="1"/>
  <c r="R63" i="4"/>
  <c r="R59" i="4" s="1"/>
  <c r="Q63" i="4"/>
  <c r="Q59" i="4" s="1"/>
  <c r="P63" i="4"/>
  <c r="P59" i="4" s="1"/>
  <c r="O63" i="4"/>
  <c r="O59" i="4" s="1"/>
  <c r="N63" i="4"/>
  <c r="N59" i="4" s="1"/>
  <c r="M63" i="4"/>
  <c r="M59" i="4" s="1"/>
  <c r="L63" i="4"/>
  <c r="AI63" i="4" s="1"/>
  <c r="K63" i="4"/>
  <c r="J63" i="4"/>
  <c r="I63" i="4"/>
  <c r="H63" i="4"/>
  <c r="G63" i="4"/>
  <c r="F63" i="4"/>
  <c r="E63" i="4"/>
  <c r="D63" i="4"/>
  <c r="AQ62" i="4"/>
  <c r="AK62" i="4"/>
  <c r="AQ61" i="4"/>
  <c r="AK61" i="4"/>
  <c r="AQ60" i="4"/>
  <c r="AK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K59" i="4"/>
  <c r="J59" i="4"/>
  <c r="I59" i="4"/>
  <c r="H59" i="4"/>
  <c r="G59" i="4"/>
  <c r="F59" i="4"/>
  <c r="E59" i="4"/>
  <c r="D59" i="4"/>
  <c r="AQ58" i="4"/>
  <c r="AK58" i="4"/>
  <c r="AI58" i="4"/>
  <c r="AQ57" i="4"/>
  <c r="AK57" i="4"/>
  <c r="AI57" i="4"/>
  <c r="AQ56" i="4"/>
  <c r="AK56" i="4"/>
  <c r="AI56" i="4"/>
  <c r="AQ55" i="4"/>
  <c r="AK55" i="4"/>
  <c r="AI55" i="4"/>
  <c r="AQ54" i="4"/>
  <c r="AK54" i="4"/>
  <c r="AI54" i="4"/>
  <c r="AQ53" i="4"/>
  <c r="AK53" i="4"/>
  <c r="AI53" i="4"/>
  <c r="AQ52" i="4"/>
  <c r="AK52" i="4"/>
  <c r="AI52" i="4"/>
  <c r="AQ51" i="4"/>
  <c r="AK51" i="4"/>
  <c r="AI51" i="4"/>
  <c r="AQ50" i="4"/>
  <c r="AK50" i="4"/>
  <c r="AI50" i="4"/>
  <c r="AQ49" i="4"/>
  <c r="AK49" i="4"/>
  <c r="AI49" i="4"/>
  <c r="AQ48" i="4"/>
  <c r="AK48" i="4"/>
  <c r="AI48" i="4"/>
  <c r="AQ47" i="4"/>
  <c r="AK47" i="4"/>
  <c r="AI47" i="4"/>
  <c r="AQ46" i="4"/>
  <c r="AK46" i="4"/>
  <c r="AI46" i="4"/>
  <c r="AQ45" i="4"/>
  <c r="AK45" i="4"/>
  <c r="AI45" i="4"/>
  <c r="AQ44" i="4"/>
  <c r="AK44" i="4"/>
  <c r="AI44" i="4"/>
  <c r="AQ43" i="4"/>
  <c r="AK43" i="4"/>
  <c r="AI43" i="4"/>
  <c r="AH42" i="4"/>
  <c r="AH39" i="4" s="1"/>
  <c r="AG42" i="4"/>
  <c r="AG39" i="4" s="1"/>
  <c r="AF42" i="4"/>
  <c r="AF39" i="4" s="1"/>
  <c r="AE42" i="4"/>
  <c r="AE39" i="4" s="1"/>
  <c r="AD42" i="4"/>
  <c r="AD39" i="4" s="1"/>
  <c r="AC42" i="4"/>
  <c r="AC39" i="4" s="1"/>
  <c r="AB42" i="4"/>
  <c r="AB39" i="4" s="1"/>
  <c r="AA42" i="4"/>
  <c r="AA39" i="4" s="1"/>
  <c r="Z42" i="4"/>
  <c r="Z39" i="4" s="1"/>
  <c r="Y42" i="4"/>
  <c r="Y39" i="4" s="1"/>
  <c r="X42" i="4"/>
  <c r="W42" i="4"/>
  <c r="V42" i="4"/>
  <c r="U42" i="4"/>
  <c r="T42" i="4"/>
  <c r="S42" i="4"/>
  <c r="R42" i="4"/>
  <c r="Q42" i="4"/>
  <c r="Q39" i="4" s="1"/>
  <c r="P42" i="4"/>
  <c r="P39" i="4" s="1"/>
  <c r="O42" i="4"/>
  <c r="N42" i="4"/>
  <c r="M42" i="4"/>
  <c r="L42" i="4"/>
  <c r="K42" i="4"/>
  <c r="J42" i="4"/>
  <c r="I42" i="4"/>
  <c r="H42" i="4"/>
  <c r="G42" i="4"/>
  <c r="F42" i="4"/>
  <c r="E42" i="4"/>
  <c r="AK42" i="4" s="1"/>
  <c r="D42" i="4"/>
  <c r="AQ41" i="4"/>
  <c r="AK41" i="4"/>
  <c r="AI41" i="4"/>
  <c r="AQ40" i="4"/>
  <c r="AK40" i="4"/>
  <c r="AI40" i="4"/>
  <c r="X39" i="4"/>
  <c r="W39" i="4"/>
  <c r="V39" i="4"/>
  <c r="U39" i="4"/>
  <c r="T39" i="4"/>
  <c r="S39" i="4"/>
  <c r="R39" i="4"/>
  <c r="O39" i="4"/>
  <c r="N39" i="4"/>
  <c r="M39" i="4"/>
  <c r="L39" i="4"/>
  <c r="K39" i="4"/>
  <c r="J39" i="4"/>
  <c r="I39" i="4"/>
  <c r="H39" i="4"/>
  <c r="G39" i="4"/>
  <c r="F39" i="4"/>
  <c r="E39" i="4"/>
  <c r="D39" i="4"/>
  <c r="AK39" i="4" s="1"/>
  <c r="AQ38" i="4"/>
  <c r="AK38" i="4"/>
  <c r="AI38" i="4"/>
  <c r="AQ37" i="4"/>
  <c r="AK37" i="4"/>
  <c r="AI37" i="4"/>
  <c r="AK36" i="4"/>
  <c r="AI36" i="4"/>
  <c r="AQ35" i="4"/>
  <c r="AK35" i="4"/>
  <c r="AI35" i="4"/>
  <c r="AQ34" i="4"/>
  <c r="AK34" i="4"/>
  <c r="AI34" i="4"/>
  <c r="AQ33" i="4"/>
  <c r="AK33" i="4"/>
  <c r="AI33" i="4"/>
  <c r="AQ32" i="4"/>
  <c r="AK32" i="4"/>
  <c r="AI32" i="4"/>
  <c r="AG31" i="4"/>
  <c r="AG28" i="4" s="1"/>
  <c r="AG11" i="4" s="1"/>
  <c r="AF31" i="4"/>
  <c r="AF28" i="4" s="1"/>
  <c r="AF11" i="4" s="1"/>
  <c r="AE31" i="4"/>
  <c r="AD31" i="4"/>
  <c r="AC31" i="4"/>
  <c r="AB31" i="4"/>
  <c r="AA31" i="4"/>
  <c r="Z31" i="4"/>
  <c r="Y31" i="4"/>
  <c r="X31" i="4"/>
  <c r="W31" i="4"/>
  <c r="V31" i="4"/>
  <c r="V28" i="4" s="1"/>
  <c r="U31" i="4"/>
  <c r="T31" i="4"/>
  <c r="T28" i="4" s="1"/>
  <c r="S31" i="4"/>
  <c r="R31" i="4"/>
  <c r="Q31" i="4"/>
  <c r="Q5" i="4" s="1"/>
  <c r="P31" i="4"/>
  <c r="O31" i="4"/>
  <c r="O5" i="4" s="1"/>
  <c r="N31" i="4"/>
  <c r="M31" i="4"/>
  <c r="L31" i="4"/>
  <c r="K31" i="4"/>
  <c r="J31" i="4"/>
  <c r="I31" i="4"/>
  <c r="H31" i="4"/>
  <c r="H28" i="4" s="1"/>
  <c r="H11" i="4" s="1"/>
  <c r="G31" i="4"/>
  <c r="G28" i="4" s="1"/>
  <c r="G11" i="4" s="1"/>
  <c r="F31" i="4"/>
  <c r="F28" i="4" s="1"/>
  <c r="F11" i="4" s="1"/>
  <c r="E31" i="4"/>
  <c r="E5" i="4" s="1"/>
  <c r="D31" i="4"/>
  <c r="D28" i="4" s="1"/>
  <c r="AQ30" i="4"/>
  <c r="AK30" i="4"/>
  <c r="AI30" i="4"/>
  <c r="AQ29" i="4"/>
  <c r="AK29" i="4"/>
  <c r="AI29" i="4"/>
  <c r="AH28" i="4"/>
  <c r="AD28" i="4"/>
  <c r="AC28" i="4"/>
  <c r="AB28" i="4"/>
  <c r="AA28" i="4"/>
  <c r="Z28" i="4"/>
  <c r="Y28" i="4"/>
  <c r="X28" i="4"/>
  <c r="W28" i="4"/>
  <c r="U28" i="4"/>
  <c r="S28" i="4"/>
  <c r="R28" i="4"/>
  <c r="Q28" i="4"/>
  <c r="P28" i="4"/>
  <c r="P11" i="4" s="1"/>
  <c r="O28" i="4"/>
  <c r="O11" i="4" s="1"/>
  <c r="N28" i="4"/>
  <c r="M28" i="4"/>
  <c r="L28" i="4"/>
  <c r="L11" i="4" s="1"/>
  <c r="K28" i="4"/>
  <c r="K11" i="4" s="1"/>
  <c r="J28" i="4"/>
  <c r="J11" i="4" s="1"/>
  <c r="I28" i="4"/>
  <c r="I11" i="4" s="1"/>
  <c r="AQ27" i="4"/>
  <c r="AI27" i="4"/>
  <c r="AQ26" i="4"/>
  <c r="AI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S11" i="4" s="1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AK25" i="4" s="1"/>
  <c r="D25" i="4"/>
  <c r="AI25" i="4" s="1"/>
  <c r="AQ24" i="4"/>
  <c r="AQ23" i="4"/>
  <c r="AK23" i="4"/>
  <c r="AI23" i="4"/>
  <c r="AQ22" i="4"/>
  <c r="AK22" i="4"/>
  <c r="AI22" i="4"/>
  <c r="AQ21" i="4"/>
  <c r="AK21" i="4"/>
  <c r="AI21" i="4"/>
  <c r="AQ20" i="4"/>
  <c r="AK20" i="4"/>
  <c r="AI20" i="4"/>
  <c r="AQ19" i="4"/>
  <c r="AK19" i="4"/>
  <c r="AI19" i="4"/>
  <c r="AQ18" i="4"/>
  <c r="AK18" i="4"/>
  <c r="AI18" i="4"/>
  <c r="AQ17" i="4"/>
  <c r="AK17" i="4"/>
  <c r="AI17" i="4"/>
  <c r="AQ16" i="4"/>
  <c r="AK16" i="4"/>
  <c r="AI16" i="4"/>
  <c r="AH15" i="4"/>
  <c r="AH116" i="4" s="1"/>
  <c r="AG15" i="4"/>
  <c r="AG116" i="4" s="1"/>
  <c r="AF15" i="4"/>
  <c r="AF116" i="4" s="1"/>
  <c r="AE15" i="4"/>
  <c r="AE116" i="4" s="1"/>
  <c r="AD15" i="4"/>
  <c r="AD116" i="4" s="1"/>
  <c r="AC15" i="4"/>
  <c r="AC12" i="4" s="1"/>
  <c r="AC11" i="4" s="1"/>
  <c r="AB15" i="4"/>
  <c r="AB12" i="4" s="1"/>
  <c r="AB11" i="4" s="1"/>
  <c r="AA15" i="4"/>
  <c r="AA12" i="4" s="1"/>
  <c r="AA11" i="4" s="1"/>
  <c r="Z15" i="4"/>
  <c r="Z12" i="4" s="1"/>
  <c r="Z11" i="4" s="1"/>
  <c r="Y15" i="4"/>
  <c r="Y12" i="4" s="1"/>
  <c r="Y11" i="4" s="1"/>
  <c r="X15" i="4"/>
  <c r="X12" i="4" s="1"/>
  <c r="X11" i="4" s="1"/>
  <c r="W15" i="4"/>
  <c r="W12" i="4" s="1"/>
  <c r="W11" i="4" s="1"/>
  <c r="V15" i="4"/>
  <c r="V12" i="4" s="1"/>
  <c r="U15" i="4"/>
  <c r="U12" i="4" s="1"/>
  <c r="U11" i="4" s="1"/>
  <c r="T15" i="4"/>
  <c r="T12" i="4" s="1"/>
  <c r="S15" i="4"/>
  <c r="R15" i="4"/>
  <c r="Q15" i="4"/>
  <c r="P15" i="4"/>
  <c r="P5" i="4" s="1"/>
  <c r="O15" i="4"/>
  <c r="N15" i="4"/>
  <c r="N5" i="4" s="1"/>
  <c r="M15" i="4"/>
  <c r="M116" i="4" s="1"/>
  <c r="L15" i="4"/>
  <c r="L5" i="4" s="1"/>
  <c r="K15" i="4"/>
  <c r="K5" i="4" s="1"/>
  <c r="J15" i="4"/>
  <c r="J5" i="4" s="1"/>
  <c r="I15" i="4"/>
  <c r="I116" i="4" s="1"/>
  <c r="H15" i="4"/>
  <c r="H116" i="4" s="1"/>
  <c r="G15" i="4"/>
  <c r="G116" i="4" s="1"/>
  <c r="F15" i="4"/>
  <c r="F116" i="4" s="1"/>
  <c r="E15" i="4"/>
  <c r="E116" i="4" s="1"/>
  <c r="D15" i="4"/>
  <c r="D116" i="4" s="1"/>
  <c r="AQ14" i="4"/>
  <c r="AK14" i="4"/>
  <c r="AI14" i="4"/>
  <c r="AQ13" i="4"/>
  <c r="AK13" i="4"/>
  <c r="AI13" i="4"/>
  <c r="AH12" i="4"/>
  <c r="AG12" i="4"/>
  <c r="AF12" i="4"/>
  <c r="AE12" i="4"/>
  <c r="AD12" i="4"/>
  <c r="AD11" i="4" s="1"/>
  <c r="S12" i="4"/>
  <c r="R12" i="4"/>
  <c r="R11" i="4" s="1"/>
  <c r="Q12" i="4"/>
  <c r="Q11" i="4" s="1"/>
  <c r="P12" i="4"/>
  <c r="O12" i="4"/>
  <c r="N12" i="4"/>
  <c r="N11" i="4" s="1"/>
  <c r="M12" i="4"/>
  <c r="M11" i="4" s="1"/>
  <c r="L12" i="4"/>
  <c r="K12" i="4"/>
  <c r="J12" i="4"/>
  <c r="I12" i="4"/>
  <c r="H12" i="4"/>
  <c r="G12" i="4"/>
  <c r="F12" i="4"/>
  <c r="E12" i="4"/>
  <c r="D12" i="4"/>
  <c r="AK12" i="4" s="1"/>
  <c r="AH11" i="4"/>
  <c r="AI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K10" i="4" s="1"/>
  <c r="AK9" i="4"/>
  <c r="AI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AI8" i="4" s="1"/>
  <c r="D8" i="4"/>
  <c r="AK8" i="4" s="1"/>
  <c r="AR6" i="4"/>
  <c r="AO5" i="4"/>
  <c r="AH5" i="4"/>
  <c r="AH7" i="4" s="1"/>
  <c r="S5" i="4"/>
  <c r="S112" i="4" s="1"/>
  <c r="R5" i="4"/>
  <c r="R112" i="4" s="1"/>
  <c r="B4" i="4"/>
  <c r="AJ19" i="4" s="1"/>
  <c r="E3" i="4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M1" i="2"/>
  <c r="R10" i="3"/>
  <c r="J10" i="3"/>
  <c r="N10" i="3"/>
  <c r="A12" i="2"/>
  <c r="A11" i="2"/>
  <c r="A10" i="2"/>
  <c r="A9" i="2"/>
  <c r="A7" i="2"/>
  <c r="A8" i="2"/>
  <c r="D87" i="3" l="1"/>
  <c r="K23" i="2"/>
  <c r="D11" i="5"/>
  <c r="X6" i="5"/>
  <c r="X112" i="5"/>
  <c r="X7" i="5"/>
  <c r="S7" i="5"/>
  <c r="S6" i="5"/>
  <c r="S112" i="5"/>
  <c r="I112" i="5"/>
  <c r="I7" i="5"/>
  <c r="I6" i="5"/>
  <c r="K6" i="5"/>
  <c r="K7" i="5"/>
  <c r="K112" i="5"/>
  <c r="N11" i="5"/>
  <c r="O7" i="5"/>
  <c r="O6" i="5"/>
  <c r="O112" i="5"/>
  <c r="P7" i="5"/>
  <c r="P6" i="5"/>
  <c r="P112" i="5"/>
  <c r="T7" i="5"/>
  <c r="T6" i="5"/>
  <c r="T112" i="5"/>
  <c r="U6" i="5"/>
  <c r="U112" i="5"/>
  <c r="U7" i="5"/>
  <c r="F7" i="5"/>
  <c r="F112" i="5"/>
  <c r="F6" i="5"/>
  <c r="AK77" i="5"/>
  <c r="AJ77" i="5"/>
  <c r="AI77" i="5"/>
  <c r="M7" i="5"/>
  <c r="M6" i="5"/>
  <c r="M112" i="5"/>
  <c r="V6" i="5"/>
  <c r="V112" i="5"/>
  <c r="V7" i="5"/>
  <c r="W6" i="5"/>
  <c r="W7" i="5"/>
  <c r="W112" i="5"/>
  <c r="Y6" i="5"/>
  <c r="Y112" i="5"/>
  <c r="Y7" i="5"/>
  <c r="Z7" i="5"/>
  <c r="Z112" i="5"/>
  <c r="Z6" i="5"/>
  <c r="AK59" i="5"/>
  <c r="AA112" i="5"/>
  <c r="AA7" i="5"/>
  <c r="AA6" i="5"/>
  <c r="AB6" i="5"/>
  <c r="AB112" i="5"/>
  <c r="AB7" i="5"/>
  <c r="AC112" i="5"/>
  <c r="AC7" i="5"/>
  <c r="AC6" i="5"/>
  <c r="AE5" i="5"/>
  <c r="AJ42" i="5"/>
  <c r="AJ80" i="5"/>
  <c r="AK97" i="5"/>
  <c r="AJ40" i="4"/>
  <c r="AG5" i="5"/>
  <c r="AJ10" i="4"/>
  <c r="AD6" i="5"/>
  <c r="AI15" i="5"/>
  <c r="AI12" i="5" s="1"/>
  <c r="N112" i="5"/>
  <c r="AF6" i="5"/>
  <c r="O12" i="5"/>
  <c r="O11" i="5" s="1"/>
  <c r="AK15" i="5"/>
  <c r="Z28" i="5"/>
  <c r="AI28" i="5" s="1"/>
  <c r="S39" i="5"/>
  <c r="AK39" i="5" s="1"/>
  <c r="D5" i="5"/>
  <c r="E5" i="5"/>
  <c r="P12" i="5"/>
  <c r="P11" i="5" s="1"/>
  <c r="AI25" i="5"/>
  <c r="AA28" i="5"/>
  <c r="AA11" i="5" s="1"/>
  <c r="AJ25" i="5"/>
  <c r="AH6" i="5"/>
  <c r="G5" i="5"/>
  <c r="AD7" i="5"/>
  <c r="H5" i="5"/>
  <c r="AF7" i="5"/>
  <c r="AJ15" i="5"/>
  <c r="AH7" i="5"/>
  <c r="AI63" i="5"/>
  <c r="L5" i="5"/>
  <c r="J5" i="5"/>
  <c r="AJ20" i="4"/>
  <c r="AJ8" i="5"/>
  <c r="D93" i="5"/>
  <c r="AJ74" i="4"/>
  <c r="AJ21" i="4"/>
  <c r="AJ108" i="4"/>
  <c r="Q5" i="5"/>
  <c r="AB12" i="5"/>
  <c r="AB11" i="5" s="1"/>
  <c r="AJ9" i="4"/>
  <c r="R5" i="5"/>
  <c r="N6" i="5"/>
  <c r="AJ91" i="4"/>
  <c r="AJ10" i="5"/>
  <c r="X59" i="5"/>
  <c r="AI59" i="5" s="1"/>
  <c r="AJ31" i="4"/>
  <c r="AJ48" i="4"/>
  <c r="AJ30" i="4"/>
  <c r="AJ66" i="4"/>
  <c r="AI31" i="5"/>
  <c r="AJ31" i="5"/>
  <c r="AJ83" i="4"/>
  <c r="AJ100" i="4"/>
  <c r="AJ56" i="4"/>
  <c r="AJ13" i="4"/>
  <c r="P7" i="4"/>
  <c r="P112" i="4"/>
  <c r="P6" i="4"/>
  <c r="Q112" i="4"/>
  <c r="Q6" i="4"/>
  <c r="Q7" i="4"/>
  <c r="L6" i="4"/>
  <c r="L118" i="4"/>
  <c r="L112" i="4"/>
  <c r="L7" i="4"/>
  <c r="T11" i="4"/>
  <c r="J6" i="4"/>
  <c r="J118" i="4"/>
  <c r="J112" i="4"/>
  <c r="J7" i="4"/>
  <c r="V11" i="4"/>
  <c r="AK59" i="4"/>
  <c r="AE11" i="4"/>
  <c r="AK77" i="4"/>
  <c r="AK28" i="4"/>
  <c r="AI28" i="4"/>
  <c r="D11" i="4"/>
  <c r="O7" i="4"/>
  <c r="O112" i="4"/>
  <c r="O6" i="4"/>
  <c r="N112" i="4"/>
  <c r="N6" i="4"/>
  <c r="N7" i="4"/>
  <c r="K6" i="4"/>
  <c r="K118" i="4"/>
  <c r="K7" i="4"/>
  <c r="K112" i="4"/>
  <c r="E7" i="4"/>
  <c r="E6" i="4"/>
  <c r="E118" i="4"/>
  <c r="E112" i="4"/>
  <c r="AI77" i="4"/>
  <c r="AI39" i="4"/>
  <c r="N116" i="4"/>
  <c r="Q116" i="4"/>
  <c r="R116" i="4"/>
  <c r="AI31" i="4"/>
  <c r="AK31" i="4"/>
  <c r="AJ101" i="4"/>
  <c r="AJ109" i="4"/>
  <c r="S116" i="4"/>
  <c r="AJ12" i="4"/>
  <c r="AJ49" i="4"/>
  <c r="AJ57" i="4"/>
  <c r="AJ67" i="4"/>
  <c r="AJ75" i="4"/>
  <c r="AJ84" i="4"/>
  <c r="AJ92" i="4"/>
  <c r="T116" i="4"/>
  <c r="P116" i="4"/>
  <c r="AJ32" i="4"/>
  <c r="U116" i="4"/>
  <c r="AJ41" i="4"/>
  <c r="V116" i="4"/>
  <c r="AJ102" i="4"/>
  <c r="AJ110" i="4"/>
  <c r="W116" i="4"/>
  <c r="AJ39" i="4"/>
  <c r="X5" i="4"/>
  <c r="Y5" i="4"/>
  <c r="Z5" i="4"/>
  <c r="AI42" i="4"/>
  <c r="AJ50" i="4"/>
  <c r="AJ58" i="4"/>
  <c r="AJ68" i="4"/>
  <c r="AJ76" i="4"/>
  <c r="AJ85" i="4"/>
  <c r="X116" i="4"/>
  <c r="S7" i="4"/>
  <c r="AJ22" i="4"/>
  <c r="AJ33" i="4"/>
  <c r="AJ42" i="4"/>
  <c r="AJ94" i="4"/>
  <c r="Y116" i="4"/>
  <c r="T5" i="4"/>
  <c r="Z116" i="4"/>
  <c r="AJ14" i="4"/>
  <c r="AJ59" i="4"/>
  <c r="AJ77" i="4"/>
  <c r="AJ103" i="4"/>
  <c r="AJ111" i="4"/>
  <c r="AA116" i="4"/>
  <c r="AA5" i="4"/>
  <c r="AD5" i="4"/>
  <c r="AE5" i="4"/>
  <c r="AF5" i="4"/>
  <c r="AJ43" i="4"/>
  <c r="AJ51" i="4"/>
  <c r="AJ69" i="4"/>
  <c r="AJ86" i="4"/>
  <c r="AH112" i="4"/>
  <c r="AB116" i="4"/>
  <c r="AG5" i="4"/>
  <c r="AI15" i="4"/>
  <c r="AI12" i="4" s="1"/>
  <c r="AJ23" i="4"/>
  <c r="AJ34" i="4"/>
  <c r="AJ60" i="4"/>
  <c r="AJ95" i="4"/>
  <c r="AC116" i="4"/>
  <c r="AJ4" i="4"/>
  <c r="AJ15" i="4"/>
  <c r="AJ78" i="4"/>
  <c r="AK15" i="4"/>
  <c r="AJ104" i="4"/>
  <c r="D2" i="4"/>
  <c r="D5" i="4"/>
  <c r="AJ44" i="4"/>
  <c r="AJ52" i="4"/>
  <c r="AJ61" i="4"/>
  <c r="AJ70" i="4"/>
  <c r="AJ87" i="4"/>
  <c r="AJ16" i="4"/>
  <c r="AJ25" i="4"/>
  <c r="AJ35" i="4"/>
  <c r="O93" i="4"/>
  <c r="AJ93" i="4" s="1"/>
  <c r="AJ96" i="4"/>
  <c r="AJ79" i="4"/>
  <c r="L59" i="4"/>
  <c r="AI59" i="4" s="1"/>
  <c r="AJ62" i="4"/>
  <c r="AI97" i="4"/>
  <c r="AJ105" i="4"/>
  <c r="AC5" i="4"/>
  <c r="G5" i="4"/>
  <c r="AJ26" i="4"/>
  <c r="AE28" i="4"/>
  <c r="AJ45" i="4"/>
  <c r="AJ53" i="4"/>
  <c r="AJ71" i="4"/>
  <c r="AI80" i="4"/>
  <c r="AJ88" i="4"/>
  <c r="AJ97" i="4"/>
  <c r="AJ80" i="4"/>
  <c r="R6" i="4"/>
  <c r="AB5" i="4"/>
  <c r="AJ63" i="4"/>
  <c r="W5" i="4"/>
  <c r="S6" i="4"/>
  <c r="R7" i="4"/>
  <c r="AJ27" i="4"/>
  <c r="AJ98" i="4"/>
  <c r="AJ106" i="4"/>
  <c r="H5" i="4"/>
  <c r="AJ37" i="4"/>
  <c r="AJ46" i="4"/>
  <c r="AJ54" i="4"/>
  <c r="AJ64" i="4"/>
  <c r="AJ72" i="4"/>
  <c r="AJ81" i="4"/>
  <c r="AJ89" i="4"/>
  <c r="I5" i="4"/>
  <c r="M5" i="4"/>
  <c r="AJ18" i="4"/>
  <c r="U5" i="4"/>
  <c r="E28" i="4"/>
  <c r="E11" i="4" s="1"/>
  <c r="J116" i="4"/>
  <c r="AI116" i="4" s="1"/>
  <c r="F5" i="4"/>
  <c r="AJ17" i="4"/>
  <c r="AJ99" i="4"/>
  <c r="AJ107" i="4"/>
  <c r="K116" i="4"/>
  <c r="AH6" i="4"/>
  <c r="AJ36" i="4"/>
  <c r="AJ8" i="4"/>
  <c r="AJ29" i="4"/>
  <c r="AJ38" i="4"/>
  <c r="AJ47" i="4"/>
  <c r="AJ55" i="4"/>
  <c r="AJ65" i="4"/>
  <c r="AJ73" i="4"/>
  <c r="AJ82" i="4"/>
  <c r="AJ90" i="4"/>
  <c r="L116" i="4"/>
  <c r="V5" i="4"/>
  <c r="S10" i="3"/>
  <c r="E112" i="5" l="1"/>
  <c r="E7" i="5"/>
  <c r="E6" i="5"/>
  <c r="D112" i="5"/>
  <c r="AI5" i="5"/>
  <c r="D7" i="5"/>
  <c r="D6" i="5"/>
  <c r="AK5" i="5"/>
  <c r="AJ5" i="5"/>
  <c r="AI39" i="5"/>
  <c r="AJ39" i="5"/>
  <c r="H112" i="5"/>
  <c r="H7" i="5"/>
  <c r="H6" i="5"/>
  <c r="Z11" i="5"/>
  <c r="AJ11" i="5" s="1"/>
  <c r="R7" i="5"/>
  <c r="R6" i="5"/>
  <c r="R112" i="5"/>
  <c r="AJ28" i="5"/>
  <c r="G112" i="5"/>
  <c r="G7" i="5"/>
  <c r="G6" i="5"/>
  <c r="AI11" i="5"/>
  <c r="Q7" i="5"/>
  <c r="Q6" i="5"/>
  <c r="Q112" i="5"/>
  <c r="AJ59" i="5"/>
  <c r="AG112" i="5"/>
  <c r="AG7" i="5"/>
  <c r="AG6" i="5"/>
  <c r="AI93" i="5"/>
  <c r="AK93" i="5"/>
  <c r="AJ93" i="5"/>
  <c r="AK28" i="5"/>
  <c r="AE112" i="5"/>
  <c r="AE6" i="5"/>
  <c r="AE7" i="5"/>
  <c r="J6" i="5"/>
  <c r="J7" i="5"/>
  <c r="J112" i="5"/>
  <c r="AJ12" i="5"/>
  <c r="L7" i="5"/>
  <c r="L6" i="5"/>
  <c r="L112" i="5"/>
  <c r="AK12" i="5"/>
  <c r="AF7" i="4"/>
  <c r="AF6" i="4"/>
  <c r="AF112" i="4"/>
  <c r="AE7" i="4"/>
  <c r="AE6" i="4"/>
  <c r="AE112" i="4"/>
  <c r="AI93" i="4"/>
  <c r="D7" i="4"/>
  <c r="AK5" i="4"/>
  <c r="D6" i="4"/>
  <c r="D118" i="4"/>
  <c r="AM5" i="4"/>
  <c r="D112" i="4"/>
  <c r="AK93" i="4"/>
  <c r="AJ5" i="4"/>
  <c r="V112" i="4"/>
  <c r="V6" i="4"/>
  <c r="V7" i="4"/>
  <c r="AD7" i="4"/>
  <c r="AD6" i="4"/>
  <c r="AD112" i="4"/>
  <c r="H6" i="4"/>
  <c r="H118" i="4"/>
  <c r="H7" i="4"/>
  <c r="H112" i="4"/>
  <c r="T6" i="4"/>
  <c r="T7" i="4"/>
  <c r="T112" i="4"/>
  <c r="AB7" i="4"/>
  <c r="AB6" i="4"/>
  <c r="AB112" i="4"/>
  <c r="AA7" i="4"/>
  <c r="AA6" i="4"/>
  <c r="AA112" i="4"/>
  <c r="AG7" i="4"/>
  <c r="AG6" i="4"/>
  <c r="AG112" i="4"/>
  <c r="AC7" i="4"/>
  <c r="AC6" i="4"/>
  <c r="AC112" i="4"/>
  <c r="X6" i="4"/>
  <c r="X7" i="4"/>
  <c r="X112" i="4"/>
  <c r="G7" i="4"/>
  <c r="G6" i="4"/>
  <c r="G118" i="4"/>
  <c r="G112" i="4"/>
  <c r="W6" i="4"/>
  <c r="W7" i="4"/>
  <c r="W112" i="4"/>
  <c r="Y7" i="4"/>
  <c r="Y6" i="4"/>
  <c r="Y112" i="4"/>
  <c r="M118" i="4"/>
  <c r="M112" i="4"/>
  <c r="M6" i="4"/>
  <c r="M7" i="4"/>
  <c r="AK11" i="4"/>
  <c r="AJ11" i="4"/>
  <c r="AI11" i="4"/>
  <c r="U6" i="4"/>
  <c r="U7" i="4"/>
  <c r="U112" i="4"/>
  <c r="AJ28" i="4"/>
  <c r="F7" i="4"/>
  <c r="F6" i="4"/>
  <c r="F118" i="4"/>
  <c r="F112" i="4"/>
  <c r="Z7" i="4"/>
  <c r="Z6" i="4"/>
  <c r="Z112" i="4"/>
  <c r="I6" i="4"/>
  <c r="I118" i="4"/>
  <c r="I112" i="4"/>
  <c r="I7" i="4"/>
  <c r="AK11" i="5" l="1"/>
  <c r="AK7" i="5"/>
  <c r="AJ7" i="5"/>
  <c r="AI7" i="5"/>
  <c r="AK6" i="5"/>
  <c r="AJ6" i="5"/>
  <c r="AI6" i="5"/>
  <c r="AP5" i="5" s="1"/>
  <c r="AI112" i="5"/>
  <c r="AI112" i="4"/>
  <c r="AK7" i="4"/>
  <c r="AI7" i="4"/>
  <c r="AJ7" i="4"/>
  <c r="AK6" i="4"/>
  <c r="AP5" i="4"/>
  <c r="AJ6" i="4"/>
  <c r="AO4" i="5" l="1"/>
  <c r="AO3" i="5" s="1"/>
  <c r="AS6" i="5"/>
  <c r="AT6" i="5" s="1"/>
  <c r="AT7" i="5" s="1"/>
  <c r="AS6" i="4"/>
  <c r="AT6" i="4" s="1"/>
  <c r="AT7" i="4" s="1"/>
  <c r="AO4" i="4"/>
  <c r="AO3" i="4" s="1"/>
  <c r="A5" i="2" l="1"/>
  <c r="C75" i="2" l="1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6" i="2"/>
  <c r="B66" i="2"/>
  <c r="C65" i="2"/>
  <c r="B65" i="2"/>
  <c r="C64" i="2"/>
  <c r="C76" i="2" s="1"/>
  <c r="B64" i="2"/>
  <c r="A35" i="2"/>
  <c r="A34" i="2"/>
  <c r="A32" i="2"/>
  <c r="A24" i="2"/>
  <c r="A23" i="2"/>
  <c r="A22" i="2"/>
  <c r="A21" i="2"/>
  <c r="M20" i="3"/>
  <c r="N20" i="3" s="1"/>
  <c r="J20" i="3"/>
  <c r="F20" i="3"/>
  <c r="S20" i="3" s="1"/>
  <c r="R19" i="3"/>
  <c r="N19" i="3"/>
  <c r="I19" i="3"/>
  <c r="H19" i="3"/>
  <c r="J19" i="3" s="1"/>
  <c r="F19" i="3"/>
  <c r="S19" i="3" s="1"/>
  <c r="C83" i="3" s="1"/>
  <c r="M18" i="3"/>
  <c r="L18" i="3"/>
  <c r="K18" i="3"/>
  <c r="I18" i="3"/>
  <c r="H18" i="3"/>
  <c r="G18" i="3"/>
  <c r="E18" i="3"/>
  <c r="D18" i="3"/>
  <c r="C18" i="3"/>
  <c r="R17" i="3"/>
  <c r="M17" i="3"/>
  <c r="L17" i="3"/>
  <c r="K17" i="3"/>
  <c r="N17" i="3" s="1"/>
  <c r="I17" i="3"/>
  <c r="H17" i="3"/>
  <c r="G17" i="3"/>
  <c r="J17" i="3" s="1"/>
  <c r="E17" i="3"/>
  <c r="D17" i="3"/>
  <c r="C17" i="3"/>
  <c r="Q16" i="3"/>
  <c r="P16" i="3"/>
  <c r="O16" i="3"/>
  <c r="M16" i="3"/>
  <c r="L16" i="3"/>
  <c r="K16" i="3"/>
  <c r="I16" i="3"/>
  <c r="H16" i="3"/>
  <c r="G16" i="3"/>
  <c r="E16" i="3"/>
  <c r="D16" i="3"/>
  <c r="C16" i="3"/>
  <c r="Q15" i="3"/>
  <c r="P15" i="3"/>
  <c r="O15" i="3"/>
  <c r="R15" i="3" s="1"/>
  <c r="M15" i="3"/>
  <c r="N15" i="3" s="1"/>
  <c r="L15" i="3"/>
  <c r="K15" i="3"/>
  <c r="I15" i="3"/>
  <c r="H15" i="3"/>
  <c r="G15" i="3"/>
  <c r="J15" i="3" s="1"/>
  <c r="E15" i="3"/>
  <c r="D15" i="3"/>
  <c r="C15" i="3"/>
  <c r="F15" i="3" s="1"/>
  <c r="S15" i="3" s="1"/>
  <c r="Q14" i="3"/>
  <c r="P14" i="3"/>
  <c r="O14" i="3"/>
  <c r="M14" i="3"/>
  <c r="K14" i="3"/>
  <c r="I14" i="3"/>
  <c r="H14" i="3"/>
  <c r="G14" i="3"/>
  <c r="E14" i="3"/>
  <c r="D14" i="3"/>
  <c r="C14" i="3"/>
  <c r="Q13" i="3"/>
  <c r="P13" i="3"/>
  <c r="O13" i="3"/>
  <c r="R13" i="3" s="1"/>
  <c r="Q12" i="3"/>
  <c r="P12" i="3"/>
  <c r="O12" i="3"/>
  <c r="M12" i="3"/>
  <c r="L12" i="3"/>
  <c r="K12" i="3"/>
  <c r="I12" i="3"/>
  <c r="H12" i="3"/>
  <c r="G12" i="3"/>
  <c r="F12" i="3"/>
  <c r="E12" i="3"/>
  <c r="D12" i="3"/>
  <c r="C12" i="3"/>
  <c r="R11" i="3"/>
  <c r="R12" i="3" s="1"/>
  <c r="N11" i="3"/>
  <c r="N12" i="3" s="1"/>
  <c r="I11" i="3"/>
  <c r="J11" i="3" s="1"/>
  <c r="F11" i="3"/>
  <c r="Q9" i="3"/>
  <c r="P9" i="3"/>
  <c r="O9" i="3"/>
  <c r="M9" i="3"/>
  <c r="L9" i="3"/>
  <c r="K9" i="3"/>
  <c r="I9" i="3"/>
  <c r="H9" i="3"/>
  <c r="G9" i="3"/>
  <c r="E9" i="3"/>
  <c r="D9" i="3"/>
  <c r="C9" i="3"/>
  <c r="R8" i="3"/>
  <c r="R9" i="3" s="1"/>
  <c r="N8" i="3"/>
  <c r="N9" i="3" s="1"/>
  <c r="J8" i="3"/>
  <c r="J9" i="3" s="1"/>
  <c r="F8" i="3"/>
  <c r="R7" i="3"/>
  <c r="Q7" i="3"/>
  <c r="P7" i="3"/>
  <c r="O7" i="3"/>
  <c r="M7" i="3"/>
  <c r="L7" i="3"/>
  <c r="K7" i="3"/>
  <c r="I7" i="3"/>
  <c r="H7" i="3"/>
  <c r="G7" i="3"/>
  <c r="E7" i="3"/>
  <c r="D7" i="3"/>
  <c r="C7" i="3"/>
  <c r="R6" i="3"/>
  <c r="R16" i="3" s="1"/>
  <c r="N6" i="3"/>
  <c r="N7" i="3" s="1"/>
  <c r="J6" i="3"/>
  <c r="J7" i="3" s="1"/>
  <c r="F6" i="3"/>
  <c r="F7" i="3" s="1"/>
  <c r="Q4" i="3"/>
  <c r="P4" i="3"/>
  <c r="O4" i="3"/>
  <c r="R4" i="3" s="1"/>
  <c r="M4" i="3"/>
  <c r="M13" i="3" s="1"/>
  <c r="L4" i="3"/>
  <c r="L13" i="3" s="1"/>
  <c r="K4" i="3"/>
  <c r="K13" i="3" s="1"/>
  <c r="N13" i="3" s="1"/>
  <c r="I4" i="3"/>
  <c r="I13" i="3" s="1"/>
  <c r="H4" i="3"/>
  <c r="H13" i="3" s="1"/>
  <c r="G4" i="3"/>
  <c r="E4" i="3"/>
  <c r="E5" i="3" s="1"/>
  <c r="D4" i="3"/>
  <c r="D5" i="3" s="1"/>
  <c r="C4" i="3"/>
  <c r="C5" i="3" s="1"/>
  <c r="E3" i="3"/>
  <c r="G3" i="3" s="1"/>
  <c r="H3" i="3" s="1"/>
  <c r="D3" i="3"/>
  <c r="AB100" i="1"/>
  <c r="W100" i="1"/>
  <c r="R100" i="1"/>
  <c r="M100" i="1"/>
  <c r="H100" i="1"/>
  <c r="AB95" i="1"/>
  <c r="W95" i="1"/>
  <c r="R95" i="1"/>
  <c r="M95" i="1"/>
  <c r="H95" i="1"/>
  <c r="AB65" i="1"/>
  <c r="W65" i="1"/>
  <c r="R65" i="1"/>
  <c r="M65" i="1"/>
  <c r="H65" i="1"/>
  <c r="AB47" i="1"/>
  <c r="W47" i="1"/>
  <c r="R47" i="1"/>
  <c r="M47" i="1"/>
  <c r="H47" i="1"/>
  <c r="AB39" i="1"/>
  <c r="W39" i="1"/>
  <c r="R39" i="1"/>
  <c r="M39" i="1"/>
  <c r="H39" i="1"/>
  <c r="AB38" i="1"/>
  <c r="W38" i="1"/>
  <c r="R38" i="1"/>
  <c r="M38" i="1"/>
  <c r="H38" i="1"/>
  <c r="AB28" i="1"/>
  <c r="W28" i="1"/>
  <c r="R28" i="1"/>
  <c r="M28" i="1"/>
  <c r="H28" i="1"/>
  <c r="AB12" i="1"/>
  <c r="W12" i="1"/>
  <c r="R12" i="1"/>
  <c r="M12" i="1"/>
  <c r="H12" i="1"/>
  <c r="AB9" i="1"/>
  <c r="W9" i="1"/>
  <c r="R9" i="1"/>
  <c r="M9" i="1"/>
  <c r="H9" i="1"/>
  <c r="K17" i="2" l="1"/>
  <c r="A17" i="2" s="1"/>
  <c r="C84" i="3"/>
  <c r="K20" i="2" s="1"/>
  <c r="A20" i="2" s="1"/>
  <c r="A43" i="2"/>
  <c r="A26" i="2"/>
  <c r="A25" i="2"/>
  <c r="A33" i="2"/>
  <c r="A27" i="2"/>
  <c r="A13" i="2"/>
  <c r="A14" i="2"/>
  <c r="S11" i="3"/>
  <c r="J12" i="3"/>
  <c r="S12" i="3" s="1"/>
  <c r="H5" i="3"/>
  <c r="I3" i="3"/>
  <c r="R14" i="3"/>
  <c r="R5" i="3"/>
  <c r="G5" i="3"/>
  <c r="F18" i="3"/>
  <c r="F9" i="3"/>
  <c r="F16" i="3"/>
  <c r="S8" i="3"/>
  <c r="S9" i="3" s="1"/>
  <c r="F4" i="3"/>
  <c r="F14" i="3" s="1"/>
  <c r="J18" i="3"/>
  <c r="L14" i="3"/>
  <c r="J16" i="3"/>
  <c r="S6" i="3"/>
  <c r="J4" i="3"/>
  <c r="J5" i="3" s="1"/>
  <c r="N18" i="3"/>
  <c r="N16" i="3"/>
  <c r="C13" i="3"/>
  <c r="N4" i="3"/>
  <c r="D13" i="3"/>
  <c r="E13" i="3"/>
  <c r="G13" i="3"/>
  <c r="J13" i="3" s="1"/>
  <c r="F17" i="3"/>
  <c r="S17" i="3" s="1"/>
  <c r="A15" i="2" l="1"/>
  <c r="A46" i="2"/>
  <c r="A62" i="2"/>
  <c r="F13" i="3"/>
  <c r="S13" i="3" s="1"/>
  <c r="S16" i="3"/>
  <c r="S7" i="3"/>
  <c r="J14" i="3"/>
  <c r="F5" i="3"/>
  <c r="S4" i="3"/>
  <c r="K3" i="3"/>
  <c r="I5" i="3"/>
  <c r="N14" i="3"/>
  <c r="N5" i="3"/>
  <c r="S18" i="3"/>
  <c r="L3" i="3" l="1"/>
  <c r="K5" i="3"/>
  <c r="S14" i="3"/>
  <c r="S5" i="3"/>
  <c r="M3" i="3" l="1"/>
  <c r="L5" i="3"/>
  <c r="M5" i="3" l="1"/>
  <c r="O3" i="3"/>
  <c r="P3" i="3" l="1"/>
  <c r="O5" i="3"/>
  <c r="P5" i="3" l="1"/>
  <c r="Q3" i="3"/>
  <c r="Q5" i="3" s="1"/>
  <c r="B59" i="2" l="1"/>
  <c r="C59" i="2"/>
  <c r="B52" i="2" l="1"/>
  <c r="C52" i="2"/>
  <c r="C55" i="2"/>
  <c r="B55" i="2"/>
  <c r="C56" i="2"/>
  <c r="B56" i="2"/>
  <c r="C53" i="2"/>
  <c r="B53" i="2"/>
  <c r="C57" i="2" l="1"/>
  <c r="C49" i="2" l="1"/>
  <c r="B49" i="2"/>
  <c r="B57" i="2"/>
  <c r="C48" i="2" l="1"/>
  <c r="C50" i="2"/>
  <c r="C58" i="2"/>
  <c r="C54" i="2"/>
  <c r="C60" i="2" l="1"/>
  <c r="B58" i="2"/>
  <c r="B50" i="2"/>
  <c r="B54" i="2"/>
  <c r="B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COD_user</author>
  </authors>
  <commentList>
    <comment ref="D4" authorId="0" shapeId="0" xr:uid="{23D6FF95-112A-49BF-8649-992CF8B48113}">
      <text>
        <r>
          <rPr>
            <b/>
            <sz val="12"/>
            <color indexed="81"/>
            <rFont val="Tahoma"/>
            <family val="2"/>
            <charset val="204"/>
          </rPr>
          <t>Расхождение по транспорту, тк у Д310 не учтен газ для технужд Турпотока</t>
        </r>
      </text>
    </comment>
    <comment ref="F4" authorId="0" shapeId="0" xr:uid="{560AE526-85A8-494B-B65D-FE529E1DD601}">
      <text>
        <r>
          <rPr>
            <b/>
            <sz val="16"/>
            <color indexed="81"/>
            <rFont val="Tahoma"/>
            <family val="2"/>
            <charset val="204"/>
          </rPr>
          <t>COD_user:</t>
        </r>
        <r>
          <rPr>
            <sz val="16"/>
            <color indexed="81"/>
            <rFont val="Tahoma"/>
            <family val="2"/>
            <charset val="204"/>
          </rPr>
          <t xml:space="preserve">
ГПШ не совпадает. Операторы должны направить корректные данные в ГП</t>
        </r>
      </text>
    </comment>
  </commentList>
</comments>
</file>

<file path=xl/sharedStrings.xml><?xml version="1.0" encoding="utf-8"?>
<sst xmlns="http://schemas.openxmlformats.org/spreadsheetml/2006/main" count="683" uniqueCount="283">
  <si>
    <t>15.11.2021</t>
  </si>
  <si>
    <t>19.11.2021</t>
  </si>
  <si>
    <t>Оперативные показатели:</t>
  </si>
  <si>
    <t>Реализация товарного газа:</t>
  </si>
  <si>
    <t>Реализация товарного газа на текущую дату в 2020 г. с учетом реализации газа в ПХГ составляет 81,4% от абсолютного показателя 2019г. (46,8 млрд куб. м) и 73,4% от абсолютного показателя 2018г. (51,9 млрд куб. м).</t>
  </si>
  <si>
    <t>Баланс в европейских ПХГ на текущую дату составляет 11,71 млрд куб. м. Целевая активная емкость европейских ПХГ - 11,39 млрд куб. м. Перевыполнение составляет 0,32 млрд куб. м.</t>
  </si>
  <si>
    <t>Выполнение графика:</t>
  </si>
  <si>
    <t>Транспорт</t>
  </si>
  <si>
    <t>Товарный газ</t>
  </si>
  <si>
    <t>ГИС Велке Капушаны</t>
  </si>
  <si>
    <t>млн. куб. м в сутки</t>
  </si>
  <si>
    <t>ГИС Исакча</t>
  </si>
  <si>
    <t>ГИС Берег</t>
  </si>
  <si>
    <t>ГИС Медиешу Аурит</t>
  </si>
  <si>
    <t>GCP GAZ-SYSTEM/UATSO</t>
  </si>
  <si>
    <t>ГИС Высокое, Тетеревка</t>
  </si>
  <si>
    <t>ГИС Кондратки</t>
  </si>
  <si>
    <t>ГИС Иматра</t>
  </si>
  <si>
    <t>Голубой поток</t>
  </si>
  <si>
    <t>Турецкий поток</t>
  </si>
  <si>
    <t>Северный поток</t>
  </si>
  <si>
    <t>Северный поток-2</t>
  </si>
  <si>
    <t>Итого товарный газ (с учетом ГПШ)</t>
  </si>
  <si>
    <t>октябрь</t>
  </si>
  <si>
    <t>ноябрь</t>
  </si>
  <si>
    <t>16.11.2021</t>
  </si>
  <si>
    <t>17.11.2021</t>
  </si>
  <si>
    <t>18.11.2021</t>
  </si>
  <si>
    <t>График ГПЭ</t>
  </si>
  <si>
    <t>Заявки утренние</t>
  </si>
  <si>
    <t>Выделено</t>
  </si>
  <si>
    <t>Факт оценка</t>
  </si>
  <si>
    <t>Факт</t>
  </si>
  <si>
    <t>Факт к графику</t>
  </si>
  <si>
    <t>Подача ресурса - всего</t>
  </si>
  <si>
    <t>в т.ч. закачка - всего</t>
  </si>
  <si>
    <t>транспорт через Украину</t>
  </si>
  <si>
    <t>в т.ч. Молдавия</t>
  </si>
  <si>
    <t>Товарный газ - всего</t>
  </si>
  <si>
    <t>Товарный газ ГПЭ без учета ГПШ</t>
  </si>
  <si>
    <t>в т.ч. спот продажи через трейдинг/ЭТП</t>
  </si>
  <si>
    <t>в т.ч. отбор - всего</t>
  </si>
  <si>
    <t>GCP GAZ-SYSTEM/UATSO (ПОЛЬША)</t>
  </si>
  <si>
    <t>ГИС БEPEГ - ПОДАЧА РЕСУРСА</t>
  </si>
  <si>
    <t>Закачка в ПХГ</t>
  </si>
  <si>
    <t>Отбор из ПХГ</t>
  </si>
  <si>
    <t>ТОВАРНЫЙ ГАЗ</t>
  </si>
  <si>
    <t>Италия</t>
  </si>
  <si>
    <t>Венгрия</t>
  </si>
  <si>
    <t>Босния и Герцеговина</t>
  </si>
  <si>
    <t>Хорватия</t>
  </si>
  <si>
    <t>Сербия</t>
  </si>
  <si>
    <t>Австрия</t>
  </si>
  <si>
    <t>ГИС ВЕЛКЕ КАПУШАНЫ - ПОДАЧА РЕСУРСА</t>
  </si>
  <si>
    <t>кроме того закачка Геоплин</t>
  </si>
  <si>
    <t>кроме того отбор Геоплин</t>
  </si>
  <si>
    <t>Словакия</t>
  </si>
  <si>
    <t>Чехия</t>
  </si>
  <si>
    <t>Франция</t>
  </si>
  <si>
    <t>Германия</t>
  </si>
  <si>
    <t>Словения</t>
  </si>
  <si>
    <t>Нидерланды</t>
  </si>
  <si>
    <t>ГОЛУБОЙ ПОТОК (ТУРЦИЯ)</t>
  </si>
  <si>
    <t>ГИС ИМАТРА (ФИНЛЯНДИЯ)</t>
  </si>
  <si>
    <t>ГИС ИСАКЧА</t>
  </si>
  <si>
    <t>Болгария</t>
  </si>
  <si>
    <t>Румыния</t>
  </si>
  <si>
    <t>ГИС КОНДРАТКИ - ПОДАЧА РЕСУРСА</t>
  </si>
  <si>
    <t>Польша</t>
  </si>
  <si>
    <t>Бельгия</t>
  </si>
  <si>
    <t>Великобритания</t>
  </si>
  <si>
    <t>Дания</t>
  </si>
  <si>
    <t>Швейцария</t>
  </si>
  <si>
    <t>СЕВЕРНЫЙ ПОТОК - ПОДАЧА РЕСУРСА</t>
  </si>
  <si>
    <t>СЕВЕРНЫЙ ПОТОК 2 - ПОДАЧА РЕСУРСА</t>
  </si>
  <si>
    <t>Заполнение трубы (переходный газ)</t>
  </si>
  <si>
    <t>ГИС ВЫСОКОЕ,ТЕТЕРЕВКА (ПОЛЬША)</t>
  </si>
  <si>
    <t>ТУРЕЦКИЙ ПОТОК - ПОДАЧА РЕСУРСА</t>
  </si>
  <si>
    <t>Тех.нужды SSTBV/аккумуляция</t>
  </si>
  <si>
    <t>Турция</t>
  </si>
  <si>
    <t>Греция</t>
  </si>
  <si>
    <t>Северная Македония</t>
  </si>
  <si>
    <t>газ Gazprom Schweiz</t>
  </si>
  <si>
    <t>qгаз Gazprom Schweiz</t>
  </si>
  <si>
    <t>СПРАВОЧНО КИТАЙ</t>
  </si>
  <si>
    <t>ТОВАРНЫЙ ГАЗ - ВСЕГО С УЧЕТОМ КИТАЯ и ГПШ</t>
  </si>
  <si>
    <t>SYSTEM</t>
  </si>
  <si>
    <t xml:space="preserve">Прогноз выполнения баланса ПАО "Газпром" по поставке газа в дальнее зарубежье в 2021 г. </t>
  </si>
  <si>
    <t>Январь</t>
  </si>
  <si>
    <t>Февраль</t>
  </si>
  <si>
    <t>Март</t>
  </si>
  <si>
    <t>I кв.</t>
  </si>
  <si>
    <t>Апрель</t>
  </si>
  <si>
    <t>Май</t>
  </si>
  <si>
    <t>Июнь</t>
  </si>
  <si>
    <t>II кв.</t>
  </si>
  <si>
    <t>Июль</t>
  </si>
  <si>
    <t>Август</t>
  </si>
  <si>
    <t>Сентябрь</t>
  </si>
  <si>
    <t>III кв.</t>
  </si>
  <si>
    <t>Октябрь</t>
  </si>
  <si>
    <t>Ноябрь</t>
  </si>
  <si>
    <t>Декабрь</t>
  </si>
  <si>
    <t xml:space="preserve">IV кв. </t>
  </si>
  <si>
    <t xml:space="preserve">ВСЕГО </t>
  </si>
  <si>
    <t>прогноз</t>
  </si>
  <si>
    <t>Прогнозный баланс газа по России ПАО "Газпром" на 2021 г. на 183,0 млрд куб. м (письмо № ГЭ/02-361-КТ от 06.09.2021)</t>
  </si>
  <si>
    <t>Среднесут. знач. графика поставок на 183,0 млрд куб. м без учета реализации газа в ПХГ, млн куб. м в сутки</t>
  </si>
  <si>
    <t>Прогнозный баланс газа по России ПАО "Газпром" на 2021 г. на 183,0 млрд куб. м (письмо № 01/02/5-КТ от 11.01.2021)</t>
  </si>
  <si>
    <t>Прогнозный баланс газа по России ПАО "Газпром" на 2021 г. на 176,4 млрд куб. м</t>
  </si>
  <si>
    <t>Среднесут. знач. графика поставок на 176,4 млрд куб. м без учета реализации газа в ПХГ, млн куб. м в сутки</t>
  </si>
  <si>
    <t>товарный</t>
  </si>
  <si>
    <t>Товарный газ ПАО "Газпром" 2021 (без уч. Китая и ГПШ)*, 
млрд куб. м</t>
  </si>
  <si>
    <t>пхг</t>
  </si>
  <si>
    <t>в т.ч. реализация газа в ПХГ, млн куб. м</t>
  </si>
  <si>
    <t>факт</t>
  </si>
  <si>
    <t>Фактическое среднесут. знач. поставок без учета реализации газа в ПХГ, 
млн куб. м в сутки</t>
  </si>
  <si>
    <t>отклонение</t>
  </si>
  <si>
    <t xml:space="preserve">  +/-  к прогнозу 2021 на 183,0 млрд куб.м</t>
  </si>
  <si>
    <t>отклонение%</t>
  </si>
  <si>
    <t xml:space="preserve">  +/-  к прогнозу 2021 на 183,0 млрд куб м, %</t>
  </si>
  <si>
    <t xml:space="preserve">  +/-  к прогнозу 2021 на 176,4 млрд куб.м </t>
  </si>
  <si>
    <t xml:space="preserve">  +/-  к прогнозу 2021 на 176,4 млрд куб м, %</t>
  </si>
  <si>
    <t>ГПШ</t>
  </si>
  <si>
    <t>Газ Gazprom Schweiz 2021**, млрд куб. м</t>
  </si>
  <si>
    <t>КНР</t>
  </si>
  <si>
    <t>Поставка в КНР в 2021**, млрд куб. м</t>
  </si>
  <si>
    <t>Актуальный прогноз распределения газа на 2020 год на 173,0 млрд куб. м         (письмо № 04/210-КТ от 02.12.2020)</t>
  </si>
  <si>
    <t>Среднесут. знач. графика поставок без учета реализации газа в ПХГ, 
млн куб. м в сутки</t>
  </si>
  <si>
    <t>Товарный газ ПАО "Газпром" 2020 (без уч. Китая и ГПШ), 
млрд куб. м</t>
  </si>
  <si>
    <t xml:space="preserve">  +/-  к прогнозу 2020, млрд куб.м</t>
  </si>
  <si>
    <t xml:space="preserve">  +/-  к прогнозу 2020, %</t>
  </si>
  <si>
    <t xml:space="preserve">  +/- поставка 2021 к 2020, млрд куб.м</t>
  </si>
  <si>
    <t xml:space="preserve">  +/- поставка 2021 к 2020, %</t>
  </si>
  <si>
    <t>Прогнозный План на 2020 г. на 170,0 млрд куб. м (письмо ГЭ/02-120-КТ от 25.08.2020), млрд куб. м</t>
  </si>
  <si>
    <t>Товарный газ ПАО "Газпром" 2020 (без уч. Китая и ГПШ)*, 
млрд куб. м</t>
  </si>
  <si>
    <t>Газ Gazprom Schweiz 2020, млрд куб. м</t>
  </si>
  <si>
    <t>Поставка в КНР в 2020, млрд куб. м</t>
  </si>
  <si>
    <t>Баланс ПАО "Газпром" 2019 (1-2 кв. - факт, 3-4 кв. - Сценарные условия от 19.07.2019), млрд куб. м</t>
  </si>
  <si>
    <t>Товарный газ ПАО "Газпром" 2019 (без уч. Китая и ГПШ), 
млрд куб. м</t>
  </si>
  <si>
    <t>в т.ч. реализация газа в ПХГ (включая РЕПО), млрд куб. м</t>
  </si>
  <si>
    <t>в т.ч. РЕПО, млрд куб. м</t>
  </si>
  <si>
    <t>Среднесуточное значение без учета реализации газа в ПХГ, 
млн куб. м в сутки</t>
  </si>
  <si>
    <t xml:space="preserve">  +/-  к прогнозу 2019, млрд куб.м</t>
  </si>
  <si>
    <t xml:space="preserve">  +/-  к прогнозу 2019, %</t>
  </si>
  <si>
    <t xml:space="preserve">  +/- поставка 2021 к 2019, млрд куб.м</t>
  </si>
  <si>
    <t xml:space="preserve">  +/- поставка 2021 к 2019, %</t>
  </si>
  <si>
    <t>Газ Gazprom Schweiz 2019, млрд куб. м</t>
  </si>
  <si>
    <t>-</t>
  </si>
  <si>
    <t>Поставка в КНР в 2019, млрд куб. м</t>
  </si>
  <si>
    <t xml:space="preserve">  +/-  к балансу 2019, млрд куб.м</t>
  </si>
  <si>
    <t xml:space="preserve">  +/-  к балансу 2019, %</t>
  </si>
  <si>
    <t xml:space="preserve"> Товарный газ ПАО "Газпром" 2019 
без учета РЕПО (без уч. Китая)</t>
  </si>
  <si>
    <t>Баланс ПАО "Газпром" 2018 (от 13.06.2018), млрд куб. м</t>
  </si>
  <si>
    <t>Товарный газ ПАО "Газпром" 2018 (без уч. ГПШ), млрд куб. м</t>
  </si>
  <si>
    <t xml:space="preserve">  +/- поставка 2020 к 2018, млрд куб.м</t>
  </si>
  <si>
    <t xml:space="preserve">  +/- поставка 2020 к 2018, %</t>
  </si>
  <si>
    <t>Газ Gazprom Schweiz 2018, млрд куб. м</t>
  </si>
  <si>
    <t xml:space="preserve">  Товарный газ ПАО "Газпром" 2017</t>
  </si>
  <si>
    <t xml:space="preserve">  +/- поставка 2020 к 2017, млрд куб.м</t>
  </si>
  <si>
    <t xml:space="preserve">  +/- поставка 2020 к 2017, %</t>
  </si>
  <si>
    <t>Газ Gazprom Schweiz 2017</t>
  </si>
  <si>
    <t xml:space="preserve">  Товарный газ ПАО "Газпром" 2016</t>
  </si>
  <si>
    <t xml:space="preserve">  +/- поставка 2020 к 2016, млрд куб.м</t>
  </si>
  <si>
    <t xml:space="preserve">  +/- поставка 2020 к 2016, %</t>
  </si>
  <si>
    <t>Газ Gazprom Schweiz 2016</t>
  </si>
  <si>
    <t>* предварительно, исходя из поставки на 15.11.2021, заявок на 16.11.2021 и 17.11.2021, а также прогноза до конца года</t>
  </si>
  <si>
    <t>** по оперативным данным на 17.11.2021</t>
  </si>
  <si>
    <t>месяцы</t>
  </si>
  <si>
    <t>январь</t>
  </si>
  <si>
    <t>января</t>
  </si>
  <si>
    <t>февраль</t>
  </si>
  <si>
    <t>февраля</t>
  </si>
  <si>
    <t>март</t>
  </si>
  <si>
    <t>марта</t>
  </si>
  <si>
    <t>апрель</t>
  </si>
  <si>
    <t>апреля</t>
  </si>
  <si>
    <t>май</t>
  </si>
  <si>
    <t>мая</t>
  </si>
  <si>
    <t>июнь</t>
  </si>
  <si>
    <t>июня</t>
  </si>
  <si>
    <t>июль</t>
  </si>
  <si>
    <t>июля</t>
  </si>
  <si>
    <t>август</t>
  </si>
  <si>
    <t>августа</t>
  </si>
  <si>
    <t>сентябрь</t>
  </si>
  <si>
    <t>сентября</t>
  </si>
  <si>
    <t>октября</t>
  </si>
  <si>
    <t>ноября</t>
  </si>
  <si>
    <t>декабрь</t>
  </si>
  <si>
    <t>декабря</t>
  </si>
  <si>
    <t>Сводка 310 "Сведения о поставке газа на экспорт за Октябрь 2021г."</t>
  </si>
  <si>
    <t>Сводка 310 "Справка о поставках газа на экспорт в Европейские страны в 2019-2020-2021 гг."</t>
  </si>
  <si>
    <r>
      <t xml:space="preserve">- среднесуточная поставка c начала месяца (без ГПШ и Китая): </t>
    </r>
    <r>
      <rPr>
        <b/>
        <sz val="12"/>
        <rFont val="Times New Roman"/>
        <family val="1"/>
        <charset val="204"/>
      </rPr>
      <t xml:space="preserve">367,3 </t>
    </r>
    <r>
      <rPr>
        <sz val="12"/>
        <rFont val="Times New Roman"/>
        <family val="1"/>
        <charset val="204"/>
      </rPr>
      <t>млн куб. м, при среднесуточном графике поставок природного газа в дальнее зарубежье в объеме</t>
    </r>
    <r>
      <rPr>
        <b/>
        <sz val="12"/>
        <rFont val="Times New Roman"/>
        <family val="1"/>
        <charset val="204"/>
      </rPr>
      <t xml:space="preserve"> 484,6</t>
    </r>
    <r>
      <rPr>
        <sz val="12"/>
        <rFont val="Times New Roman"/>
        <family val="1"/>
        <charset val="204"/>
      </rPr>
      <t xml:space="preserve"> млн куб. м в ноябре 2021 г.</t>
    </r>
  </si>
  <si>
    <r>
      <t xml:space="preserve">Учитывая фактические поставки с 01.01.2021 по 13.11.2021 и номинации на 15.11.2021 и 15.11.2021, прогнозируемое </t>
    </r>
    <r>
      <rPr>
        <b/>
        <sz val="12"/>
        <color theme="1"/>
        <rFont val="Times New Roman"/>
        <family val="1"/>
        <charset val="204"/>
      </rPr>
      <t>отставание</t>
    </r>
    <r>
      <rPr>
        <sz val="12"/>
        <color theme="1"/>
        <rFont val="Times New Roman"/>
        <family val="1"/>
        <charset val="204"/>
      </rPr>
      <t xml:space="preserve"> от графика согласно Прогнозному балансу газа по России ПАО «Газпром» на 2021 г. на 183,0 млрд куб.м (4 квартал - письмо от 23.09.2021 №08/16/4-4325; исх.письмо ООО «Газпром экспорт» от 06.09.2021 №ГЭ/02-361-КТ) составляет</t>
    </r>
    <r>
      <rPr>
        <b/>
        <sz val="12"/>
        <color theme="1"/>
        <rFont val="Times New Roman"/>
        <family val="1"/>
        <charset val="204"/>
      </rPr>
      <t xml:space="preserve"> 4,95 млрд куб. м.</t>
    </r>
  </si>
  <si>
    <t>Наименование</t>
  </si>
  <si>
    <t>ГРАФИК ГПЭ</t>
  </si>
  <si>
    <t>удалить</t>
  </si>
  <si>
    <t>ИТОГО</t>
  </si>
  <si>
    <t>среднее</t>
  </si>
  <si>
    <t>Факт-оценка</t>
  </si>
  <si>
    <t>проверка по СРЗНАЧ</t>
  </si>
  <si>
    <t xml:space="preserve">ТОВАРНЫЙ ГАЗ          </t>
  </si>
  <si>
    <t>24 дня июля</t>
  </si>
  <si>
    <t>Газ Газпрома</t>
  </si>
  <si>
    <t xml:space="preserve">ТРАНСПОРТ BCEГO          </t>
  </si>
  <si>
    <t>Не забывать менять последний столбец и протягивать формулу</t>
  </si>
  <si>
    <t xml:space="preserve">  ОТБОР ИЗ ПХГ         </t>
  </si>
  <si>
    <t xml:space="preserve">  РЕАЛИЗАЦИЯ ГАЗА  В ПХГ        </t>
  </si>
  <si>
    <t xml:space="preserve"> ЗАКАЧКА В ПХГ         </t>
  </si>
  <si>
    <t>УКРАИНА-ЗАП.ЕВРОПА ТРАНСПОРТ</t>
  </si>
  <si>
    <t xml:space="preserve"> ГИС ВЕЛКЕ КАПУШАНЫ ТРАНСПОРТ</t>
  </si>
  <si>
    <t xml:space="preserve">   ЗАКАЧКА ПХГ         </t>
  </si>
  <si>
    <t xml:space="preserve">     ОТБОР ПХГ         </t>
  </si>
  <si>
    <t xml:space="preserve">ТОВАРНЫЙ ГАЗ        </t>
  </si>
  <si>
    <t xml:space="preserve">    СЛОВАКИЯ           </t>
  </si>
  <si>
    <t xml:space="preserve">    ЧEXИЯ              </t>
  </si>
  <si>
    <t xml:space="preserve">    ABCTPИЯ            </t>
  </si>
  <si>
    <t xml:space="preserve">    ИTAЛИЯ             </t>
  </si>
  <si>
    <t xml:space="preserve">    ФPAHЦИЯ            </t>
  </si>
  <si>
    <t xml:space="preserve">    ГЕРМАНИЯ           </t>
  </si>
  <si>
    <t xml:space="preserve">    ВЕНГРИЯ            </t>
  </si>
  <si>
    <t xml:space="preserve">    CЛOBEHИЯ           </t>
  </si>
  <si>
    <t xml:space="preserve">    НИДЕРЛАНДЫ</t>
  </si>
  <si>
    <t xml:space="preserve"> ГИС ИСАКЧА ТРАНСПОРТ</t>
  </si>
  <si>
    <t>РУМЫНИЯ</t>
  </si>
  <si>
    <t>БОЛГАРИЯ</t>
  </si>
  <si>
    <t xml:space="preserve"> ГИС БЕРЕГОВО ТРАНСПОРТ</t>
  </si>
  <si>
    <t>ИТАЛИЯ</t>
  </si>
  <si>
    <t xml:space="preserve">    БОСНИЯ И ГЕРЦЕГ.   </t>
  </si>
  <si>
    <t xml:space="preserve">    ХОРВАТИЯ           </t>
  </si>
  <si>
    <t xml:space="preserve"> ГИС МЕДИЕШУ АУРИТ (РУМЫНИЯ) </t>
  </si>
  <si>
    <t>МЕДИЕШУ</t>
  </si>
  <si>
    <t xml:space="preserve"> ГИС ДРОЗДОВИЧИ-ПОЛЬША </t>
  </si>
  <si>
    <t xml:space="preserve"> ГИС ВЫСОК,ТЕТ (ПОЛЬША) </t>
  </si>
  <si>
    <t xml:space="preserve"> ГИС КОНДРАТКИ ТРАНСПОРТ</t>
  </si>
  <si>
    <t xml:space="preserve">    ПОЛЬША             </t>
  </si>
  <si>
    <t xml:space="preserve">    БЕЛЬГИЯ            </t>
  </si>
  <si>
    <t xml:space="preserve">    ВЕЛИКОБРИТАНИЯ     </t>
  </si>
  <si>
    <t xml:space="preserve">    ДАНИЯ              </t>
  </si>
  <si>
    <t xml:space="preserve">    ШBEЙЦAPИЯ          </t>
  </si>
  <si>
    <t xml:space="preserve">    ФРАНЦИЯ            </t>
  </si>
  <si>
    <t xml:space="preserve">    ИТАЛИЯ             </t>
  </si>
  <si>
    <t xml:space="preserve">    ЧЕХИЯ              </t>
  </si>
  <si>
    <t xml:space="preserve">    АВСТРИЯ            </t>
  </si>
  <si>
    <t xml:space="preserve">    СЛОВЕНИЯ</t>
  </si>
  <si>
    <t xml:space="preserve"> ГИС ИМАТРА (ФИНЛЯНДИЯ) </t>
  </si>
  <si>
    <t xml:space="preserve"> ГИС ДУРУСУ(ТУРЦИЯ)    </t>
  </si>
  <si>
    <t>ТУРЕЦКИЙ ПОТОК (транспорт)</t>
  </si>
  <si>
    <t xml:space="preserve">    аккумуляция</t>
  </si>
  <si>
    <t xml:space="preserve">    БОЛГАРИЯ</t>
  </si>
  <si>
    <t xml:space="preserve">    TУPЦИЯ</t>
  </si>
  <si>
    <t xml:space="preserve">    ГРЕЦИЯ</t>
  </si>
  <si>
    <t xml:space="preserve">   СЕВЕРНАЯ МАКЕДОНИЯ</t>
  </si>
  <si>
    <t xml:space="preserve">    кроме того газ Gazprom Schweiz</t>
  </si>
  <si>
    <t xml:space="preserve">   РУМЫНИЯ</t>
  </si>
  <si>
    <t>СЕРБИЯ</t>
  </si>
  <si>
    <t>БОСНИЯ и ГЕРЦЕГОВИНА</t>
  </si>
  <si>
    <t>ВЕНГРИЯ</t>
  </si>
  <si>
    <t>ХОРВАТИЯ</t>
  </si>
  <si>
    <t>АВСТРИЯ</t>
  </si>
  <si>
    <t xml:space="preserve"> ГИС ГРАЙФСВАЛЬД(СЕГ) ТРАНСПОРТ </t>
  </si>
  <si>
    <t>кручинина</t>
  </si>
  <si>
    <t xml:space="preserve">    ВЕНГРИЯ</t>
  </si>
  <si>
    <t>ГИС ЛЮБМИН-2</t>
  </si>
  <si>
    <t>ЗАПОЛНЕНИЕ ТРУБЫ</t>
  </si>
  <si>
    <t>КИТАЙ</t>
  </si>
  <si>
    <t>ТОВАРНЫЙ ГАЗ С КИТАЕМ</t>
  </si>
  <si>
    <t>СУММАРНОЕ СОКРАЩЕНИЕ НОМИНАЦИЙ</t>
  </si>
  <si>
    <t>из них: -"best-efforts"</t>
  </si>
  <si>
    <t>-недопоставка по твердым обязательствам</t>
  </si>
  <si>
    <t>Товарный газ 4 ГИС</t>
  </si>
  <si>
    <t>Справочно товарный газ, млрд куб. м:</t>
  </si>
  <si>
    <t>в т.ч. с учетом ГПШ</t>
  </si>
  <si>
    <t>в т.ч. с учетом Китая и ГПШ</t>
  </si>
  <si>
    <t>проставить</t>
  </si>
  <si>
    <t xml:space="preserve">в т.ч. РЕПО </t>
  </si>
  <si>
    <t>товарный_год</t>
  </si>
  <si>
    <t>товарный_гпш_год</t>
  </si>
  <si>
    <t>товарный_китай_год</t>
  </si>
  <si>
    <t>товарный_месяц</t>
  </si>
  <si>
    <t>товарный_гпш_месяц</t>
  </si>
  <si>
    <t>товарный_китай_месяц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</si>
</sst>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dd\.mm\.yyyy"/>
    <numFmt numFmtId="165" formatCode="dddd"/>
    <numFmt numFmtId="166" formatCode="dd/mm/yy;@"/>
    <numFmt numFmtId="167" formatCode="_-* #,##0.0_-;\-* #,##0.0_-;_-* &quot;-&quot;??_-;_-@_-"/>
    <numFmt numFmtId="168" formatCode="_-* #,##0.0\ _₽_-;\-* #,##0.0\ _₽_-;_-* &quot;-&quot;?\ _₽_-;_-@_-"/>
    <numFmt numFmtId="169" formatCode="#,##0.0000"/>
    <numFmt numFmtId="170" formatCode="#,##0.0"/>
    <numFmt numFmtId="171" formatCode="[$-419]mmmm;@"/>
    <numFmt numFmtId="172" formatCode="#,##0.000"/>
    <numFmt numFmtId="173" formatCode="0.0%"/>
    <numFmt numFmtId="174" formatCode="0.0"/>
    <numFmt numFmtId="175" formatCode="_-* #,##0_р_._-;\-* #,##0_р_._-;_-* &quot;-&quot;??_р_._-;_-@_-"/>
    <numFmt numFmtId="176" formatCode="_-* #,##0.0_р_._-;\-* #,##0.0_р_._-;_-* &quot;-&quot;??_р_._-;_-@_-"/>
    <numFmt numFmtId="177" formatCode="_(* #,##0.00_);_(* \(#,##0.00\);_(* &quot;-&quot;??_);_(@_)"/>
    <numFmt numFmtId="178" formatCode="_-* #,##0.00_р_._-;\-* #,##0.00_р_._-;_-* &quot;-&quot;??_р_._-;_-@_-"/>
    <numFmt numFmtId="179" formatCode="_-* #,##0.0\ _₽_-;\-* #,##0.0\ _₽_-;_-* &quot;-&quot;??\ _₽_-;_-@_-"/>
    <numFmt numFmtId="180" formatCode="_-* #,##0\ _₽_-;\-* #,##0\ _₽_-;_-* &quot;-&quot;??\ _₽_-;_-@_-"/>
    <numFmt numFmtId="181" formatCode="[$-419]mmmm\ yyyy;@"/>
    <numFmt numFmtId="182" formatCode="[$-419]d\ mmm;@"/>
    <numFmt numFmtId="183" formatCode="_(* #,##0.000_);_(* \(#,##0.000\);_(* &quot;-&quot;??_);_(@_)"/>
    <numFmt numFmtId="184" formatCode="_-* #,##0.000000\ _₽_-;\-* #,##0.000000\ _₽_-;_-* &quot;-&quot;??\ _₽_-;_-@_-"/>
    <numFmt numFmtId="185" formatCode="_-* #,##0.00000\ _₽_-;\-* #,##0.00000\ _₽_-;_-* &quot;-&quot;??\ _₽_-;_-@_-"/>
    <numFmt numFmtId="186" formatCode="_(* #,##0_);_(* \(#,##0\);_(* &quot;-&quot;??_);_(@_)"/>
    <numFmt numFmtId="187" formatCode="_-* #,##0.000\ _₽_-;\-* #,##0.000\ _₽_-;_-* &quot;-&quot;??\ _₽_-;_-@_-"/>
    <numFmt numFmtId="188" formatCode="_(* #,##0.0000_);_(* \(#,##0.0000\);_(* &quot;-&quot;??_);_(@_)"/>
    <numFmt numFmtId="189" formatCode="dd/mm/yyyy;@"/>
    <numFmt numFmtId="190" formatCode="#,##0.000000000"/>
    <numFmt numFmtId="191" formatCode="#,##0.000000"/>
    <numFmt numFmtId="192" formatCode="#,##0.0000000000"/>
  </numFmts>
  <fonts count="77" x14ac:knownFonts="1">
    <font>
      <sz val="1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</font>
    <font>
      <sz val="6"/>
      <name val="Times New Roman"/>
      <family val="1"/>
      <charset val="204"/>
    </font>
    <font>
      <sz val="10"/>
      <name val="Arial Cyr"/>
      <charset val="204"/>
    </font>
    <font>
      <sz val="8"/>
      <name val="Calibri"/>
      <family val="2"/>
      <charset val="204"/>
    </font>
    <font>
      <b/>
      <sz val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color rgb="FF00B0F0"/>
      <name val="Times New Roman"/>
      <family val="1"/>
      <charset val="204"/>
    </font>
    <font>
      <b/>
      <i/>
      <sz val="12"/>
      <color rgb="FF00B0F0"/>
      <name val="Times New Roman"/>
      <family val="1"/>
      <charset val="204"/>
    </font>
    <font>
      <b/>
      <sz val="12"/>
      <color rgb="FF0066FF"/>
      <name val="Times New Roman"/>
      <family val="1"/>
      <charset val="204"/>
    </font>
    <font>
      <sz val="12"/>
      <color rgb="FF0066FF"/>
      <name val="Times New Roman"/>
      <family val="1"/>
      <charset val="204"/>
    </font>
    <font>
      <sz val="12"/>
      <color theme="5" tint="-0.249977111117893"/>
      <name val="Times New Roman"/>
      <family val="1"/>
      <charset val="204"/>
    </font>
    <font>
      <sz val="12"/>
      <color rgb="FF00B0F0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8"/>
      <color rgb="FFFF0000"/>
      <name val="Calibri"/>
      <family val="2"/>
      <charset val="204"/>
    </font>
    <font>
      <b/>
      <sz val="8"/>
      <color rgb="FFFF000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i/>
      <sz val="12"/>
      <color rgb="FF0000CC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  <font>
      <b/>
      <sz val="20"/>
      <color theme="0"/>
      <name val="Arial Narrow"/>
      <family val="2"/>
      <charset val="204"/>
    </font>
    <font>
      <b/>
      <sz val="36"/>
      <color rgb="FFFFFF00"/>
      <name val="Arial Narrow"/>
      <family val="2"/>
      <charset val="204"/>
    </font>
    <font>
      <b/>
      <i/>
      <sz val="20"/>
      <color rgb="FF0066FF"/>
      <name val="Arial Narrow"/>
      <family val="2"/>
      <charset val="204"/>
    </font>
    <font>
      <b/>
      <sz val="22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22"/>
      <color theme="0"/>
      <name val="Arial Narrow"/>
      <family val="2"/>
      <charset val="204"/>
    </font>
    <font>
      <b/>
      <i/>
      <sz val="22"/>
      <color theme="1"/>
      <name val="Arial Narrow"/>
      <family val="2"/>
      <charset val="204"/>
    </font>
    <font>
      <sz val="22"/>
      <color theme="1"/>
      <name val="Arial Narrow"/>
      <family val="2"/>
      <charset val="204"/>
    </font>
    <font>
      <i/>
      <sz val="22"/>
      <color theme="1"/>
      <name val="Arial Narrow"/>
      <family val="2"/>
      <charset val="204"/>
    </font>
    <font>
      <sz val="22"/>
      <color theme="1"/>
      <name val="Calibri Light"/>
      <family val="1"/>
      <charset val="204"/>
      <scheme val="major"/>
    </font>
    <font>
      <sz val="22"/>
      <color rgb="FFC00000"/>
      <name val="Arial Narrow"/>
      <family val="2"/>
      <charset val="204"/>
    </font>
    <font>
      <b/>
      <sz val="22"/>
      <color theme="8" tint="-0.499984740745262"/>
      <name val="Arial Narrow"/>
      <family val="2"/>
      <charset val="204"/>
    </font>
    <font>
      <b/>
      <sz val="22"/>
      <color rgb="FFFF0000"/>
      <name val="Arial Narrow"/>
      <family val="2"/>
      <charset val="204"/>
    </font>
    <font>
      <sz val="22"/>
      <color theme="8" tint="-0.499984740745262"/>
      <name val="Arial Narrow"/>
      <family val="2"/>
      <charset val="204"/>
    </font>
    <font>
      <sz val="22"/>
      <name val="Calibri Light"/>
      <family val="1"/>
      <charset val="204"/>
      <scheme val="major"/>
    </font>
    <font>
      <b/>
      <sz val="22"/>
      <color rgb="FF006600"/>
      <name val="Arial Narrow"/>
      <family val="2"/>
      <charset val="204"/>
    </font>
    <font>
      <sz val="22"/>
      <color rgb="FF006600"/>
      <name val="Arial Narrow"/>
      <family val="2"/>
      <charset val="204"/>
    </font>
    <font>
      <sz val="22"/>
      <color rgb="FF002060"/>
      <name val="Arial Narrow"/>
      <family val="2"/>
      <charset val="204"/>
    </font>
    <font>
      <b/>
      <sz val="22"/>
      <color rgb="FF002060"/>
      <name val="Arial Narrow"/>
      <family val="2"/>
      <charset val="204"/>
    </font>
    <font>
      <b/>
      <sz val="22"/>
      <name val="Arial Narrow"/>
      <family val="2"/>
      <charset val="204"/>
    </font>
    <font>
      <sz val="22"/>
      <name val="Arial Narrow"/>
      <family val="2"/>
      <charset val="204"/>
    </font>
    <font>
      <b/>
      <sz val="22"/>
      <color rgb="FFC00000"/>
      <name val="Arial Narrow"/>
      <family val="2"/>
      <charset val="204"/>
    </font>
    <font>
      <sz val="26"/>
      <color theme="1"/>
      <name val="Arial Narrow"/>
      <family val="2"/>
      <charset val="204"/>
    </font>
    <font>
      <i/>
      <sz val="26"/>
      <color theme="1"/>
      <name val="Arial Narrow"/>
      <family val="2"/>
      <charset val="204"/>
    </font>
    <font>
      <sz val="26"/>
      <color theme="1"/>
      <name val="Calibri"/>
      <family val="2"/>
      <charset val="204"/>
      <scheme val="minor"/>
    </font>
    <font>
      <b/>
      <sz val="12"/>
      <color indexed="81"/>
      <name val="Tahoma"/>
      <family val="2"/>
      <charset val="204"/>
    </font>
    <font>
      <b/>
      <sz val="16"/>
      <color indexed="81"/>
      <name val="Tahoma"/>
      <family val="2"/>
      <charset val="204"/>
    </font>
    <font>
      <sz val="16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2"/>
      <color rgb="FF0000FF"/>
      <name val="Times New Roman"/>
      <family val="1"/>
      <charset val="204"/>
    </font>
    <font>
      <i/>
      <sz val="12"/>
      <name val="Times New Roman Cyr"/>
      <charset val="204"/>
    </font>
    <font>
      <b/>
      <i/>
      <sz val="12"/>
      <color theme="1"/>
      <name val="Times New Roman Cyr"/>
      <charset val="204"/>
    </font>
    <font>
      <b/>
      <i/>
      <sz val="12"/>
      <name val="Times New Roman CYR"/>
      <charset val="204"/>
    </font>
    <font>
      <sz val="12"/>
      <name val="Arial Cyr"/>
      <charset val="204"/>
    </font>
    <font>
      <sz val="12"/>
      <name val="Segoe UI"/>
      <family val="2"/>
      <charset val="204"/>
    </font>
    <font>
      <sz val="12"/>
      <color rgb="FF1F497D"/>
      <name val="Calibri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2"/>
      <color theme="0"/>
      <name val="Arial Cyr"/>
      <charset val="204"/>
    </font>
    <font>
      <b/>
      <sz val="12"/>
      <color rgb="FFFF0000"/>
      <name val="Arial Cyr"/>
      <charset val="204"/>
    </font>
    <font>
      <b/>
      <sz val="12"/>
      <color rgb="FFC00000"/>
      <name val="Arial Cyr"/>
      <charset val="204"/>
    </font>
    <font>
      <sz val="12"/>
      <color theme="0" tint="-0.14999847407452621"/>
      <name val="Arial Cyr"/>
      <charset val="204"/>
    </font>
    <font>
      <b/>
      <sz val="12"/>
      <color theme="0" tint="-0.14999847407452621"/>
      <name val="Arial Cyr"/>
      <charset val="204"/>
    </font>
    <font>
      <b/>
      <i/>
      <sz val="12"/>
      <color theme="0" tint="-0.14999847407452621"/>
      <name val="Arial Cyr"/>
      <charset val="204"/>
    </font>
    <font>
      <i/>
      <sz val="12"/>
      <color theme="0" tint="-0.14999847407452621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0EE90"/>
      </patternFill>
    </fill>
    <fill>
      <patternFill patternType="solid">
        <fgColor rgb="FFFFFFE0"/>
      </patternFill>
    </fill>
    <fill>
      <patternFill patternType="solid">
        <fgColor rgb="FF00FFFF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FFDD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26"/>
        <bgColor indexed="64"/>
      </patternFill>
    </fill>
  </fills>
  <borders count="8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8" fontId="2" fillId="0" borderId="0"/>
    <xf numFmtId="177" fontId="1" fillId="0" borderId="0" applyFont="0" applyFill="0" applyBorder="0" applyAlignment="0" applyProtection="0"/>
    <xf numFmtId="0" fontId="60" fillId="0" borderId="0"/>
  </cellStyleXfs>
  <cellXfs count="483">
    <xf numFmtId="0" fontId="0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70" fontId="11" fillId="0" borderId="17" xfId="0" applyNumberFormat="1" applyFont="1" applyFill="1" applyBorder="1" applyAlignment="1" applyProtection="1">
      <alignment horizontal="center" vertical="center" wrapText="1"/>
    </xf>
    <xf numFmtId="170" fontId="11" fillId="0" borderId="21" xfId="0" applyNumberFormat="1" applyFont="1" applyFill="1" applyBorder="1" applyAlignment="1" applyProtection="1">
      <alignment horizontal="center" vertical="center" wrapText="1"/>
    </xf>
    <xf numFmtId="170" fontId="10" fillId="4" borderId="15" xfId="0" applyNumberFormat="1" applyFont="1" applyFill="1" applyBorder="1" applyAlignment="1" applyProtection="1">
      <alignment horizontal="center" vertical="center"/>
    </xf>
    <xf numFmtId="170" fontId="10" fillId="4" borderId="25" xfId="0" applyNumberFormat="1" applyFont="1" applyFill="1" applyBorder="1" applyAlignment="1" applyProtection="1">
      <alignment horizontal="center" vertical="center"/>
    </xf>
    <xf numFmtId="49" fontId="10" fillId="0" borderId="22" xfId="0" applyNumberFormat="1" applyFont="1" applyFill="1" applyBorder="1" applyAlignment="1" applyProtection="1">
      <alignment horizontal="center" vertical="center"/>
    </xf>
    <xf numFmtId="170" fontId="10" fillId="0" borderId="4" xfId="0" applyNumberFormat="1" applyFont="1" applyFill="1" applyBorder="1" applyAlignment="1" applyProtection="1">
      <alignment vertical="center"/>
    </xf>
    <xf numFmtId="170" fontId="12" fillId="0" borderId="7" xfId="0" applyNumberFormat="1" applyFont="1" applyFill="1" applyBorder="1" applyAlignment="1" applyProtection="1">
      <alignment vertical="center"/>
    </xf>
    <xf numFmtId="170" fontId="10" fillId="0" borderId="2" xfId="0" applyNumberFormat="1" applyFont="1" applyFill="1" applyBorder="1" applyAlignment="1" applyProtection="1">
      <alignment vertical="center"/>
    </xf>
    <xf numFmtId="170" fontId="11" fillId="0" borderId="7" xfId="0" applyNumberFormat="1" applyFont="1" applyFill="1" applyBorder="1" applyAlignment="1" applyProtection="1">
      <alignment vertical="center"/>
    </xf>
    <xf numFmtId="170" fontId="11" fillId="0" borderId="1" xfId="0" applyNumberFormat="1" applyFont="1" applyFill="1" applyBorder="1" applyAlignment="1" applyProtection="1">
      <alignment vertical="center"/>
    </xf>
    <xf numFmtId="170" fontId="11" fillId="0" borderId="8" xfId="0" applyNumberFormat="1" applyFont="1" applyFill="1" applyBorder="1" applyAlignment="1" applyProtection="1">
      <alignment vertical="center"/>
    </xf>
    <xf numFmtId="170" fontId="15" fillId="0" borderId="7" xfId="0" applyNumberFormat="1" applyFont="1" applyFill="1" applyBorder="1" applyAlignment="1" applyProtection="1">
      <alignment vertical="center"/>
    </xf>
    <xf numFmtId="170" fontId="15" fillId="0" borderId="8" xfId="0" applyNumberFormat="1" applyFont="1" applyFill="1" applyBorder="1" applyAlignment="1" applyProtection="1">
      <alignment vertical="center"/>
    </xf>
    <xf numFmtId="170" fontId="14" fillId="0" borderId="2" xfId="0" applyNumberFormat="1" applyFont="1" applyFill="1" applyBorder="1" applyAlignment="1" applyProtection="1">
      <alignment vertical="center"/>
    </xf>
    <xf numFmtId="4" fontId="11" fillId="0" borderId="7" xfId="0" applyNumberFormat="1" applyFont="1" applyFill="1" applyBorder="1" applyAlignment="1" applyProtection="1">
      <alignment vertical="center"/>
    </xf>
    <xf numFmtId="4" fontId="11" fillId="0" borderId="1" xfId="0" applyNumberFormat="1" applyFont="1" applyFill="1" applyBorder="1" applyAlignment="1" applyProtection="1">
      <alignment vertical="center"/>
    </xf>
    <xf numFmtId="172" fontId="11" fillId="0" borderId="1" xfId="0" applyNumberFormat="1" applyFont="1" applyFill="1" applyBorder="1" applyAlignment="1" applyProtection="1">
      <alignment vertical="center"/>
    </xf>
    <xf numFmtId="4" fontId="11" fillId="0" borderId="8" xfId="0" applyNumberFormat="1" applyFont="1" applyFill="1" applyBorder="1" applyAlignment="1" applyProtection="1">
      <alignment vertical="center"/>
    </xf>
    <xf numFmtId="4" fontId="10" fillId="0" borderId="2" xfId="0" applyNumberFormat="1" applyFont="1" applyFill="1" applyBorder="1" applyAlignment="1" applyProtection="1">
      <alignment vertical="center"/>
    </xf>
    <xf numFmtId="173" fontId="11" fillId="0" borderId="7" xfId="0" applyNumberFormat="1" applyFont="1" applyFill="1" applyBorder="1" applyAlignment="1" applyProtection="1">
      <alignment vertical="center"/>
    </xf>
    <xf numFmtId="173" fontId="11" fillId="0" borderId="1" xfId="0" applyNumberFormat="1" applyFont="1" applyFill="1" applyBorder="1" applyAlignment="1" applyProtection="1">
      <alignment vertical="center"/>
    </xf>
    <xf numFmtId="173" fontId="11" fillId="0" borderId="8" xfId="0" applyNumberFormat="1" applyFont="1" applyFill="1" applyBorder="1" applyAlignment="1" applyProtection="1">
      <alignment vertical="center"/>
    </xf>
    <xf numFmtId="173" fontId="10" fillId="0" borderId="2" xfId="0" applyNumberFormat="1" applyFont="1" applyFill="1" applyBorder="1" applyAlignment="1" applyProtection="1">
      <alignment vertical="center"/>
    </xf>
    <xf numFmtId="9" fontId="11" fillId="0" borderId="7" xfId="0" applyNumberFormat="1" applyFont="1" applyFill="1" applyBorder="1" applyAlignment="1" applyProtection="1">
      <alignment vertical="center"/>
    </xf>
    <xf numFmtId="9" fontId="11" fillId="0" borderId="1" xfId="0" applyNumberFormat="1" applyFont="1" applyFill="1" applyBorder="1" applyAlignment="1" applyProtection="1">
      <alignment vertical="center"/>
    </xf>
    <xf numFmtId="9" fontId="11" fillId="0" borderId="8" xfId="0" applyNumberFormat="1" applyFont="1" applyFill="1" applyBorder="1" applyAlignment="1" applyProtection="1">
      <alignment vertical="center"/>
    </xf>
    <xf numFmtId="4" fontId="11" fillId="0" borderId="12" xfId="0" applyNumberFormat="1" applyFont="1" applyFill="1" applyBorder="1" applyAlignment="1" applyProtection="1">
      <alignment vertical="center"/>
    </xf>
    <xf numFmtId="4" fontId="11" fillId="0" borderId="10" xfId="0" applyNumberFormat="1" applyFont="1" applyFill="1" applyBorder="1" applyAlignment="1" applyProtection="1">
      <alignment vertical="center"/>
    </xf>
    <xf numFmtId="4" fontId="11" fillId="0" borderId="13" xfId="0" applyNumberFormat="1" applyFont="1" applyFill="1" applyBorder="1" applyAlignment="1" applyProtection="1">
      <alignment vertical="center"/>
    </xf>
    <xf numFmtId="4" fontId="10" fillId="0" borderId="9" xfId="0" applyNumberFormat="1" applyFont="1" applyFill="1" applyBorder="1" applyAlignment="1" applyProtection="1">
      <alignment vertical="center"/>
    </xf>
    <xf numFmtId="170" fontId="11" fillId="3" borderId="5" xfId="0" applyNumberFormat="1" applyFont="1" applyFill="1" applyBorder="1" applyAlignment="1" applyProtection="1">
      <alignment vertical="center" wrapText="1"/>
    </xf>
    <xf numFmtId="9" fontId="11" fillId="3" borderId="5" xfId="0" applyNumberFormat="1" applyFont="1" applyFill="1" applyBorder="1" applyAlignment="1" applyProtection="1">
      <alignment vertical="center"/>
    </xf>
    <xf numFmtId="173" fontId="11" fillId="3" borderId="5" xfId="0" applyNumberFormat="1" applyFont="1" applyFill="1" applyBorder="1" applyAlignment="1" applyProtection="1">
      <alignment vertical="center"/>
    </xf>
    <xf numFmtId="173" fontId="10" fillId="3" borderId="5" xfId="0" applyNumberFormat="1" applyFont="1" applyFill="1" applyBorder="1" applyAlignment="1" applyProtection="1">
      <alignment vertical="center"/>
    </xf>
    <xf numFmtId="170" fontId="10" fillId="0" borderId="1" xfId="0" applyNumberFormat="1" applyFont="1" applyFill="1" applyBorder="1" applyAlignment="1" applyProtection="1">
      <alignment vertical="center" wrapText="1"/>
    </xf>
    <xf numFmtId="170" fontId="10" fillId="0" borderId="1" xfId="0" applyNumberFormat="1" applyFont="1" applyFill="1" applyBorder="1" applyAlignment="1" applyProtection="1">
      <alignment vertical="center"/>
    </xf>
    <xf numFmtId="170" fontId="12" fillId="0" borderId="1" xfId="0" applyNumberFormat="1" applyFont="1" applyFill="1" applyBorder="1" applyAlignment="1" applyProtection="1">
      <alignment horizontal="right" vertical="center" wrapText="1"/>
    </xf>
    <xf numFmtId="170" fontId="14" fillId="0" borderId="1" xfId="0" applyNumberFormat="1" applyFont="1" applyFill="1" applyBorder="1" applyAlignment="1" applyProtection="1">
      <alignment vertical="center" wrapText="1"/>
    </xf>
    <xf numFmtId="170" fontId="16" fillId="0" borderId="1" xfId="0" applyNumberFormat="1" applyFont="1" applyFill="1" applyBorder="1" applyAlignment="1" applyProtection="1">
      <alignment horizontal="right" vertical="center" wrapText="1"/>
    </xf>
    <xf numFmtId="170" fontId="17" fillId="0" borderId="1" xfId="0" applyNumberFormat="1" applyFont="1" applyFill="1" applyBorder="1" applyAlignment="1" applyProtection="1">
      <alignment horizontal="right" vertical="center" wrapText="1"/>
    </xf>
    <xf numFmtId="170" fontId="11" fillId="0" borderId="1" xfId="0" applyNumberFormat="1" applyFont="1" applyFill="1" applyBorder="1" applyAlignment="1" applyProtection="1">
      <alignment horizontal="right" vertical="center" wrapText="1"/>
    </xf>
    <xf numFmtId="173" fontId="10" fillId="0" borderId="1" xfId="0" applyNumberFormat="1" applyFont="1" applyFill="1" applyBorder="1" applyAlignment="1" applyProtection="1">
      <alignment vertical="center"/>
    </xf>
    <xf numFmtId="174" fontId="11" fillId="0" borderId="1" xfId="0" applyNumberFormat="1" applyFont="1" applyFill="1" applyBorder="1" applyAlignment="1" applyProtection="1">
      <alignment vertical="center"/>
    </xf>
    <xf numFmtId="170" fontId="19" fillId="0" borderId="1" xfId="0" applyNumberFormat="1" applyFont="1" applyFill="1" applyBorder="1" applyAlignment="1" applyProtection="1">
      <alignment horizontal="right" vertical="center" wrapText="1"/>
    </xf>
    <xf numFmtId="4" fontId="10" fillId="0" borderId="1" xfId="0" applyNumberFormat="1" applyFont="1" applyFill="1" applyBorder="1" applyAlignment="1" applyProtection="1">
      <alignment vertical="center"/>
    </xf>
    <xf numFmtId="9" fontId="10" fillId="0" borderId="1" xfId="0" applyNumberFormat="1" applyFont="1" applyFill="1" applyBorder="1" applyAlignment="1" applyProtection="1">
      <alignment vertical="center"/>
    </xf>
    <xf numFmtId="170" fontId="18" fillId="0" borderId="1" xfId="0" applyNumberFormat="1" applyFont="1" applyFill="1" applyBorder="1" applyAlignment="1" applyProtection="1">
      <alignment vertical="center" wrapText="1"/>
    </xf>
    <xf numFmtId="175" fontId="11" fillId="0" borderId="1" xfId="0" applyNumberFormat="1" applyFont="1" applyFill="1" applyBorder="1" applyAlignment="1" applyProtection="1">
      <alignment vertical="center"/>
    </xf>
    <xf numFmtId="168" fontId="11" fillId="0" borderId="1" xfId="0" applyNumberFormat="1" applyFont="1" applyFill="1" applyBorder="1" applyAlignment="1" applyProtection="1">
      <alignment vertical="center"/>
    </xf>
    <xf numFmtId="176" fontId="11" fillId="0" borderId="1" xfId="0" applyNumberFormat="1" applyFont="1" applyFill="1" applyBorder="1" applyAlignment="1" applyProtection="1">
      <alignment vertical="center"/>
    </xf>
    <xf numFmtId="177" fontId="11" fillId="0" borderId="1" xfId="0" applyNumberFormat="1" applyFont="1" applyFill="1" applyBorder="1" applyAlignment="1" applyProtection="1">
      <alignment vertical="center"/>
    </xf>
    <xf numFmtId="170" fontId="11" fillId="0" borderId="1" xfId="0" applyNumberFormat="1" applyFont="1" applyFill="1" applyBorder="1" applyAlignment="1" applyProtection="1">
      <alignment horizontal="right" vertical="center" wrapText="1" indent="1"/>
    </xf>
    <xf numFmtId="2" fontId="11" fillId="0" borderId="1" xfId="0" applyNumberFormat="1" applyFont="1" applyFill="1" applyBorder="1" applyAlignment="1" applyProtection="1">
      <alignment vertical="center"/>
    </xf>
    <xf numFmtId="171" fontId="10" fillId="0" borderId="14" xfId="0" applyNumberFormat="1" applyFont="1" applyFill="1" applyBorder="1" applyAlignment="1" applyProtection="1">
      <alignment horizontal="center" vertical="center"/>
    </xf>
    <xf numFmtId="171" fontId="10" fillId="0" borderId="15" xfId="0" applyNumberFormat="1" applyFont="1" applyFill="1" applyBorder="1" applyAlignment="1" applyProtection="1">
      <alignment horizontal="center" vertical="center"/>
    </xf>
    <xf numFmtId="171" fontId="10" fillId="0" borderId="16" xfId="0" applyNumberFormat="1" applyFont="1" applyFill="1" applyBorder="1" applyAlignment="1" applyProtection="1">
      <alignment horizontal="center" vertical="center"/>
    </xf>
    <xf numFmtId="171" fontId="10" fillId="0" borderId="18" xfId="0" applyNumberFormat="1" applyFont="1" applyFill="1" applyBorder="1" applyAlignment="1" applyProtection="1">
      <alignment horizontal="center" vertical="center"/>
    </xf>
    <xf numFmtId="170" fontId="10" fillId="0" borderId="26" xfId="0" applyNumberFormat="1" applyFont="1" applyFill="1" applyBorder="1" applyAlignment="1" applyProtection="1">
      <alignment horizontal="left" vertical="center" wrapText="1"/>
    </xf>
    <xf numFmtId="170" fontId="12" fillId="0" borderId="27" xfId="0" applyNumberFormat="1" applyFont="1" applyFill="1" applyBorder="1" applyAlignment="1" applyProtection="1">
      <alignment horizontal="right" vertical="center" wrapText="1"/>
    </xf>
    <xf numFmtId="170" fontId="10" fillId="0" borderId="27" xfId="0" applyNumberFormat="1" applyFont="1" applyFill="1" applyBorder="1" applyAlignment="1" applyProtection="1">
      <alignment vertical="center" wrapText="1"/>
    </xf>
    <xf numFmtId="170" fontId="12" fillId="0" borderId="27" xfId="0" applyNumberFormat="1" applyFont="1" applyFill="1" applyBorder="1" applyAlignment="1" applyProtection="1">
      <alignment vertical="center" wrapText="1"/>
    </xf>
    <xf numFmtId="170" fontId="14" fillId="0" borderId="27" xfId="0" applyNumberFormat="1" applyFont="1" applyFill="1" applyBorder="1" applyAlignment="1" applyProtection="1">
      <alignment vertical="center" wrapText="1"/>
    </xf>
    <xf numFmtId="170" fontId="16" fillId="0" borderId="27" xfId="0" applyNumberFormat="1" applyFont="1" applyFill="1" applyBorder="1" applyAlignment="1" applyProtection="1">
      <alignment horizontal="right" vertical="center" wrapText="1"/>
    </xf>
    <xf numFmtId="170" fontId="17" fillId="0" borderId="27" xfId="0" applyNumberFormat="1" applyFont="1" applyFill="1" applyBorder="1" applyAlignment="1" applyProtection="1">
      <alignment horizontal="right" vertical="center" wrapText="1"/>
    </xf>
    <xf numFmtId="170" fontId="11" fillId="0" borderId="27" xfId="0" applyNumberFormat="1" applyFont="1" applyFill="1" applyBorder="1" applyAlignment="1" applyProtection="1">
      <alignment horizontal="right" vertical="center" wrapText="1"/>
    </xf>
    <xf numFmtId="170" fontId="11" fillId="0" borderId="27" xfId="0" applyNumberFormat="1" applyFont="1" applyFill="1" applyBorder="1" applyAlignment="1" applyProtection="1">
      <alignment vertical="center" wrapText="1"/>
    </xf>
    <xf numFmtId="170" fontId="18" fillId="0" borderId="27" xfId="0" applyNumberFormat="1" applyFont="1" applyFill="1" applyBorder="1" applyAlignment="1" applyProtection="1">
      <alignment vertical="center" wrapText="1"/>
    </xf>
    <xf numFmtId="170" fontId="18" fillId="0" borderId="28" xfId="0" applyNumberFormat="1" applyFont="1" applyFill="1" applyBorder="1" applyAlignment="1" applyProtection="1">
      <alignment vertical="center" wrapText="1"/>
    </xf>
    <xf numFmtId="0" fontId="10" fillId="4" borderId="23" xfId="0" applyNumberFormat="1" applyFont="1" applyFill="1" applyBorder="1" applyAlignment="1" applyProtection="1">
      <alignment horizontal="center" vertical="center"/>
    </xf>
    <xf numFmtId="0" fontId="10" fillId="4" borderId="24" xfId="0" applyNumberFormat="1" applyFont="1" applyFill="1" applyBorder="1" applyAlignment="1" applyProtection="1">
      <alignment horizontal="center" vertical="center"/>
    </xf>
    <xf numFmtId="170" fontId="11" fillId="0" borderId="20" xfId="0" applyNumberFormat="1" applyFont="1" applyFill="1" applyBorder="1" applyAlignment="1" applyProtection="1">
      <alignment vertical="center"/>
    </xf>
    <xf numFmtId="170" fontId="12" fillId="0" borderId="20" xfId="0" applyNumberFormat="1" applyFont="1" applyFill="1" applyBorder="1" applyAlignment="1" applyProtection="1">
      <alignment vertical="center"/>
    </xf>
    <xf numFmtId="170" fontId="15" fillId="0" borderId="20" xfId="0" applyNumberFormat="1" applyFont="1" applyFill="1" applyBorder="1" applyAlignment="1" applyProtection="1">
      <alignment vertical="center"/>
    </xf>
    <xf numFmtId="4" fontId="11" fillId="0" borderId="20" xfId="0" applyNumberFormat="1" applyFont="1" applyFill="1" applyBorder="1" applyAlignment="1" applyProtection="1">
      <alignment vertical="center"/>
    </xf>
    <xf numFmtId="173" fontId="11" fillId="0" borderId="20" xfId="0" applyNumberFormat="1" applyFont="1" applyFill="1" applyBorder="1" applyAlignment="1" applyProtection="1">
      <alignment vertical="center"/>
    </xf>
    <xf numFmtId="9" fontId="11" fillId="0" borderId="20" xfId="0" applyNumberFormat="1" applyFont="1" applyFill="1" applyBorder="1" applyAlignment="1" applyProtection="1">
      <alignment vertical="center"/>
    </xf>
    <xf numFmtId="170" fontId="11" fillId="0" borderId="32" xfId="0" applyNumberFormat="1" applyFont="1" applyFill="1" applyBorder="1" applyAlignment="1" applyProtection="1">
      <alignment vertical="center"/>
    </xf>
    <xf numFmtId="170" fontId="11" fillId="0" borderId="33" xfId="0" applyNumberFormat="1" applyFont="1" applyFill="1" applyBorder="1" applyAlignment="1" applyProtection="1">
      <alignment vertical="center"/>
    </xf>
    <xf numFmtId="170" fontId="11" fillId="0" borderId="34" xfId="0" applyNumberFormat="1" applyFont="1" applyFill="1" applyBorder="1" applyAlignment="1" applyProtection="1">
      <alignment vertical="center"/>
    </xf>
    <xf numFmtId="170" fontId="12" fillId="0" borderId="8" xfId="0" applyNumberFormat="1" applyFont="1" applyFill="1" applyBorder="1" applyAlignment="1" applyProtection="1">
      <alignment vertical="center"/>
    </xf>
    <xf numFmtId="170" fontId="10" fillId="0" borderId="35" xfId="0" applyNumberFormat="1" applyFont="1" applyFill="1" applyBorder="1" applyAlignment="1" applyProtection="1">
      <alignment vertical="center"/>
    </xf>
    <xf numFmtId="170" fontId="13" fillId="0" borderId="36" xfId="0" applyNumberFormat="1" applyFont="1" applyFill="1" applyBorder="1" applyAlignment="1" applyProtection="1">
      <alignment vertical="center"/>
    </xf>
    <xf numFmtId="170" fontId="10" fillId="0" borderId="36" xfId="0" applyNumberFormat="1" applyFont="1" applyFill="1" applyBorder="1" applyAlignment="1" applyProtection="1">
      <alignment vertical="center"/>
    </xf>
    <xf numFmtId="4" fontId="10" fillId="0" borderId="36" xfId="0" applyNumberFormat="1" applyFont="1" applyFill="1" applyBorder="1" applyAlignment="1" applyProtection="1">
      <alignment vertical="center"/>
    </xf>
    <xf numFmtId="173" fontId="10" fillId="0" borderId="36" xfId="0" applyNumberFormat="1" applyFont="1" applyFill="1" applyBorder="1" applyAlignment="1" applyProtection="1">
      <alignment vertical="center"/>
    </xf>
    <xf numFmtId="4" fontId="10" fillId="0" borderId="37" xfId="0" applyNumberFormat="1" applyFont="1" applyFill="1" applyBorder="1" applyAlignment="1" applyProtection="1">
      <alignment vertical="center"/>
    </xf>
    <xf numFmtId="170" fontId="11" fillId="0" borderId="13" xfId="0" applyNumberFormat="1" applyFont="1" applyFill="1" applyBorder="1" applyAlignment="1" applyProtection="1">
      <alignment vertical="center"/>
    </xf>
    <xf numFmtId="170" fontId="11" fillId="0" borderId="29" xfId="0" applyNumberFormat="1" applyFont="1" applyFill="1" applyBorder="1" applyAlignment="1" applyProtection="1">
      <alignment vertical="center"/>
    </xf>
    <xf numFmtId="170" fontId="12" fillId="0" borderId="30" xfId="0" applyNumberFormat="1" applyFont="1" applyFill="1" applyBorder="1" applyAlignment="1" applyProtection="1">
      <alignment vertical="center"/>
    </xf>
    <xf numFmtId="170" fontId="11" fillId="0" borderId="30" xfId="0" applyNumberFormat="1" applyFont="1" applyFill="1" applyBorder="1" applyAlignment="1" applyProtection="1">
      <alignment vertical="center"/>
    </xf>
    <xf numFmtId="173" fontId="11" fillId="0" borderId="30" xfId="0" applyNumberFormat="1" applyFont="1" applyFill="1" applyBorder="1" applyAlignment="1" applyProtection="1">
      <alignment vertical="center"/>
    </xf>
    <xf numFmtId="170" fontId="11" fillId="0" borderId="31" xfId="0" applyNumberFormat="1" applyFont="1" applyFill="1" applyBorder="1" applyAlignment="1" applyProtection="1">
      <alignment vertical="center"/>
    </xf>
    <xf numFmtId="172" fontId="11" fillId="0" borderId="20" xfId="0" applyNumberFormat="1" applyFont="1" applyFill="1" applyBorder="1" applyAlignment="1" applyProtection="1">
      <alignment vertical="center"/>
    </xf>
    <xf numFmtId="0" fontId="11" fillId="4" borderId="0" xfId="0" applyNumberFormat="1" applyFont="1" applyFill="1" applyBorder="1" applyAlignment="1" applyProtection="1">
      <alignment vertical="center"/>
    </xf>
    <xf numFmtId="0" fontId="11" fillId="4" borderId="0" xfId="0" applyNumberFormat="1" applyFont="1" applyFill="1" applyBorder="1" applyAlignment="1" applyProtection="1">
      <alignment horizontal="center" vertical="center"/>
    </xf>
    <xf numFmtId="170" fontId="10" fillId="0" borderId="38" xfId="0" applyNumberFormat="1" applyFont="1" applyFill="1" applyBorder="1" applyAlignment="1" applyProtection="1">
      <alignment vertical="center" wrapText="1"/>
    </xf>
    <xf numFmtId="4" fontId="11" fillId="0" borderId="38" xfId="0" applyNumberFormat="1" applyFont="1" applyFill="1" applyBorder="1" applyAlignment="1" applyProtection="1">
      <alignment vertical="center"/>
    </xf>
    <xf numFmtId="170" fontId="10" fillId="0" borderId="38" xfId="0" applyNumberFormat="1" applyFont="1" applyFill="1" applyBorder="1" applyAlignment="1" applyProtection="1">
      <alignment vertical="center"/>
    </xf>
    <xf numFmtId="170" fontId="10" fillId="5" borderId="11" xfId="0" applyNumberFormat="1" applyFont="1" applyFill="1" applyBorder="1" applyAlignment="1" applyProtection="1">
      <alignment horizontal="center" vertical="center"/>
    </xf>
    <xf numFmtId="49" fontId="10" fillId="5" borderId="19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wrapText="1"/>
    </xf>
    <xf numFmtId="0" fontId="8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 wrapText="1"/>
    </xf>
    <xf numFmtId="0" fontId="20" fillId="0" borderId="0" xfId="0" applyFont="1" applyAlignment="1">
      <alignment horizontal="centerContinuous" vertical="center" wrapText="1"/>
    </xf>
    <xf numFmtId="0" fontId="9" fillId="6" borderId="42" xfId="0" applyFont="1" applyFill="1" applyBorder="1" applyAlignment="1">
      <alignment horizontal="centerContinuous" vertical="center" wrapText="1"/>
    </xf>
    <xf numFmtId="0" fontId="9" fillId="7" borderId="42" xfId="0" applyFont="1" applyFill="1" applyBorder="1" applyAlignment="1">
      <alignment horizontal="centerContinuous" vertical="center" wrapText="1"/>
    </xf>
    <xf numFmtId="0" fontId="21" fillId="0" borderId="42" xfId="0" applyFont="1" applyBorder="1"/>
    <xf numFmtId="167" fontId="8" fillId="0" borderId="0" xfId="0" applyNumberFormat="1" applyFont="1"/>
    <xf numFmtId="167" fontId="9" fillId="0" borderId="42" xfId="0" applyNumberFormat="1" applyFont="1" applyBorder="1"/>
    <xf numFmtId="0" fontId="9" fillId="0" borderId="42" xfId="0" applyFont="1" applyBorder="1" applyAlignment="1">
      <alignment horizontal="right"/>
    </xf>
    <xf numFmtId="167" fontId="9" fillId="0" borderId="0" xfId="0" applyNumberFormat="1" applyFont="1"/>
    <xf numFmtId="167" fontId="9" fillId="6" borderId="0" xfId="0" applyNumberFormat="1" applyFont="1" applyFill="1"/>
    <xf numFmtId="167" fontId="9" fillId="7" borderId="0" xfId="0" applyNumberFormat="1" applyFont="1" applyFill="1"/>
    <xf numFmtId="0" fontId="9" fillId="0" borderId="42" xfId="0" applyFont="1" applyBorder="1" applyAlignment="1">
      <alignment horizontal="left"/>
    </xf>
    <xf numFmtId="167" fontId="9" fillId="8" borderId="42" xfId="0" applyNumberFormat="1" applyFont="1" applyFill="1" applyBorder="1"/>
    <xf numFmtId="167" fontId="21" fillId="0" borderId="0" xfId="0" applyNumberFormat="1" applyFont="1"/>
    <xf numFmtId="0" fontId="21" fillId="0" borderId="42" xfId="0" applyFont="1" applyBorder="1" applyAlignment="1">
      <alignment horizontal="left"/>
    </xf>
    <xf numFmtId="0" fontId="0" fillId="0" borderId="0" xfId="0" applyAlignment="1" applyProtection="1">
      <alignment vertical="center"/>
      <protection locked="0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79" fontId="11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79" fontId="11" fillId="2" borderId="0" xfId="0" applyNumberFormat="1" applyFont="1" applyFill="1" applyAlignment="1">
      <alignment horizontal="left" vertical="center"/>
    </xf>
    <xf numFmtId="0" fontId="11" fillId="0" borderId="0" xfId="0" applyFont="1" applyAlignment="1">
      <alignment horizontal="right" vertical="center"/>
    </xf>
    <xf numFmtId="179" fontId="1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4" fillId="0" borderId="0" xfId="0" applyFont="1"/>
    <xf numFmtId="166" fontId="4" fillId="0" borderId="0" xfId="0" applyNumberFormat="1" applyFont="1"/>
    <xf numFmtId="170" fontId="14" fillId="0" borderId="30" xfId="0" applyNumberFormat="1" applyFont="1" applyFill="1" applyBorder="1" applyAlignment="1" applyProtection="1">
      <alignment vertical="center"/>
    </xf>
    <xf numFmtId="0" fontId="30" fillId="0" borderId="0" xfId="0" applyFont="1"/>
    <xf numFmtId="0" fontId="30" fillId="0" borderId="44" xfId="0" applyFont="1" applyBorder="1" applyAlignment="1">
      <alignment horizontal="left" vertical="center"/>
    </xf>
    <xf numFmtId="3" fontId="30" fillId="0" borderId="48" xfId="0" applyNumberFormat="1" applyFont="1" applyBorder="1" applyAlignment="1">
      <alignment horizontal="center" vertical="center"/>
    </xf>
    <xf numFmtId="180" fontId="30" fillId="0" borderId="48" xfId="7" applyNumberFormat="1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77" fontId="30" fillId="0" borderId="45" xfId="7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0" fillId="0" borderId="0" xfId="0"/>
    <xf numFmtId="0" fontId="34" fillId="0" borderId="0" xfId="0" applyFont="1"/>
    <xf numFmtId="177" fontId="30" fillId="0" borderId="0" xfId="0" applyNumberFormat="1" applyFont="1"/>
    <xf numFmtId="1" fontId="35" fillId="9" borderId="0" xfId="0" applyNumberFormat="1" applyFont="1" applyFill="1"/>
    <xf numFmtId="0" fontId="36" fillId="0" borderId="0" xfId="0" applyFont="1"/>
    <xf numFmtId="0" fontId="35" fillId="0" borderId="0" xfId="0" applyFont="1"/>
    <xf numFmtId="182" fontId="37" fillId="10" borderId="52" xfId="7" applyNumberFormat="1" applyFont="1" applyFill="1" applyBorder="1" applyAlignment="1">
      <alignment horizontal="center" vertical="center"/>
    </xf>
    <xf numFmtId="182" fontId="37" fillId="10" borderId="53" xfId="7" applyNumberFormat="1" applyFont="1" applyFill="1" applyBorder="1" applyAlignment="1">
      <alignment horizontal="center" vertical="center"/>
    </xf>
    <xf numFmtId="177" fontId="37" fillId="10" borderId="54" xfId="7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177" fontId="35" fillId="0" borderId="0" xfId="0" applyNumberFormat="1" applyFont="1"/>
    <xf numFmtId="177" fontId="35" fillId="2" borderId="0" xfId="0" applyNumberFormat="1" applyFont="1" applyFill="1"/>
    <xf numFmtId="14" fontId="32" fillId="12" borderId="46" xfId="0" applyNumberFormat="1" applyFont="1" applyFill="1" applyBorder="1" applyAlignment="1">
      <alignment horizontal="center" vertical="center"/>
    </xf>
    <xf numFmtId="180" fontId="32" fillId="10" borderId="56" xfId="7" applyNumberFormat="1" applyFont="1" applyFill="1" applyBorder="1" applyAlignment="1">
      <alignment horizontal="center" vertical="center"/>
    </xf>
    <xf numFmtId="177" fontId="37" fillId="10" borderId="57" xfId="7" applyFont="1" applyFill="1" applyBorder="1" applyAlignment="1">
      <alignment horizontal="center" vertical="center"/>
    </xf>
    <xf numFmtId="171" fontId="35" fillId="4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171" fontId="35" fillId="12" borderId="0" xfId="0" applyNumberFormat="1" applyFont="1" applyFill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49" fontId="37" fillId="4" borderId="58" xfId="0" applyNumberFormat="1" applyFont="1" applyFill="1" applyBorder="1" applyAlignment="1">
      <alignment horizontal="left" vertical="center"/>
    </xf>
    <xf numFmtId="3" fontId="37" fillId="4" borderId="59" xfId="0" applyNumberFormat="1" applyFont="1" applyFill="1" applyBorder="1" applyAlignment="1">
      <alignment horizontal="center" vertical="center"/>
    </xf>
    <xf numFmtId="180" fontId="37" fillId="4" borderId="60" xfId="0" applyNumberFormat="1" applyFont="1" applyFill="1" applyBorder="1" applyAlignment="1">
      <alignment horizontal="center" vertical="center"/>
    </xf>
    <xf numFmtId="177" fontId="37" fillId="4" borderId="61" xfId="7" applyFont="1" applyFill="1" applyBorder="1" applyAlignment="1">
      <alignment horizontal="center" vertical="center"/>
    </xf>
    <xf numFmtId="179" fontId="35" fillId="0" borderId="0" xfId="7" applyNumberFormat="1" applyFont="1" applyAlignment="1">
      <alignment horizontal="center" vertical="center"/>
    </xf>
    <xf numFmtId="183" fontId="40" fillId="0" borderId="0" xfId="0" applyNumberFormat="1" applyFont="1" applyAlignment="1">
      <alignment horizontal="center" vertical="center"/>
    </xf>
    <xf numFmtId="177" fontId="41" fillId="0" borderId="0" xfId="7" applyFont="1" applyFill="1" applyAlignment="1">
      <alignment horizontal="center" vertical="center"/>
    </xf>
    <xf numFmtId="184" fontId="39" fillId="0" borderId="0" xfId="0" applyNumberFormat="1" applyFont="1" applyAlignment="1">
      <alignment horizontal="center" vertical="center"/>
    </xf>
    <xf numFmtId="177" fontId="39" fillId="0" borderId="0" xfId="0" applyNumberFormat="1" applyFont="1" applyAlignment="1">
      <alignment horizontal="center" vertical="center"/>
    </xf>
    <xf numFmtId="177" fontId="39" fillId="13" borderId="0" xfId="0" applyNumberFormat="1" applyFont="1" applyFill="1" applyAlignment="1">
      <alignment horizontal="center" vertical="center"/>
    </xf>
    <xf numFmtId="49" fontId="39" fillId="0" borderId="0" xfId="0" applyNumberFormat="1" applyFont="1" applyAlignment="1">
      <alignment horizontal="left" vertical="center"/>
    </xf>
    <xf numFmtId="49" fontId="37" fillId="4" borderId="58" xfId="0" applyNumberFormat="1" applyFont="1" applyFill="1" applyBorder="1" applyAlignment="1">
      <alignment horizontal="right" vertical="center"/>
    </xf>
    <xf numFmtId="180" fontId="32" fillId="9" borderId="59" xfId="0" applyNumberFormat="1" applyFont="1" applyFill="1" applyBorder="1" applyAlignment="1">
      <alignment horizontal="center" vertical="center"/>
    </xf>
    <xf numFmtId="180" fontId="39" fillId="0" borderId="0" xfId="0" applyNumberFormat="1" applyFont="1" applyAlignment="1">
      <alignment horizontal="center" vertical="center"/>
    </xf>
    <xf numFmtId="49" fontId="37" fillId="11" borderId="62" xfId="0" applyNumberFormat="1" applyFont="1" applyFill="1" applyBorder="1" applyAlignment="1">
      <alignment horizontal="left" vertical="center"/>
    </xf>
    <xf numFmtId="3" fontId="37" fillId="11" borderId="63" xfId="0" applyNumberFormat="1" applyFont="1" applyFill="1" applyBorder="1" applyAlignment="1">
      <alignment horizontal="center" vertical="center"/>
    </xf>
    <xf numFmtId="180" fontId="37" fillId="11" borderId="59" xfId="0" applyNumberFormat="1" applyFont="1" applyFill="1" applyBorder="1" applyAlignment="1">
      <alignment horizontal="center" vertical="center"/>
    </xf>
    <xf numFmtId="180" fontId="37" fillId="11" borderId="53" xfId="0" applyNumberFormat="1" applyFont="1" applyFill="1" applyBorder="1" applyAlignment="1">
      <alignment horizontal="center" vertical="center"/>
    </xf>
    <xf numFmtId="180" fontId="37" fillId="11" borderId="60" xfId="0" applyNumberFormat="1" applyFont="1" applyFill="1" applyBorder="1" applyAlignment="1">
      <alignment horizontal="center" vertical="center"/>
    </xf>
    <xf numFmtId="177" fontId="37" fillId="11" borderId="61" xfId="7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39" fillId="0" borderId="0" xfId="0" applyFont="1"/>
    <xf numFmtId="49" fontId="43" fillId="14" borderId="62" xfId="0" applyNumberFormat="1" applyFont="1" applyFill="1" applyBorder="1" applyAlignment="1">
      <alignment horizontal="left" vertical="center"/>
    </xf>
    <xf numFmtId="4" fontId="44" fillId="14" borderId="63" xfId="7" applyNumberFormat="1" applyFont="1" applyFill="1" applyBorder="1" applyAlignment="1">
      <alignment horizontal="center" vertical="center"/>
    </xf>
    <xf numFmtId="180" fontId="43" fillId="14" borderId="63" xfId="7" applyNumberFormat="1" applyFont="1" applyFill="1" applyBorder="1" applyAlignment="1">
      <alignment horizontal="center" vertical="center"/>
    </xf>
    <xf numFmtId="180" fontId="43" fillId="14" borderId="64" xfId="7" applyNumberFormat="1" applyFont="1" applyFill="1" applyBorder="1" applyAlignment="1">
      <alignment horizontal="center" vertical="center"/>
    </xf>
    <xf numFmtId="177" fontId="43" fillId="14" borderId="65" xfId="7" applyFont="1" applyFill="1" applyBorder="1" applyAlignment="1">
      <alignment horizontal="center" vertical="center"/>
    </xf>
    <xf numFmtId="184" fontId="35" fillId="0" borderId="0" xfId="7" applyNumberFormat="1" applyFont="1" applyAlignment="1">
      <alignment horizontal="center" vertical="center"/>
    </xf>
    <xf numFmtId="177" fontId="41" fillId="0" borderId="0" xfId="7" applyFont="1" applyFill="1"/>
    <xf numFmtId="0" fontId="39" fillId="0" borderId="0" xfId="0" applyFont="1" applyAlignment="1">
      <alignment horizontal="left" vertical="center"/>
    </xf>
    <xf numFmtId="180" fontId="45" fillId="14" borderId="53" xfId="7" applyNumberFormat="1" applyFont="1" applyFill="1" applyBorder="1" applyAlignment="1">
      <alignment horizontal="center" vertical="center"/>
    </xf>
    <xf numFmtId="177" fontId="43" fillId="14" borderId="61" xfId="7" applyFont="1" applyFill="1" applyBorder="1" applyAlignment="1">
      <alignment horizontal="center" vertical="center"/>
    </xf>
    <xf numFmtId="3" fontId="44" fillId="14" borderId="63" xfId="7" applyNumberFormat="1" applyFont="1" applyFill="1" applyBorder="1" applyAlignment="1">
      <alignment horizontal="center" vertical="center"/>
    </xf>
    <xf numFmtId="180" fontId="43" fillId="14" borderId="52" xfId="7" applyNumberFormat="1" applyFont="1" applyFill="1" applyBorder="1" applyAlignment="1">
      <alignment horizontal="center" vertical="center"/>
    </xf>
    <xf numFmtId="180" fontId="43" fillId="14" borderId="66" xfId="7" applyNumberFormat="1" applyFont="1" applyFill="1" applyBorder="1" applyAlignment="1">
      <alignment horizontal="center" vertical="center"/>
    </xf>
    <xf numFmtId="177" fontId="43" fillId="14" borderId="57" xfId="7" applyFont="1" applyFill="1" applyBorder="1" applyAlignment="1">
      <alignment horizontal="center" vertical="center"/>
    </xf>
    <xf numFmtId="49" fontId="37" fillId="15" borderId="62" xfId="0" applyNumberFormat="1" applyFont="1" applyFill="1" applyBorder="1" applyAlignment="1">
      <alignment horizontal="left" vertical="center"/>
    </xf>
    <xf numFmtId="3" fontId="37" fillId="15" borderId="63" xfId="7" applyNumberFormat="1" applyFont="1" applyFill="1" applyBorder="1" applyAlignment="1">
      <alignment horizontal="center" vertical="center"/>
    </xf>
    <xf numFmtId="180" fontId="37" fillId="15" borderId="63" xfId="7" applyNumberFormat="1" applyFont="1" applyFill="1" applyBorder="1" applyAlignment="1">
      <alignment horizontal="center" vertical="center"/>
    </xf>
    <xf numFmtId="180" fontId="37" fillId="15" borderId="53" xfId="7" applyNumberFormat="1" applyFont="1" applyFill="1" applyBorder="1" applyAlignment="1">
      <alignment horizontal="center" vertical="center"/>
    </xf>
    <xf numFmtId="180" fontId="37" fillId="15" borderId="64" xfId="7" applyNumberFormat="1" applyFont="1" applyFill="1" applyBorder="1" applyAlignment="1">
      <alignment horizontal="center" vertical="center"/>
    </xf>
    <xf numFmtId="177" fontId="37" fillId="15" borderId="67" xfId="7" applyFont="1" applyFill="1" applyBorder="1" applyAlignment="1">
      <alignment horizontal="center" vertical="center"/>
    </xf>
    <xf numFmtId="49" fontId="43" fillId="16" borderId="62" xfId="0" applyNumberFormat="1" applyFont="1" applyFill="1" applyBorder="1" applyAlignment="1">
      <alignment horizontal="left" vertical="center"/>
    </xf>
    <xf numFmtId="3" fontId="44" fillId="16" borderId="63" xfId="0" applyNumberFormat="1" applyFont="1" applyFill="1" applyBorder="1" applyAlignment="1">
      <alignment horizontal="center" vertical="center"/>
    </xf>
    <xf numFmtId="180" fontId="39" fillId="16" borderId="52" xfId="7" applyNumberFormat="1" applyFont="1" applyFill="1" applyBorder="1" applyAlignment="1">
      <alignment horizontal="center" vertical="center"/>
    </xf>
    <xf numFmtId="180" fontId="39" fillId="16" borderId="53" xfId="7" applyNumberFormat="1" applyFont="1" applyFill="1" applyBorder="1" applyAlignment="1">
      <alignment horizontal="center" vertical="center"/>
    </xf>
    <xf numFmtId="177" fontId="39" fillId="16" borderId="67" xfId="7" applyFont="1" applyFill="1" applyBorder="1" applyAlignment="1">
      <alignment horizontal="center" vertical="center"/>
    </xf>
    <xf numFmtId="180" fontId="35" fillId="16" borderId="52" xfId="7" applyNumberFormat="1" applyFont="1" applyFill="1" applyBorder="1" applyAlignment="1">
      <alignment horizontal="center" vertical="center"/>
    </xf>
    <xf numFmtId="180" fontId="35" fillId="16" borderId="53" xfId="7" applyNumberFormat="1" applyFont="1" applyFill="1" applyBorder="1" applyAlignment="1">
      <alignment horizontal="center" vertical="center"/>
    </xf>
    <xf numFmtId="177" fontId="35" fillId="16" borderId="67" xfId="7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177" fontId="46" fillId="0" borderId="0" xfId="7" applyFont="1" applyFill="1"/>
    <xf numFmtId="177" fontId="46" fillId="0" borderId="0" xfId="7" applyFont="1" applyFill="1" applyBorder="1" applyAlignment="1">
      <alignment horizontal="center" vertical="center"/>
    </xf>
    <xf numFmtId="180" fontId="39" fillId="16" borderId="64" xfId="7" applyNumberFormat="1" applyFont="1" applyFill="1" applyBorder="1" applyAlignment="1">
      <alignment horizontal="center" vertical="center"/>
    </xf>
    <xf numFmtId="185" fontId="35" fillId="0" borderId="0" xfId="7" applyNumberFormat="1" applyFont="1" applyAlignment="1">
      <alignment horizontal="center" vertical="center"/>
    </xf>
    <xf numFmtId="49" fontId="37" fillId="17" borderId="62" xfId="0" applyNumberFormat="1" applyFont="1" applyFill="1" applyBorder="1" applyAlignment="1">
      <alignment horizontal="left" vertical="center"/>
    </xf>
    <xf numFmtId="3" fontId="37" fillId="17" borderId="63" xfId="7" applyNumberFormat="1" applyFont="1" applyFill="1" applyBorder="1" applyAlignment="1">
      <alignment horizontal="center" vertical="center"/>
    </xf>
    <xf numFmtId="180" fontId="37" fillId="17" borderId="64" xfId="7" applyNumberFormat="1" applyFont="1" applyFill="1" applyBorder="1" applyAlignment="1">
      <alignment horizontal="center" vertical="center"/>
    </xf>
    <xf numFmtId="177" fontId="37" fillId="17" borderId="67" xfId="7" applyFont="1" applyFill="1" applyBorder="1" applyAlignment="1">
      <alignment horizontal="center" vertical="center"/>
    </xf>
    <xf numFmtId="49" fontId="37" fillId="18" borderId="62" xfId="0" applyNumberFormat="1" applyFont="1" applyFill="1" applyBorder="1" applyAlignment="1">
      <alignment horizontal="left" vertical="center"/>
    </xf>
    <xf numFmtId="3" fontId="37" fillId="18" borderId="63" xfId="7" applyNumberFormat="1" applyFont="1" applyFill="1" applyBorder="1" applyAlignment="1">
      <alignment horizontal="center" vertical="center"/>
    </xf>
    <xf numFmtId="180" fontId="37" fillId="18" borderId="52" xfId="7" applyNumberFormat="1" applyFont="1" applyFill="1" applyBorder="1" applyAlignment="1">
      <alignment horizontal="center" vertical="center"/>
    </xf>
    <xf numFmtId="180" fontId="37" fillId="18" borderId="64" xfId="7" applyNumberFormat="1" applyFont="1" applyFill="1" applyBorder="1" applyAlignment="1">
      <alignment horizontal="center" vertical="center"/>
    </xf>
    <xf numFmtId="177" fontId="37" fillId="18" borderId="67" xfId="7" applyFont="1" applyFill="1" applyBorder="1" applyAlignment="1">
      <alignment horizontal="center" vertical="center"/>
    </xf>
    <xf numFmtId="49" fontId="43" fillId="19" borderId="62" xfId="0" applyNumberFormat="1" applyFont="1" applyFill="1" applyBorder="1" applyAlignment="1">
      <alignment horizontal="left" vertical="center"/>
    </xf>
    <xf numFmtId="3" fontId="44" fillId="19" borderId="63" xfId="7" applyNumberFormat="1" applyFont="1" applyFill="1" applyBorder="1" applyAlignment="1">
      <alignment horizontal="center" vertical="center"/>
    </xf>
    <xf numFmtId="180" fontId="39" fillId="19" borderId="52" xfId="7" applyNumberFormat="1" applyFont="1" applyFill="1" applyBorder="1" applyAlignment="1">
      <alignment horizontal="center" vertical="center"/>
    </xf>
    <xf numFmtId="180" fontId="39" fillId="19" borderId="64" xfId="7" applyNumberFormat="1" applyFont="1" applyFill="1" applyBorder="1" applyAlignment="1">
      <alignment horizontal="center" vertical="center"/>
    </xf>
    <xf numFmtId="180" fontId="39" fillId="19" borderId="53" xfId="7" applyNumberFormat="1" applyFont="1" applyFill="1" applyBorder="1" applyAlignment="1">
      <alignment horizontal="center" vertical="center"/>
    </xf>
    <xf numFmtId="177" fontId="39" fillId="19" borderId="67" xfId="7" applyFont="1" applyFill="1" applyBorder="1" applyAlignment="1">
      <alignment horizontal="center" vertical="center"/>
    </xf>
    <xf numFmtId="3" fontId="44" fillId="19" borderId="63" xfId="0" applyNumberFormat="1" applyFont="1" applyFill="1" applyBorder="1" applyAlignment="1">
      <alignment horizontal="center" vertical="center"/>
    </xf>
    <xf numFmtId="180" fontId="35" fillId="19" borderId="52" xfId="7" applyNumberFormat="1" applyFont="1" applyFill="1" applyBorder="1" applyAlignment="1">
      <alignment horizontal="center" vertical="center"/>
    </xf>
    <xf numFmtId="180" fontId="35" fillId="19" borderId="64" xfId="7" applyNumberFormat="1" applyFont="1" applyFill="1" applyBorder="1" applyAlignment="1">
      <alignment horizontal="center" vertical="center"/>
    </xf>
    <xf numFmtId="177" fontId="35" fillId="19" borderId="67" xfId="7" applyFont="1" applyFill="1" applyBorder="1" applyAlignment="1">
      <alignment horizontal="center" vertical="center"/>
    </xf>
    <xf numFmtId="49" fontId="43" fillId="20" borderId="62" xfId="0" applyNumberFormat="1" applyFont="1" applyFill="1" applyBorder="1" applyAlignment="1">
      <alignment horizontal="left" vertical="center"/>
    </xf>
    <xf numFmtId="3" fontId="44" fillId="20" borderId="63" xfId="0" applyNumberFormat="1" applyFont="1" applyFill="1" applyBorder="1" applyAlignment="1">
      <alignment horizontal="center" vertical="center"/>
    </xf>
    <xf numFmtId="180" fontId="43" fillId="20" borderId="52" xfId="7" applyNumberFormat="1" applyFont="1" applyFill="1" applyBorder="1" applyAlignment="1">
      <alignment horizontal="center" vertical="center"/>
    </xf>
    <xf numFmtId="180" fontId="43" fillId="20" borderId="53" xfId="7" applyNumberFormat="1" applyFont="1" applyFill="1" applyBorder="1" applyAlignment="1">
      <alignment horizontal="center" vertical="center"/>
    </xf>
    <xf numFmtId="177" fontId="43" fillId="20" borderId="67" xfId="7" applyFont="1" applyFill="1" applyBorder="1" applyAlignment="1">
      <alignment horizontal="center" vertical="center"/>
    </xf>
    <xf numFmtId="49" fontId="37" fillId="21" borderId="62" xfId="0" applyNumberFormat="1" applyFont="1" applyFill="1" applyBorder="1" applyAlignment="1">
      <alignment horizontal="left" vertical="center"/>
    </xf>
    <xf numFmtId="3" fontId="37" fillId="21" borderId="63" xfId="7" applyNumberFormat="1" applyFont="1" applyFill="1" applyBorder="1" applyAlignment="1">
      <alignment horizontal="center" vertical="center"/>
    </xf>
    <xf numFmtId="180" fontId="37" fillId="21" borderId="53" xfId="7" applyNumberFormat="1" applyFont="1" applyFill="1" applyBorder="1" applyAlignment="1">
      <alignment horizontal="center" vertical="center"/>
    </xf>
    <xf numFmtId="177" fontId="37" fillId="21" borderId="67" xfId="7" applyFont="1" applyFill="1" applyBorder="1" applyAlignment="1">
      <alignment horizontal="center" vertical="center"/>
    </xf>
    <xf numFmtId="49" fontId="37" fillId="22" borderId="62" xfId="0" applyNumberFormat="1" applyFont="1" applyFill="1" applyBorder="1" applyAlignment="1">
      <alignment horizontal="left" vertical="center"/>
    </xf>
    <xf numFmtId="3" fontId="37" fillId="22" borderId="63" xfId="7" applyNumberFormat="1" applyFont="1" applyFill="1" applyBorder="1" applyAlignment="1">
      <alignment horizontal="center" vertical="center"/>
    </xf>
    <xf numFmtId="180" fontId="37" fillId="22" borderId="52" xfId="7" applyNumberFormat="1" applyFont="1" applyFill="1" applyBorder="1" applyAlignment="1">
      <alignment horizontal="center" vertical="center"/>
    </xf>
    <xf numFmtId="180" fontId="37" fillId="22" borderId="53" xfId="7" applyNumberFormat="1" applyFont="1" applyFill="1" applyBorder="1" applyAlignment="1">
      <alignment horizontal="center" vertical="center"/>
    </xf>
    <xf numFmtId="180" fontId="44" fillId="22" borderId="53" xfId="7" applyNumberFormat="1" applyFont="1" applyFill="1" applyBorder="1" applyAlignment="1">
      <alignment horizontal="center" vertical="center"/>
    </xf>
    <xf numFmtId="177" fontId="37" fillId="22" borderId="67" xfId="7" applyFont="1" applyFill="1" applyBorder="1" applyAlignment="1">
      <alignment horizontal="center" vertical="center"/>
    </xf>
    <xf numFmtId="49" fontId="47" fillId="23" borderId="62" xfId="0" applyNumberFormat="1" applyFont="1" applyFill="1" applyBorder="1" applyAlignment="1">
      <alignment horizontal="left" vertical="center"/>
    </xf>
    <xf numFmtId="3" fontId="44" fillId="23" borderId="63" xfId="0" applyNumberFormat="1" applyFont="1" applyFill="1" applyBorder="1" applyAlignment="1">
      <alignment horizontal="center" vertical="center"/>
    </xf>
    <xf numFmtId="180" fontId="48" fillId="23" borderId="52" xfId="7" applyNumberFormat="1" applyFont="1" applyFill="1" applyBorder="1" applyAlignment="1">
      <alignment horizontal="center" vertical="center"/>
    </xf>
    <xf numFmtId="180" fontId="48" fillId="23" borderId="53" xfId="7" applyNumberFormat="1" applyFont="1" applyFill="1" applyBorder="1" applyAlignment="1">
      <alignment horizontal="center" vertical="center"/>
    </xf>
    <xf numFmtId="186" fontId="48" fillId="23" borderId="53" xfId="7" applyNumberFormat="1" applyFont="1" applyFill="1" applyBorder="1" applyAlignment="1">
      <alignment horizontal="center" vertical="center"/>
    </xf>
    <xf numFmtId="177" fontId="48" fillId="23" borderId="67" xfId="7" applyFont="1" applyFill="1" applyBorder="1" applyAlignment="1">
      <alignment horizontal="center" vertical="center"/>
    </xf>
    <xf numFmtId="180" fontId="39" fillId="0" borderId="0" xfId="7" applyNumberFormat="1" applyFont="1" applyFill="1"/>
    <xf numFmtId="180" fontId="47" fillId="23" borderId="62" xfId="7" applyNumberFormat="1" applyFont="1" applyFill="1" applyBorder="1" applyAlignment="1">
      <alignment horizontal="left" vertical="center"/>
    </xf>
    <xf numFmtId="180" fontId="44" fillId="23" borderId="63" xfId="7" applyNumberFormat="1" applyFont="1" applyFill="1" applyBorder="1" applyAlignment="1">
      <alignment horizontal="center" vertical="center"/>
    </xf>
    <xf numFmtId="180" fontId="48" fillId="23" borderId="64" xfId="7" applyNumberFormat="1" applyFont="1" applyFill="1" applyBorder="1" applyAlignment="1">
      <alignment horizontal="center" vertical="center"/>
    </xf>
    <xf numFmtId="180" fontId="48" fillId="23" borderId="67" xfId="7" applyNumberFormat="1" applyFont="1" applyFill="1" applyBorder="1" applyAlignment="1">
      <alignment horizontal="center" vertical="center"/>
    </xf>
    <xf numFmtId="180" fontId="39" fillId="0" borderId="0" xfId="7" applyNumberFormat="1" applyFont="1"/>
    <xf numFmtId="180" fontId="47" fillId="23" borderId="52" xfId="7" applyNumberFormat="1" applyFont="1" applyFill="1" applyBorder="1" applyAlignment="1">
      <alignment horizontal="center" vertical="center"/>
    </xf>
    <xf numFmtId="180" fontId="47" fillId="23" borderId="53" xfId="7" applyNumberFormat="1" applyFont="1" applyFill="1" applyBorder="1" applyAlignment="1">
      <alignment horizontal="center" vertical="center"/>
    </xf>
    <xf numFmtId="180" fontId="44" fillId="23" borderId="53" xfId="7" applyNumberFormat="1" applyFont="1" applyFill="1" applyBorder="1" applyAlignment="1">
      <alignment horizontal="center" vertical="center"/>
    </xf>
    <xf numFmtId="177" fontId="47" fillId="23" borderId="67" xfId="7" applyFont="1" applyFill="1" applyBorder="1" applyAlignment="1">
      <alignment horizontal="center" vertical="center"/>
    </xf>
    <xf numFmtId="180" fontId="39" fillId="0" borderId="0" xfId="0" applyNumberFormat="1" applyFont="1"/>
    <xf numFmtId="49" fontId="37" fillId="11" borderId="68" xfId="0" applyNumberFormat="1" applyFont="1" applyFill="1" applyBorder="1" applyAlignment="1">
      <alignment horizontal="left" vertical="center"/>
    </xf>
    <xf numFmtId="3" fontId="37" fillId="11" borderId="69" xfId="0" applyNumberFormat="1" applyFont="1" applyFill="1" applyBorder="1" applyAlignment="1">
      <alignment horizontal="center" vertical="center"/>
    </xf>
    <xf numFmtId="180" fontId="37" fillId="11" borderId="70" xfId="7" applyNumberFormat="1" applyFont="1" applyFill="1" applyBorder="1" applyAlignment="1">
      <alignment horizontal="center" vertical="center"/>
    </xf>
    <xf numFmtId="180" fontId="37" fillId="11" borderId="71" xfId="7" applyNumberFormat="1" applyFont="1" applyFill="1" applyBorder="1" applyAlignment="1">
      <alignment horizontal="center" vertical="center"/>
    </xf>
    <xf numFmtId="177" fontId="37" fillId="11" borderId="72" xfId="7" applyFont="1" applyFill="1" applyBorder="1" applyAlignment="1">
      <alignment horizontal="center" vertical="center"/>
    </xf>
    <xf numFmtId="49" fontId="37" fillId="24" borderId="58" xfId="0" applyNumberFormat="1" applyFont="1" applyFill="1" applyBorder="1" applyAlignment="1">
      <alignment horizontal="left" vertical="center"/>
    </xf>
    <xf numFmtId="3" fontId="37" fillId="24" borderId="59" xfId="7" applyNumberFormat="1" applyFont="1" applyFill="1" applyBorder="1" applyAlignment="1">
      <alignment horizontal="center" vertical="center"/>
    </xf>
    <xf numFmtId="180" fontId="37" fillId="24" borderId="73" xfId="7" applyNumberFormat="1" applyFont="1" applyFill="1" applyBorder="1" applyAlignment="1">
      <alignment horizontal="center" vertical="center"/>
    </xf>
    <xf numFmtId="180" fontId="37" fillId="24" borderId="74" xfId="7" applyNumberFormat="1" applyFont="1" applyFill="1" applyBorder="1" applyAlignment="1">
      <alignment horizontal="center" vertical="center"/>
    </xf>
    <xf numFmtId="177" fontId="37" fillId="24" borderId="61" xfId="7" applyFont="1" applyFill="1" applyBorder="1" applyAlignment="1">
      <alignment horizontal="center" vertical="center"/>
    </xf>
    <xf numFmtId="49" fontId="37" fillId="25" borderId="75" xfId="0" applyNumberFormat="1" applyFont="1" applyFill="1" applyBorder="1" applyAlignment="1">
      <alignment horizontal="left" vertical="center"/>
    </xf>
    <xf numFmtId="3" fontId="37" fillId="25" borderId="76" xfId="7" applyNumberFormat="1" applyFont="1" applyFill="1" applyBorder="1" applyAlignment="1">
      <alignment horizontal="center" vertical="center"/>
    </xf>
    <xf numFmtId="180" fontId="37" fillId="25" borderId="77" xfId="7" applyNumberFormat="1" applyFont="1" applyFill="1" applyBorder="1" applyAlignment="1">
      <alignment horizontal="center" vertical="center"/>
    </xf>
    <xf numFmtId="177" fontId="37" fillId="25" borderId="65" xfId="7" applyFont="1" applyFill="1" applyBorder="1" applyAlignment="1">
      <alignment horizontal="center" vertical="center"/>
    </xf>
    <xf numFmtId="49" fontId="43" fillId="26" borderId="75" xfId="0" applyNumberFormat="1" applyFont="1" applyFill="1" applyBorder="1" applyAlignment="1">
      <alignment horizontal="left" vertical="center"/>
    </xf>
    <xf numFmtId="3" fontId="37" fillId="26" borderId="76" xfId="7" applyNumberFormat="1" applyFont="1" applyFill="1" applyBorder="1" applyAlignment="1">
      <alignment horizontal="center" vertical="center"/>
    </xf>
    <xf numFmtId="180" fontId="49" fillId="26" borderId="77" xfId="7" applyNumberFormat="1" applyFont="1" applyFill="1" applyBorder="1" applyAlignment="1">
      <alignment horizontal="center" vertical="center"/>
    </xf>
    <xf numFmtId="180" fontId="49" fillId="26" borderId="78" xfId="7" applyNumberFormat="1" applyFont="1" applyFill="1" applyBorder="1" applyAlignment="1">
      <alignment horizontal="center" vertical="center"/>
    </xf>
    <xf numFmtId="180" fontId="49" fillId="26" borderId="79" xfId="7" applyNumberFormat="1" applyFont="1" applyFill="1" applyBorder="1" applyAlignment="1">
      <alignment horizontal="center" vertical="center"/>
    </xf>
    <xf numFmtId="180" fontId="37" fillId="26" borderId="65" xfId="7" applyNumberFormat="1" applyFont="1" applyFill="1" applyBorder="1" applyAlignment="1">
      <alignment horizontal="center" vertical="center"/>
    </xf>
    <xf numFmtId="49" fontId="43" fillId="26" borderId="62" xfId="0" applyNumberFormat="1" applyFont="1" applyFill="1" applyBorder="1" applyAlignment="1">
      <alignment horizontal="left" vertical="center"/>
    </xf>
    <xf numFmtId="180" fontId="50" fillId="26" borderId="77" xfId="7" applyNumberFormat="1" applyFont="1" applyFill="1" applyBorder="1" applyAlignment="1">
      <alignment horizontal="center" vertical="center"/>
    </xf>
    <xf numFmtId="180" fontId="50" fillId="26" borderId="79" xfId="7" applyNumberFormat="1" applyFont="1" applyFill="1" applyBorder="1" applyAlignment="1">
      <alignment horizontal="center" vertical="center"/>
    </xf>
    <xf numFmtId="180" fontId="51" fillId="26" borderId="65" xfId="7" applyNumberFormat="1" applyFont="1" applyFill="1" applyBorder="1" applyAlignment="1">
      <alignment horizontal="center" vertical="center"/>
    </xf>
    <xf numFmtId="180" fontId="35" fillId="0" borderId="0" xfId="0" applyNumberFormat="1" applyFont="1" applyAlignment="1">
      <alignment horizontal="center" vertical="center"/>
    </xf>
    <xf numFmtId="180" fontId="52" fillId="26" borderId="65" xfId="7" applyNumberFormat="1" applyFont="1" applyFill="1" applyBorder="1" applyAlignment="1">
      <alignment horizontal="center" vertical="center"/>
    </xf>
    <xf numFmtId="187" fontId="52" fillId="26" borderId="65" xfId="7" applyNumberFormat="1" applyFont="1" applyFill="1" applyBorder="1" applyAlignment="1">
      <alignment horizontal="center" vertical="center"/>
    </xf>
    <xf numFmtId="3" fontId="49" fillId="26" borderId="78" xfId="7" applyNumberFormat="1" applyFont="1" applyFill="1" applyBorder="1" applyAlignment="1">
      <alignment horizontal="center" vertical="center"/>
    </xf>
    <xf numFmtId="49" fontId="43" fillId="27" borderId="62" xfId="0" applyNumberFormat="1" applyFont="1" applyFill="1" applyBorder="1" applyAlignment="1">
      <alignment horizontal="left" vertical="center"/>
    </xf>
    <xf numFmtId="3" fontId="44" fillId="27" borderId="63" xfId="0" applyNumberFormat="1" applyFont="1" applyFill="1" applyBorder="1" applyAlignment="1">
      <alignment horizontal="center" vertical="center"/>
    </xf>
    <xf numFmtId="179" fontId="39" fillId="27" borderId="52" xfId="7" applyNumberFormat="1" applyFont="1" applyFill="1" applyBorder="1" applyAlignment="1">
      <alignment horizontal="center" vertical="center"/>
    </xf>
    <xf numFmtId="179" fontId="39" fillId="27" borderId="64" xfId="7" applyNumberFormat="1" applyFont="1" applyFill="1" applyBorder="1" applyAlignment="1">
      <alignment horizontal="center" vertical="center"/>
    </xf>
    <xf numFmtId="180" fontId="39" fillId="27" borderId="64" xfId="7" applyNumberFormat="1" applyFont="1" applyFill="1" applyBorder="1" applyAlignment="1">
      <alignment horizontal="center" vertical="center"/>
    </xf>
    <xf numFmtId="180" fontId="39" fillId="27" borderId="53" xfId="7" applyNumberFormat="1" applyFont="1" applyFill="1" applyBorder="1" applyAlignment="1">
      <alignment horizontal="center" vertical="center"/>
    </xf>
    <xf numFmtId="187" fontId="39" fillId="27" borderId="53" xfId="7" applyNumberFormat="1" applyFont="1" applyFill="1" applyBorder="1" applyAlignment="1">
      <alignment horizontal="center" vertical="center"/>
    </xf>
    <xf numFmtId="177" fontId="39" fillId="27" borderId="67" xfId="7" applyFont="1" applyFill="1" applyBorder="1" applyAlignment="1">
      <alignment horizontal="center" vertical="center"/>
    </xf>
    <xf numFmtId="3" fontId="44" fillId="27" borderId="63" xfId="7" applyNumberFormat="1" applyFont="1" applyFill="1" applyBorder="1" applyAlignment="1">
      <alignment horizontal="center" vertical="center"/>
    </xf>
    <xf numFmtId="179" fontId="39" fillId="27" borderId="53" xfId="7" applyNumberFormat="1" applyFont="1" applyFill="1" applyBorder="1" applyAlignment="1">
      <alignment horizontal="center" vertical="center"/>
    </xf>
    <xf numFmtId="180" fontId="35" fillId="27" borderId="53" xfId="7" applyNumberFormat="1" applyFont="1" applyFill="1" applyBorder="1" applyAlignment="1">
      <alignment horizontal="center" vertical="center"/>
    </xf>
    <xf numFmtId="180" fontId="35" fillId="27" borderId="52" xfId="7" applyNumberFormat="1" applyFont="1" applyFill="1" applyBorder="1" applyAlignment="1">
      <alignment horizontal="center" vertical="center"/>
    </xf>
    <xf numFmtId="180" fontId="51" fillId="27" borderId="53" xfId="7" applyNumberFormat="1" applyFont="1" applyFill="1" applyBorder="1" applyAlignment="1">
      <alignment horizontal="center" vertical="center"/>
    </xf>
    <xf numFmtId="177" fontId="35" fillId="27" borderId="67" xfId="7" applyFont="1" applyFill="1" applyBorder="1" applyAlignment="1">
      <alignment horizontal="center" vertical="center"/>
    </xf>
    <xf numFmtId="180" fontId="39" fillId="27" borderId="52" xfId="7" applyNumberFormat="1" applyFont="1" applyFill="1" applyBorder="1" applyAlignment="1">
      <alignment horizontal="center" vertical="center"/>
    </xf>
    <xf numFmtId="180" fontId="39" fillId="27" borderId="77" xfId="7" applyNumberFormat="1" applyFont="1" applyFill="1" applyBorder="1" applyAlignment="1">
      <alignment horizontal="center" vertical="center"/>
    </xf>
    <xf numFmtId="177" fontId="41" fillId="0" borderId="0" xfId="7" applyFont="1" applyFill="1" applyBorder="1"/>
    <xf numFmtId="49" fontId="37" fillId="28" borderId="62" xfId="0" applyNumberFormat="1" applyFont="1" applyFill="1" applyBorder="1" applyAlignment="1">
      <alignment horizontal="left" vertical="center"/>
    </xf>
    <xf numFmtId="3" fontId="37" fillId="28" borderId="63" xfId="7" applyNumberFormat="1" applyFont="1" applyFill="1" applyBorder="1" applyAlignment="1">
      <alignment horizontal="center" vertical="center"/>
    </xf>
    <xf numFmtId="180" fontId="37" fillId="28" borderId="64" xfId="7" applyNumberFormat="1" applyFont="1" applyFill="1" applyBorder="1" applyAlignment="1">
      <alignment horizontal="center" vertical="center"/>
    </xf>
    <xf numFmtId="177" fontId="37" fillId="28" borderId="67" xfId="7" applyFont="1" applyFill="1" applyBorder="1" applyAlignment="1">
      <alignment horizontal="center" vertical="center"/>
    </xf>
    <xf numFmtId="49" fontId="43" fillId="29" borderId="75" xfId="0" applyNumberFormat="1" applyFont="1" applyFill="1" applyBorder="1" applyAlignment="1">
      <alignment horizontal="left" vertical="center"/>
    </xf>
    <xf numFmtId="3" fontId="44" fillId="29" borderId="76" xfId="0" applyNumberFormat="1" applyFont="1" applyFill="1" applyBorder="1" applyAlignment="1">
      <alignment horizontal="center" vertical="center"/>
    </xf>
    <xf numFmtId="180" fontId="39" fillId="29" borderId="52" xfId="7" applyNumberFormat="1" applyFont="1" applyFill="1" applyBorder="1" applyAlignment="1">
      <alignment horizontal="center" vertical="center"/>
    </xf>
    <xf numFmtId="180" fontId="39" fillId="29" borderId="53" xfId="7" applyNumberFormat="1" applyFont="1" applyFill="1" applyBorder="1" applyAlignment="1">
      <alignment horizontal="center" vertical="center"/>
    </xf>
    <xf numFmtId="180" fontId="39" fillId="29" borderId="78" xfId="7" applyNumberFormat="1" applyFont="1" applyFill="1" applyBorder="1" applyAlignment="1">
      <alignment horizontal="center" vertical="center"/>
    </xf>
    <xf numFmtId="180" fontId="42" fillId="29" borderId="78" xfId="7" applyNumberFormat="1" applyFont="1" applyFill="1" applyBorder="1" applyAlignment="1">
      <alignment horizontal="center" vertical="center"/>
    </xf>
    <xf numFmtId="177" fontId="39" fillId="29" borderId="65" xfId="7" applyFont="1" applyFill="1" applyBorder="1" applyAlignment="1">
      <alignment horizontal="center" vertical="center"/>
    </xf>
    <xf numFmtId="180" fontId="35" fillId="29" borderId="52" xfId="7" applyNumberFormat="1" applyFont="1" applyFill="1" applyBorder="1" applyAlignment="1">
      <alignment horizontal="center" vertical="center"/>
    </xf>
    <xf numFmtId="180" fontId="35" fillId="29" borderId="53" xfId="7" applyNumberFormat="1" applyFont="1" applyFill="1" applyBorder="1" applyAlignment="1">
      <alignment horizontal="center" vertical="center"/>
    </xf>
    <xf numFmtId="180" fontId="35" fillId="29" borderId="78" xfId="7" applyNumberFormat="1" applyFont="1" applyFill="1" applyBorder="1" applyAlignment="1">
      <alignment horizontal="center" vertical="center"/>
    </xf>
    <xf numFmtId="180" fontId="53" fillId="29" borderId="78" xfId="7" applyNumberFormat="1" applyFont="1" applyFill="1" applyBorder="1" applyAlignment="1">
      <alignment horizontal="center" vertical="center"/>
    </xf>
    <xf numFmtId="177" fontId="35" fillId="29" borderId="65" xfId="7" applyFont="1" applyFill="1" applyBorder="1" applyAlignment="1">
      <alignment horizontal="center" vertical="center"/>
    </xf>
    <xf numFmtId="180" fontId="50" fillId="30" borderId="80" xfId="7" applyNumberFormat="1" applyFont="1" applyFill="1" applyBorder="1" applyAlignment="1">
      <alignment horizontal="left" vertical="center"/>
    </xf>
    <xf numFmtId="180" fontId="50" fillId="30" borderId="81" xfId="7" applyNumberFormat="1" applyFont="1" applyFill="1" applyBorder="1" applyAlignment="1">
      <alignment horizontal="center" vertical="center"/>
    </xf>
    <xf numFmtId="180" fontId="50" fillId="30" borderId="66" xfId="7" applyNumberFormat="1" applyFont="1" applyFill="1" applyBorder="1" applyAlignment="1">
      <alignment horizontal="center" vertical="center"/>
    </xf>
    <xf numFmtId="180" fontId="50" fillId="30" borderId="82" xfId="7" applyNumberFormat="1" applyFont="1" applyFill="1" applyBorder="1" applyAlignment="1">
      <alignment horizontal="center" vertical="center"/>
    </xf>
    <xf numFmtId="188" fontId="51" fillId="30" borderId="57" xfId="7" applyNumberFormat="1" applyFont="1" applyFill="1" applyBorder="1" applyAlignment="1">
      <alignment horizontal="center" vertical="center"/>
    </xf>
    <xf numFmtId="177" fontId="46" fillId="0" borderId="0" xfId="7" applyFont="1" applyFill="1" applyBorder="1"/>
    <xf numFmtId="0" fontId="39" fillId="31" borderId="44" xfId="0" applyFont="1" applyFill="1" applyBorder="1" applyAlignment="1">
      <alignment horizontal="left" vertical="center"/>
    </xf>
    <xf numFmtId="3" fontId="39" fillId="31" borderId="48" xfId="0" applyNumberFormat="1" applyFont="1" applyFill="1" applyBorder="1" applyAlignment="1">
      <alignment horizontal="center" vertical="center"/>
    </xf>
    <xf numFmtId="180" fontId="39" fillId="31" borderId="48" xfId="7" applyNumberFormat="1" applyFont="1" applyFill="1" applyBorder="1" applyAlignment="1">
      <alignment horizontal="center" vertical="center"/>
    </xf>
    <xf numFmtId="0" fontId="39" fillId="31" borderId="48" xfId="0" applyFont="1" applyFill="1" applyBorder="1" applyAlignment="1">
      <alignment horizontal="center" vertical="center"/>
    </xf>
    <xf numFmtId="0" fontId="39" fillId="31" borderId="45" xfId="0" applyFont="1" applyFill="1" applyBorder="1" applyAlignment="1">
      <alignment horizontal="center" vertical="center"/>
    </xf>
    <xf numFmtId="177" fontId="39" fillId="31" borderId="45" xfId="7" applyFont="1" applyFill="1" applyBorder="1" applyAlignment="1">
      <alignment horizontal="center" vertical="center"/>
    </xf>
    <xf numFmtId="0" fontId="39" fillId="31" borderId="21" xfId="0" applyFont="1" applyFill="1" applyBorder="1" applyAlignment="1">
      <alignment horizontal="right" vertical="center"/>
    </xf>
    <xf numFmtId="3" fontId="39" fillId="31" borderId="0" xfId="0" applyNumberFormat="1" applyFont="1" applyFill="1" applyAlignment="1">
      <alignment horizontal="center" vertical="center"/>
    </xf>
    <xf numFmtId="180" fontId="39" fillId="31" borderId="0" xfId="7" applyNumberFormat="1" applyFont="1" applyFill="1" applyBorder="1" applyAlignment="1">
      <alignment horizontal="center" vertical="center"/>
    </xf>
    <xf numFmtId="0" fontId="39" fillId="31" borderId="0" xfId="0" applyFont="1" applyFill="1" applyAlignment="1">
      <alignment horizontal="center" vertical="center"/>
    </xf>
    <xf numFmtId="0" fontId="39" fillId="31" borderId="22" xfId="0" applyFont="1" applyFill="1" applyBorder="1" applyAlignment="1">
      <alignment horizontal="center" vertical="center"/>
    </xf>
    <xf numFmtId="177" fontId="39" fillId="31" borderId="22" xfId="7" applyFont="1" applyFill="1" applyBorder="1" applyAlignment="1">
      <alignment horizontal="center" vertical="center"/>
    </xf>
    <xf numFmtId="0" fontId="39" fillId="31" borderId="46" xfId="0" applyFont="1" applyFill="1" applyBorder="1" applyAlignment="1">
      <alignment horizontal="right" vertical="center"/>
    </xf>
    <xf numFmtId="3" fontId="39" fillId="31" borderId="83" xfId="0" applyNumberFormat="1" applyFont="1" applyFill="1" applyBorder="1" applyAlignment="1">
      <alignment horizontal="center" vertical="center"/>
    </xf>
    <xf numFmtId="180" fontId="39" fillId="31" borderId="83" xfId="7" applyNumberFormat="1" applyFont="1" applyFill="1" applyBorder="1" applyAlignment="1">
      <alignment horizontal="center" vertical="center"/>
    </xf>
    <xf numFmtId="0" fontId="39" fillId="31" borderId="83" xfId="0" applyFont="1" applyFill="1" applyBorder="1" applyAlignment="1">
      <alignment horizontal="center" vertical="center"/>
    </xf>
    <xf numFmtId="0" fontId="39" fillId="31" borderId="47" xfId="0" applyFont="1" applyFill="1" applyBorder="1" applyAlignment="1">
      <alignment horizontal="center" vertical="center"/>
    </xf>
    <xf numFmtId="177" fontId="39" fillId="31" borderId="47" xfId="7" applyFont="1" applyFill="1" applyBorder="1" applyAlignment="1">
      <alignment horizontal="center" vertical="center"/>
    </xf>
    <xf numFmtId="0" fontId="54" fillId="0" borderId="0" xfId="0" applyFont="1"/>
    <xf numFmtId="0" fontId="54" fillId="32" borderId="0" xfId="0" applyFont="1" applyFill="1" applyAlignment="1">
      <alignment horizontal="left" vertical="center"/>
    </xf>
    <xf numFmtId="3" fontId="54" fillId="32" borderId="0" xfId="0" applyNumberFormat="1" applyFont="1" applyFill="1" applyAlignment="1">
      <alignment horizontal="center" vertical="center"/>
    </xf>
    <xf numFmtId="180" fontId="50" fillId="32" borderId="66" xfId="7" applyNumberFormat="1" applyFont="1" applyFill="1" applyBorder="1" applyAlignment="1">
      <alignment horizontal="center" vertical="center"/>
    </xf>
    <xf numFmtId="177" fontId="37" fillId="32" borderId="61" xfId="7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56" fillId="0" borderId="0" xfId="0" applyFont="1"/>
    <xf numFmtId="0" fontId="30" fillId="0" borderId="0" xfId="0" applyFont="1" applyAlignment="1">
      <alignment horizontal="left" vertical="center"/>
    </xf>
    <xf numFmtId="3" fontId="30" fillId="0" borderId="0" xfId="0" applyNumberFormat="1" applyFont="1" applyAlignment="1">
      <alignment horizontal="center" vertical="center"/>
    </xf>
    <xf numFmtId="180" fontId="30" fillId="0" borderId="0" xfId="7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77" fontId="30" fillId="0" borderId="0" xfId="7" applyFont="1" applyAlignment="1">
      <alignment horizontal="center" vertical="center"/>
    </xf>
    <xf numFmtId="0" fontId="32" fillId="10" borderId="23" xfId="0" applyFont="1" applyFill="1" applyBorder="1" applyAlignment="1">
      <alignment horizontal="center" vertical="center"/>
    </xf>
    <xf numFmtId="3" fontId="32" fillId="4" borderId="49" xfId="0" applyNumberFormat="1" applyFont="1" applyFill="1" applyBorder="1" applyAlignment="1">
      <alignment horizontal="center" vertical="center" wrapText="1"/>
    </xf>
    <xf numFmtId="181" fontId="33" fillId="11" borderId="44" xfId="0" quotePrefix="1" applyNumberFormat="1" applyFont="1" applyFill="1" applyBorder="1" applyAlignment="1">
      <alignment horizontal="center" vertical="center"/>
    </xf>
    <xf numFmtId="181" fontId="33" fillId="11" borderId="48" xfId="0" quotePrefix="1" applyNumberFormat="1" applyFont="1" applyFill="1" applyBorder="1" applyAlignment="1">
      <alignment horizontal="center" vertical="center"/>
    </xf>
    <xf numFmtId="181" fontId="33" fillId="11" borderId="45" xfId="0" quotePrefix="1" applyNumberFormat="1" applyFont="1" applyFill="1" applyBorder="1" applyAlignment="1">
      <alignment horizontal="center" vertical="center"/>
    </xf>
    <xf numFmtId="0" fontId="32" fillId="10" borderId="50" xfId="0" applyFont="1" applyFill="1" applyBorder="1" applyAlignment="1">
      <alignment horizontal="center" vertical="center"/>
    </xf>
    <xf numFmtId="3" fontId="32" fillId="4" borderId="51" xfId="0" applyNumberFormat="1" applyFont="1" applyFill="1" applyBorder="1" applyAlignment="1">
      <alignment horizontal="center" vertical="center" wrapText="1"/>
    </xf>
    <xf numFmtId="14" fontId="32" fillId="10" borderId="46" xfId="0" applyNumberFormat="1" applyFont="1" applyFill="1" applyBorder="1" applyAlignment="1">
      <alignment horizontal="center" vertical="center"/>
    </xf>
    <xf numFmtId="3" fontId="32" fillId="4" borderId="55" xfId="0" applyNumberFormat="1" applyFont="1" applyFill="1" applyBorder="1" applyAlignment="1">
      <alignment horizontal="center" vertical="center" wrapText="1"/>
    </xf>
    <xf numFmtId="179" fontId="35" fillId="12" borderId="0" xfId="7" applyNumberFormat="1" applyFont="1" applyFill="1" applyAlignment="1">
      <alignment horizontal="center" vertical="center"/>
    </xf>
    <xf numFmtId="180" fontId="32" fillId="4" borderId="59" xfId="0" applyNumberFormat="1" applyFont="1" applyFill="1" applyBorder="1" applyAlignment="1">
      <alignment horizontal="center" vertical="center"/>
    </xf>
    <xf numFmtId="180" fontId="43" fillId="14" borderId="53" xfId="7" applyNumberFormat="1" applyFont="1" applyFill="1" applyBorder="1" applyAlignment="1">
      <alignment horizontal="center" vertical="center"/>
    </xf>
    <xf numFmtId="180" fontId="43" fillId="0" borderId="53" xfId="7" applyNumberFormat="1" applyFont="1" applyFill="1" applyBorder="1" applyAlignment="1">
      <alignment horizontal="center" vertical="center"/>
    </xf>
    <xf numFmtId="180" fontId="45" fillId="0" borderId="53" xfId="7" applyNumberFormat="1" applyFont="1" applyFill="1" applyBorder="1" applyAlignment="1">
      <alignment horizontal="center" vertical="center"/>
    </xf>
    <xf numFmtId="49" fontId="43" fillId="27" borderId="75" xfId="0" applyNumberFormat="1" applyFont="1" applyFill="1" applyBorder="1" applyAlignment="1">
      <alignment horizontal="left" vertical="center"/>
    </xf>
    <xf numFmtId="3" fontId="44" fillId="27" borderId="76" xfId="0" applyNumberFormat="1" applyFont="1" applyFill="1" applyBorder="1" applyAlignment="1">
      <alignment horizontal="center" vertical="center"/>
    </xf>
    <xf numFmtId="177" fontId="39" fillId="27" borderId="65" xfId="7" applyFont="1" applyFill="1" applyBorder="1" applyAlignment="1">
      <alignment horizontal="center" vertical="center"/>
    </xf>
    <xf numFmtId="183" fontId="51" fillId="30" borderId="57" xfId="7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54" fillId="0" borderId="0" xfId="0" applyNumberFormat="1" applyFont="1" applyAlignment="1">
      <alignment horizontal="center" vertical="center"/>
    </xf>
    <xf numFmtId="180" fontId="54" fillId="0" borderId="0" xfId="7" applyNumberFormat="1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177" fontId="54" fillId="0" borderId="0" xfId="7" applyFont="1" applyAlignment="1">
      <alignment horizontal="center" vertical="center"/>
    </xf>
    <xf numFmtId="0" fontId="61" fillId="33" borderId="23" xfId="8" applyFont="1" applyFill="1" applyBorder="1" applyAlignment="1">
      <alignment horizontal="right"/>
    </xf>
    <xf numFmtId="170" fontId="62" fillId="0" borderId="84" xfId="2" applyNumberFormat="1" applyFont="1" applyBorder="1" applyAlignment="1">
      <alignment horizontal="center" vertical="center"/>
    </xf>
    <xf numFmtId="170" fontId="63" fillId="0" borderId="2" xfId="2" applyNumberFormat="1" applyFont="1" applyBorder="1" applyAlignment="1">
      <alignment horizontal="center" vertical="center"/>
    </xf>
    <xf numFmtId="170" fontId="62" fillId="0" borderId="7" xfId="2" applyNumberFormat="1" applyFont="1" applyBorder="1" applyAlignment="1">
      <alignment horizontal="center" vertical="center"/>
    </xf>
    <xf numFmtId="170" fontId="64" fillId="0" borderId="2" xfId="2" applyNumberFormat="1" applyFont="1" applyBorder="1" applyAlignment="1">
      <alignment horizontal="center" vertical="center"/>
    </xf>
    <xf numFmtId="4" fontId="62" fillId="0" borderId="27" xfId="2" applyNumberFormat="1" applyFont="1" applyBorder="1" applyAlignment="1">
      <alignment horizontal="center" vertical="center"/>
    </xf>
    <xf numFmtId="4" fontId="62" fillId="0" borderId="42" xfId="2" applyNumberFormat="1" applyFont="1" applyBorder="1" applyAlignment="1">
      <alignment horizontal="center" vertical="center"/>
    </xf>
    <xf numFmtId="0" fontId="61" fillId="0" borderId="50" xfId="8" applyFont="1" applyBorder="1" applyAlignment="1">
      <alignment horizontal="right" vertical="center"/>
    </xf>
    <xf numFmtId="0" fontId="61" fillId="0" borderId="85" xfId="8" quotePrefix="1" applyFont="1" applyBorder="1" applyAlignment="1">
      <alignment horizontal="right" vertical="center"/>
    </xf>
    <xf numFmtId="0" fontId="65" fillId="0" borderId="0" xfId="2" applyFont="1" applyAlignment="1">
      <alignment horizontal="left"/>
    </xf>
    <xf numFmtId="0" fontId="65" fillId="0" borderId="0" xfId="2" applyFont="1" applyAlignment="1">
      <alignment horizontal="center"/>
    </xf>
    <xf numFmtId="0" fontId="66" fillId="0" borderId="0" xfId="2" applyFont="1" applyAlignment="1">
      <alignment vertical="center"/>
    </xf>
    <xf numFmtId="4" fontId="67" fillId="0" borderId="0" xfId="2" applyNumberFormat="1" applyFont="1"/>
    <xf numFmtId="189" fontId="65" fillId="0" borderId="0" xfId="2" applyNumberFormat="1" applyFont="1" applyAlignment="1">
      <alignment horizontal="center"/>
    </xf>
    <xf numFmtId="0" fontId="68" fillId="0" borderId="0" xfId="2" applyFont="1" applyAlignment="1">
      <alignment horizontal="right"/>
    </xf>
    <xf numFmtId="0" fontId="65" fillId="0" borderId="86" xfId="2" applyFont="1" applyBorder="1" applyAlignment="1">
      <alignment horizontal="right"/>
    </xf>
    <xf numFmtId="174" fontId="69" fillId="0" borderId="87" xfId="2" applyNumberFormat="1" applyFont="1" applyBorder="1" applyAlignment="1">
      <alignment horizontal="center" vertical="center"/>
    </xf>
    <xf numFmtId="190" fontId="65" fillId="0" borderId="0" xfId="2" applyNumberFormat="1" applyFont="1" applyAlignment="1">
      <alignment horizontal="center"/>
    </xf>
    <xf numFmtId="0" fontId="70" fillId="0" borderId="0" xfId="2" applyFont="1" applyAlignment="1">
      <alignment horizontal="center"/>
    </xf>
    <xf numFmtId="0" fontId="65" fillId="0" borderId="0" xfId="2" applyFont="1"/>
    <xf numFmtId="14" fontId="65" fillId="0" borderId="0" xfId="2" applyNumberFormat="1" applyFont="1" applyAlignment="1">
      <alignment horizontal="center"/>
    </xf>
    <xf numFmtId="0" fontId="65" fillId="0" borderId="27" xfId="2" applyFont="1" applyBorder="1" applyAlignment="1">
      <alignment horizontal="right"/>
    </xf>
    <xf numFmtId="174" fontId="69" fillId="0" borderId="2" xfId="2" applyNumberFormat="1" applyFont="1" applyBorder="1" applyAlignment="1">
      <alignment horizontal="center" vertical="center"/>
    </xf>
    <xf numFmtId="177" fontId="65" fillId="0" borderId="0" xfId="7" applyFont="1" applyAlignment="1">
      <alignment horizontal="center"/>
    </xf>
    <xf numFmtId="0" fontId="65" fillId="0" borderId="21" xfId="2" applyFont="1" applyBorder="1" applyAlignment="1">
      <alignment horizontal="right"/>
    </xf>
    <xf numFmtId="174" fontId="71" fillId="2" borderId="43" xfId="2" applyNumberFormat="1" applyFont="1" applyFill="1" applyBorder="1" applyAlignment="1">
      <alignment horizontal="center" vertical="center"/>
    </xf>
    <xf numFmtId="0" fontId="65" fillId="0" borderId="87" xfId="2" applyFont="1" applyBorder="1" applyAlignment="1">
      <alignment horizontal="right"/>
    </xf>
    <xf numFmtId="174" fontId="72" fillId="0" borderId="88" xfId="2" applyNumberFormat="1" applyFont="1" applyBorder="1" applyAlignment="1">
      <alignment horizontal="center" vertical="center"/>
    </xf>
    <xf numFmtId="191" fontId="70" fillId="0" borderId="0" xfId="2" applyNumberFormat="1" applyFont="1" applyAlignment="1">
      <alignment horizontal="center"/>
    </xf>
    <xf numFmtId="172" fontId="65" fillId="0" borderId="0" xfId="2" applyNumberFormat="1" applyFont="1" applyAlignment="1">
      <alignment horizontal="center"/>
    </xf>
    <xf numFmtId="170" fontId="65" fillId="0" borderId="0" xfId="2" applyNumberFormat="1" applyFont="1" applyAlignment="1">
      <alignment horizontal="center"/>
    </xf>
    <xf numFmtId="14" fontId="65" fillId="0" borderId="0" xfId="2" applyNumberFormat="1" applyFont="1" applyAlignment="1">
      <alignment horizontal="left"/>
    </xf>
    <xf numFmtId="0" fontId="65" fillId="0" borderId="9" xfId="2" applyFont="1" applyBorder="1" applyAlignment="1">
      <alignment horizontal="right"/>
    </xf>
    <xf numFmtId="174" fontId="72" fillId="0" borderId="31" xfId="2" applyNumberFormat="1" applyFont="1" applyBorder="1" applyAlignment="1">
      <alignment horizontal="center" vertical="center"/>
    </xf>
    <xf numFmtId="0" fontId="73" fillId="0" borderId="87" xfId="2" applyFont="1" applyBorder="1" applyAlignment="1">
      <alignment horizontal="right"/>
    </xf>
    <xf numFmtId="2" fontId="74" fillId="0" borderId="88" xfId="2" applyNumberFormat="1" applyFont="1" applyBorder="1" applyAlignment="1">
      <alignment horizontal="center" vertical="center"/>
    </xf>
    <xf numFmtId="191" fontId="73" fillId="0" borderId="0" xfId="2" applyNumberFormat="1" applyFont="1" applyAlignment="1">
      <alignment horizontal="center"/>
    </xf>
    <xf numFmtId="174" fontId="74" fillId="0" borderId="88" xfId="2" applyNumberFormat="1" applyFont="1" applyBorder="1" applyAlignment="1">
      <alignment horizontal="center" vertical="center"/>
    </xf>
    <xf numFmtId="0" fontId="73" fillId="0" borderId="9" xfId="2" applyFont="1" applyBorder="1" applyAlignment="1">
      <alignment horizontal="right"/>
    </xf>
    <xf numFmtId="174" fontId="74" fillId="0" borderId="31" xfId="2" applyNumberFormat="1" applyFont="1" applyBorder="1" applyAlignment="1">
      <alignment horizontal="center" vertical="center"/>
    </xf>
    <xf numFmtId="0" fontId="75" fillId="0" borderId="87" xfId="2" applyFont="1" applyBorder="1" applyAlignment="1">
      <alignment horizontal="right"/>
    </xf>
    <xf numFmtId="0" fontId="73" fillId="0" borderId="0" xfId="2" applyFont="1" applyAlignment="1">
      <alignment horizontal="center"/>
    </xf>
    <xf numFmtId="0" fontId="73" fillId="0" borderId="2" xfId="2" applyFont="1" applyBorder="1" applyAlignment="1">
      <alignment horizontal="right"/>
    </xf>
    <xf numFmtId="174" fontId="74" fillId="0" borderId="30" xfId="2" applyNumberFormat="1" applyFont="1" applyBorder="1" applyAlignment="1">
      <alignment horizontal="center" vertical="center"/>
    </xf>
    <xf numFmtId="0" fontId="76" fillId="0" borderId="0" xfId="2" applyFont="1" applyAlignment="1">
      <alignment horizontal="center"/>
    </xf>
    <xf numFmtId="192" fontId="65" fillId="0" borderId="0" xfId="2" applyNumberFormat="1" applyFont="1" applyAlignment="1">
      <alignment horizontal="center"/>
    </xf>
    <xf numFmtId="0" fontId="23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2" borderId="0" xfId="0" applyFont="1" applyFill="1" applyAlignment="1">
      <alignment horizontal="justify" vertical="center" wrapText="1"/>
    </xf>
    <xf numFmtId="0" fontId="23" fillId="0" borderId="0" xfId="0" applyFont="1" applyAlignment="1">
      <alignment horizontal="justify" vertical="center" wrapText="1"/>
    </xf>
    <xf numFmtId="0" fontId="23" fillId="2" borderId="0" xfId="0" applyFont="1" applyFill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quotePrefix="1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164" fontId="9" fillId="6" borderId="42" xfId="0" applyNumberFormat="1" applyFont="1" applyFill="1" applyBorder="1" applyAlignment="1">
      <alignment horizontal="center" vertical="center"/>
    </xf>
    <xf numFmtId="165" fontId="9" fillId="6" borderId="4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9" fontId="10" fillId="0" borderId="0" xfId="0" applyNumberFormat="1" applyFont="1" applyFill="1" applyBorder="1" applyAlignment="1" applyProtection="1">
      <alignment horizontal="center" vertical="center"/>
    </xf>
    <xf numFmtId="0" fontId="11" fillId="0" borderId="39" xfId="0" applyNumberFormat="1" applyFont="1" applyFill="1" applyBorder="1" applyAlignment="1" applyProtection="1">
      <alignment horizontal="left" vertical="center" wrapText="1"/>
    </xf>
    <xf numFmtId="0" fontId="11" fillId="0" borderId="40" xfId="0" applyNumberFormat="1" applyFont="1" applyFill="1" applyBorder="1" applyAlignment="1" applyProtection="1">
      <alignment horizontal="left" vertical="center" wrapText="1"/>
    </xf>
    <xf numFmtId="0" fontId="11" fillId="0" borderId="41" xfId="0" applyNumberFormat="1" applyFont="1" applyFill="1" applyBorder="1" applyAlignment="1" applyProtection="1">
      <alignment horizontal="left" vertical="center" wrapText="1"/>
    </xf>
    <xf numFmtId="0" fontId="11" fillId="0" borderId="6" xfId="0" applyNumberFormat="1" applyFont="1" applyFill="1" applyBorder="1" applyAlignment="1" applyProtection="1">
      <alignment horizontal="left" vertical="center" wrapText="1"/>
    </xf>
    <xf numFmtId="0" fontId="11" fillId="0" borderId="35" xfId="0" applyNumberFormat="1" applyFont="1" applyFill="1" applyBorder="1" applyAlignment="1" applyProtection="1">
      <alignment horizontal="left" vertical="center" wrapText="1"/>
    </xf>
    <xf numFmtId="0" fontId="11" fillId="0" borderId="3" xfId="0" applyNumberFormat="1" applyFont="1" applyFill="1" applyBorder="1" applyAlignment="1" applyProtection="1">
      <alignment horizontal="left" vertical="center" wrapText="1"/>
    </xf>
    <xf numFmtId="0" fontId="68" fillId="0" borderId="83" xfId="2" applyFont="1" applyBorder="1" applyAlignment="1">
      <alignment horizontal="center"/>
    </xf>
    <xf numFmtId="0" fontId="32" fillId="10" borderId="23" xfId="0" applyFont="1" applyFill="1" applyBorder="1" applyAlignment="1">
      <alignment horizontal="center" vertical="center"/>
    </xf>
    <xf numFmtId="0" fontId="32" fillId="10" borderId="50" xfId="0" applyFont="1" applyFill="1" applyBorder="1" applyAlignment="1">
      <alignment horizontal="center" vertical="center"/>
    </xf>
    <xf numFmtId="3" fontId="32" fillId="4" borderId="49" xfId="0" applyNumberFormat="1" applyFont="1" applyFill="1" applyBorder="1" applyAlignment="1">
      <alignment horizontal="center" vertical="center" wrapText="1"/>
    </xf>
    <xf numFmtId="3" fontId="32" fillId="4" borderId="51" xfId="0" applyNumberFormat="1" applyFont="1" applyFill="1" applyBorder="1" applyAlignment="1">
      <alignment horizontal="center" vertical="center" wrapText="1"/>
    </xf>
    <xf numFmtId="3" fontId="32" fillId="4" borderId="55" xfId="0" applyNumberFormat="1" applyFont="1" applyFill="1" applyBorder="1" applyAlignment="1">
      <alignment horizontal="center" vertical="center" wrapText="1"/>
    </xf>
    <xf numFmtId="181" fontId="33" fillId="11" borderId="44" xfId="0" quotePrefix="1" applyNumberFormat="1" applyFont="1" applyFill="1" applyBorder="1" applyAlignment="1">
      <alignment horizontal="center" vertical="center"/>
    </xf>
    <xf numFmtId="181" fontId="33" fillId="11" borderId="48" xfId="0" quotePrefix="1" applyNumberFormat="1" applyFont="1" applyFill="1" applyBorder="1" applyAlignment="1">
      <alignment horizontal="center" vertical="center"/>
    </xf>
    <xf numFmtId="181" fontId="33" fillId="11" borderId="45" xfId="0" quotePrefix="1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vertical="center"/>
      <protection locked="0"/>
    </xf>
  </cellXfs>
  <cellStyles count="9">
    <cellStyle name="Обычный" xfId="0" builtinId="0"/>
    <cellStyle name="Обычный 101" xfId="1" xr:uid="{C6E47767-C28E-464B-BF78-9A1126787C4B}"/>
    <cellStyle name="Обычный 2" xfId="2" xr:uid="{70C4B063-C951-47BB-9A27-F16F021BF123}"/>
    <cellStyle name="Обычный 2 10" xfId="8" xr:uid="{445B595A-DC72-4BF6-A342-EAE72B301496}"/>
    <cellStyle name="Обычный 94" xfId="3" xr:uid="{632BF9B0-B135-4D4C-84AB-51EEF74334C3}"/>
    <cellStyle name="Обычный 95" xfId="4" xr:uid="{2B93CB04-044C-4B82-84AB-482DE461E0E1}"/>
    <cellStyle name="Обычный 99" xfId="5" xr:uid="{B85E07D9-BCCE-4195-B31C-456C6F05CA9D}"/>
    <cellStyle name="Финансовый 12" xfId="6" xr:uid="{7E8CACC1-C16B-4B63-AB30-B50AED728CC3}"/>
    <cellStyle name="Финансовый 15" xfId="7" xr:uid="{99F10B9F-7F94-439F-A41C-605EA8EC8BDC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5791200</xdr:colOff>
      <xdr:row>45</xdr:row>
      <xdr:rowOff>512619</xdr:rowOff>
    </xdr:from>
    <xdr:to>
      <xdr:col>0</xdr:col>
      <xdr:colOff>7395882</xdr:colOff>
      <xdr:row>46</xdr:row>
      <xdr:rowOff>370814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0F9C410-BDA7-4844-8948-E4A130496FD5}"/>
            </a:ext>
          </a:extLst>
        </xdr:cNvPr>
        <xdr:cNvSpPr/>
      </xdr:nvSpPr>
      <xdr:spPr>
        <a:xfrm>
          <a:off x="3505200" y="20191269"/>
          <a:ext cx="4482" cy="82974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  <xdr:twoCellAnchor>
    <xdr:from>
      <xdr:col>0</xdr:col>
      <xdr:colOff>5791200</xdr:colOff>
      <xdr:row>61</xdr:row>
      <xdr:rowOff>512619</xdr:rowOff>
    </xdr:from>
    <xdr:to>
      <xdr:col>0</xdr:col>
      <xdr:colOff>7395882</xdr:colOff>
      <xdr:row>62</xdr:row>
      <xdr:rowOff>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F2201EC5-EB01-440D-9D97-F7FCDD0A63FF}"/>
            </a:ext>
          </a:extLst>
        </xdr:cNvPr>
        <xdr:cNvSpPr/>
      </xdr:nvSpPr>
      <xdr:spPr>
        <a:xfrm>
          <a:off x="3505200" y="28354194"/>
          <a:ext cx="4482" cy="173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  <xdr:twoCellAnchor>
    <xdr:from>
      <xdr:col>0</xdr:col>
      <xdr:colOff>5791200</xdr:colOff>
      <xdr:row>61</xdr:row>
      <xdr:rowOff>512619</xdr:rowOff>
    </xdr:from>
    <xdr:to>
      <xdr:col>0</xdr:col>
      <xdr:colOff>7395882</xdr:colOff>
      <xdr:row>62</xdr:row>
      <xdr:rowOff>370814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F1571913-245C-42FF-B4EC-1A81FED72055}"/>
            </a:ext>
          </a:extLst>
        </xdr:cNvPr>
        <xdr:cNvSpPr/>
      </xdr:nvSpPr>
      <xdr:spPr>
        <a:xfrm>
          <a:off x="3505200" y="28354194"/>
          <a:ext cx="4482" cy="37254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  <xdr:twoCellAnchor>
    <xdr:from>
      <xdr:col>0</xdr:col>
      <xdr:colOff>5791200</xdr:colOff>
      <xdr:row>45</xdr:row>
      <xdr:rowOff>512619</xdr:rowOff>
    </xdr:from>
    <xdr:to>
      <xdr:col>0</xdr:col>
      <xdr:colOff>7395882</xdr:colOff>
      <xdr:row>46</xdr:row>
      <xdr:rowOff>370814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0F706C3F-63DC-4EDC-B7C8-641C2115617F}"/>
            </a:ext>
          </a:extLst>
        </xdr:cNvPr>
        <xdr:cNvSpPr/>
      </xdr:nvSpPr>
      <xdr:spPr>
        <a:xfrm>
          <a:off x="3505200" y="20191269"/>
          <a:ext cx="4482" cy="82974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  <xdr:twoCellAnchor>
    <xdr:from>
      <xdr:col>0</xdr:col>
      <xdr:colOff>5791200</xdr:colOff>
      <xdr:row>61</xdr:row>
      <xdr:rowOff>512619</xdr:rowOff>
    </xdr:from>
    <xdr:to>
      <xdr:col>0</xdr:col>
      <xdr:colOff>7395882</xdr:colOff>
      <xdr:row>62</xdr:row>
      <xdr:rowOff>0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B30FBDC1-3EBE-4BD9-8D68-6D0FE7B89D47}"/>
            </a:ext>
          </a:extLst>
        </xdr:cNvPr>
        <xdr:cNvSpPr/>
      </xdr:nvSpPr>
      <xdr:spPr>
        <a:xfrm>
          <a:off x="3505200" y="28354194"/>
          <a:ext cx="4482" cy="1731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  <xdr:twoCellAnchor>
    <xdr:from>
      <xdr:col>0</xdr:col>
      <xdr:colOff>5791200</xdr:colOff>
      <xdr:row>61</xdr:row>
      <xdr:rowOff>512619</xdr:rowOff>
    </xdr:from>
    <xdr:to>
      <xdr:col>0</xdr:col>
      <xdr:colOff>7395882</xdr:colOff>
      <xdr:row>62</xdr:row>
      <xdr:rowOff>370814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A9EAC576-4987-4B03-A314-20514B595AF6}"/>
            </a:ext>
          </a:extLst>
        </xdr:cNvPr>
        <xdr:cNvSpPr/>
      </xdr:nvSpPr>
      <xdr:spPr>
        <a:xfrm>
          <a:off x="3505200" y="28354194"/>
          <a:ext cx="4482" cy="372545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800">
              <a:latin typeface="Times New Roman" panose="02020603050405020304" pitchFamily="18" charset="0"/>
              <a:cs typeface="Times New Roman" panose="02020603050405020304" pitchFamily="18" charset="0"/>
            </a:rPr>
            <a:t>Транспорт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617005</xdr:colOff>
      <xdr:row>1</xdr:row>
      <xdr:rowOff>326570</xdr:rowOff>
    </xdr:from>
    <xdr:to>
      <xdr:col>23</xdr:col>
      <xdr:colOff>1140880</xdr:colOff>
      <xdr:row>1</xdr:row>
      <xdr:rowOff>496660</xdr:rowOff>
    </xdr:to>
    <xdr:sp macro="[2]!LoadData" textlink="">
      <xdr:nvSpPr>
        <xdr:cNvPr id="3" name="Bntc21">
          <a:extLst>
            <a:ext uri="{FF2B5EF4-FFF2-40B4-BE49-F238E27FC236}">
              <a16:creationId xmlns:a16="http://schemas.microsoft.com/office/drawing/2014/main" id="{1592B515-3083-4507-BB03-289BE9F3BAE1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605681</xdr:colOff>
      <xdr:row>1</xdr:row>
      <xdr:rowOff>326570</xdr:rowOff>
    </xdr:from>
    <xdr:to>
      <xdr:col>22</xdr:col>
      <xdr:colOff>1129556</xdr:colOff>
      <xdr:row>1</xdr:row>
      <xdr:rowOff>496660</xdr:rowOff>
    </xdr:to>
    <xdr:sp macro="[2]!LoadData" textlink="">
      <xdr:nvSpPr>
        <xdr:cNvPr id="4" name="Bntc20">
          <a:extLst>
            <a:ext uri="{FF2B5EF4-FFF2-40B4-BE49-F238E27FC236}">
              <a16:creationId xmlns:a16="http://schemas.microsoft.com/office/drawing/2014/main" id="{01A14745-0875-4D32-A474-21FC7F29D4D4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594357</xdr:colOff>
      <xdr:row>1</xdr:row>
      <xdr:rowOff>326570</xdr:rowOff>
    </xdr:from>
    <xdr:to>
      <xdr:col>21</xdr:col>
      <xdr:colOff>1118232</xdr:colOff>
      <xdr:row>1</xdr:row>
      <xdr:rowOff>496660</xdr:rowOff>
    </xdr:to>
    <xdr:sp macro="[2]!LoadData" textlink="">
      <xdr:nvSpPr>
        <xdr:cNvPr id="5" name="Bntc19">
          <a:extLst>
            <a:ext uri="{FF2B5EF4-FFF2-40B4-BE49-F238E27FC236}">
              <a16:creationId xmlns:a16="http://schemas.microsoft.com/office/drawing/2014/main" id="{62E0FB68-8352-480D-891D-69F2822E0963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583033</xdr:colOff>
      <xdr:row>1</xdr:row>
      <xdr:rowOff>326570</xdr:rowOff>
    </xdr:from>
    <xdr:to>
      <xdr:col>20</xdr:col>
      <xdr:colOff>1106908</xdr:colOff>
      <xdr:row>1</xdr:row>
      <xdr:rowOff>496660</xdr:rowOff>
    </xdr:to>
    <xdr:sp macro="[2]!LoadData" textlink="">
      <xdr:nvSpPr>
        <xdr:cNvPr id="6" name="Bntc18">
          <a:extLst>
            <a:ext uri="{FF2B5EF4-FFF2-40B4-BE49-F238E27FC236}">
              <a16:creationId xmlns:a16="http://schemas.microsoft.com/office/drawing/2014/main" id="{5528E755-39AC-4827-900C-24123AE96353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571709</xdr:colOff>
      <xdr:row>1</xdr:row>
      <xdr:rowOff>326570</xdr:rowOff>
    </xdr:from>
    <xdr:to>
      <xdr:col>19</xdr:col>
      <xdr:colOff>1095584</xdr:colOff>
      <xdr:row>1</xdr:row>
      <xdr:rowOff>496660</xdr:rowOff>
    </xdr:to>
    <xdr:sp macro="[2]!LoadData" textlink="">
      <xdr:nvSpPr>
        <xdr:cNvPr id="7" name="Bntc17">
          <a:extLst>
            <a:ext uri="{FF2B5EF4-FFF2-40B4-BE49-F238E27FC236}">
              <a16:creationId xmlns:a16="http://schemas.microsoft.com/office/drawing/2014/main" id="{7624A6F5-119A-4A2C-9AE3-91D851E9F429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560385</xdr:colOff>
      <xdr:row>1</xdr:row>
      <xdr:rowOff>326570</xdr:rowOff>
    </xdr:from>
    <xdr:to>
      <xdr:col>18</xdr:col>
      <xdr:colOff>1084260</xdr:colOff>
      <xdr:row>1</xdr:row>
      <xdr:rowOff>496660</xdr:rowOff>
    </xdr:to>
    <xdr:sp macro="[2]!LoadData" textlink="">
      <xdr:nvSpPr>
        <xdr:cNvPr id="8" name="Bntc16">
          <a:extLst>
            <a:ext uri="{FF2B5EF4-FFF2-40B4-BE49-F238E27FC236}">
              <a16:creationId xmlns:a16="http://schemas.microsoft.com/office/drawing/2014/main" id="{D6004EFA-29B4-4460-B631-153465EE9F7F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549061</xdr:colOff>
      <xdr:row>1</xdr:row>
      <xdr:rowOff>326570</xdr:rowOff>
    </xdr:from>
    <xdr:to>
      <xdr:col>17</xdr:col>
      <xdr:colOff>1072936</xdr:colOff>
      <xdr:row>1</xdr:row>
      <xdr:rowOff>496660</xdr:rowOff>
    </xdr:to>
    <xdr:sp macro="[2]!LoadData" textlink="">
      <xdr:nvSpPr>
        <xdr:cNvPr id="9" name="Bntc15">
          <a:extLst>
            <a:ext uri="{FF2B5EF4-FFF2-40B4-BE49-F238E27FC236}">
              <a16:creationId xmlns:a16="http://schemas.microsoft.com/office/drawing/2014/main" id="{E51BB939-31A9-4931-A75B-39F3D5E659FC}"/>
            </a:ext>
          </a:extLst>
        </xdr:cNvPr>
        <xdr:cNvSpPr/>
      </xdr:nvSpPr>
      <xdr:spPr>
        <a:xfrm flipV="1">
          <a:off x="2720953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537737</xdr:colOff>
      <xdr:row>1</xdr:row>
      <xdr:rowOff>326570</xdr:rowOff>
    </xdr:from>
    <xdr:to>
      <xdr:col>16</xdr:col>
      <xdr:colOff>1061612</xdr:colOff>
      <xdr:row>1</xdr:row>
      <xdr:rowOff>496660</xdr:rowOff>
    </xdr:to>
    <xdr:sp macro="[2]!LoadData" textlink="">
      <xdr:nvSpPr>
        <xdr:cNvPr id="10" name="Bntc14">
          <a:extLst>
            <a:ext uri="{FF2B5EF4-FFF2-40B4-BE49-F238E27FC236}">
              <a16:creationId xmlns:a16="http://schemas.microsoft.com/office/drawing/2014/main" id="{78C92CF1-EBD3-463A-B398-9CA7E0B04A1C}"/>
            </a:ext>
          </a:extLst>
        </xdr:cNvPr>
        <xdr:cNvSpPr/>
      </xdr:nvSpPr>
      <xdr:spPr>
        <a:xfrm flipV="1">
          <a:off x="2556943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526413</xdr:colOff>
      <xdr:row>1</xdr:row>
      <xdr:rowOff>326570</xdr:rowOff>
    </xdr:from>
    <xdr:to>
      <xdr:col>15</xdr:col>
      <xdr:colOff>1050288</xdr:colOff>
      <xdr:row>1</xdr:row>
      <xdr:rowOff>496660</xdr:rowOff>
    </xdr:to>
    <xdr:sp macro="[2]!LoadData" textlink="">
      <xdr:nvSpPr>
        <xdr:cNvPr id="11" name="Bntc13">
          <a:extLst>
            <a:ext uri="{FF2B5EF4-FFF2-40B4-BE49-F238E27FC236}">
              <a16:creationId xmlns:a16="http://schemas.microsoft.com/office/drawing/2014/main" id="{A5C6D210-45D5-4656-B89F-C42204FB3AB4}"/>
            </a:ext>
          </a:extLst>
        </xdr:cNvPr>
        <xdr:cNvSpPr/>
      </xdr:nvSpPr>
      <xdr:spPr>
        <a:xfrm flipV="1">
          <a:off x="2412936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515089</xdr:colOff>
      <xdr:row>1</xdr:row>
      <xdr:rowOff>326570</xdr:rowOff>
    </xdr:from>
    <xdr:to>
      <xdr:col>14</xdr:col>
      <xdr:colOff>1038964</xdr:colOff>
      <xdr:row>1</xdr:row>
      <xdr:rowOff>496660</xdr:rowOff>
    </xdr:to>
    <xdr:sp macro="[2]!LoadData" textlink="">
      <xdr:nvSpPr>
        <xdr:cNvPr id="12" name="Bntc12">
          <a:extLst>
            <a:ext uri="{FF2B5EF4-FFF2-40B4-BE49-F238E27FC236}">
              <a16:creationId xmlns:a16="http://schemas.microsoft.com/office/drawing/2014/main" id="{9589A654-2CB3-4BA8-9BF5-453127F032CC}"/>
            </a:ext>
          </a:extLst>
        </xdr:cNvPr>
        <xdr:cNvSpPr/>
      </xdr:nvSpPr>
      <xdr:spPr>
        <a:xfrm flipV="1">
          <a:off x="2268928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503765</xdr:colOff>
      <xdr:row>1</xdr:row>
      <xdr:rowOff>326570</xdr:rowOff>
    </xdr:from>
    <xdr:to>
      <xdr:col>13</xdr:col>
      <xdr:colOff>1027640</xdr:colOff>
      <xdr:row>1</xdr:row>
      <xdr:rowOff>496660</xdr:rowOff>
    </xdr:to>
    <xdr:sp macro="[2]!LoadData" textlink="">
      <xdr:nvSpPr>
        <xdr:cNvPr id="13" name="Bntc11">
          <a:extLst>
            <a:ext uri="{FF2B5EF4-FFF2-40B4-BE49-F238E27FC236}">
              <a16:creationId xmlns:a16="http://schemas.microsoft.com/office/drawing/2014/main" id="{7E2A10E5-A9B8-48D6-818E-768EB1F88519}"/>
            </a:ext>
          </a:extLst>
        </xdr:cNvPr>
        <xdr:cNvSpPr/>
      </xdr:nvSpPr>
      <xdr:spPr>
        <a:xfrm flipV="1">
          <a:off x="21249215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492441</xdr:colOff>
      <xdr:row>1</xdr:row>
      <xdr:rowOff>326570</xdr:rowOff>
    </xdr:from>
    <xdr:to>
      <xdr:col>12</xdr:col>
      <xdr:colOff>1016316</xdr:colOff>
      <xdr:row>1</xdr:row>
      <xdr:rowOff>496660</xdr:rowOff>
    </xdr:to>
    <xdr:sp macro="[2]!LoadData" textlink="">
      <xdr:nvSpPr>
        <xdr:cNvPr id="14" name="Bntc10">
          <a:extLst>
            <a:ext uri="{FF2B5EF4-FFF2-40B4-BE49-F238E27FC236}">
              <a16:creationId xmlns:a16="http://schemas.microsoft.com/office/drawing/2014/main" id="{2C2E856A-F030-4207-99F3-792C7CABD83D}"/>
            </a:ext>
          </a:extLst>
        </xdr:cNvPr>
        <xdr:cNvSpPr/>
      </xdr:nvSpPr>
      <xdr:spPr>
        <a:xfrm flipV="1">
          <a:off x="19809141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447145</xdr:colOff>
      <xdr:row>1</xdr:row>
      <xdr:rowOff>326570</xdr:rowOff>
    </xdr:from>
    <xdr:to>
      <xdr:col>8</xdr:col>
      <xdr:colOff>971020</xdr:colOff>
      <xdr:row>1</xdr:row>
      <xdr:rowOff>496660</xdr:rowOff>
    </xdr:to>
    <xdr:sp macro="[2]!LoadData" textlink="">
      <xdr:nvSpPr>
        <xdr:cNvPr id="15" name="Bntc6">
          <a:extLst>
            <a:ext uri="{FF2B5EF4-FFF2-40B4-BE49-F238E27FC236}">
              <a16:creationId xmlns:a16="http://schemas.microsoft.com/office/drawing/2014/main" id="{B01F8A85-48C9-4425-9E7E-82AF10CA3089}"/>
            </a:ext>
          </a:extLst>
        </xdr:cNvPr>
        <xdr:cNvSpPr/>
      </xdr:nvSpPr>
      <xdr:spPr>
        <a:xfrm flipV="1">
          <a:off x="1409647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435821</xdr:colOff>
      <xdr:row>1</xdr:row>
      <xdr:rowOff>326570</xdr:rowOff>
    </xdr:from>
    <xdr:to>
      <xdr:col>7</xdr:col>
      <xdr:colOff>959696</xdr:colOff>
      <xdr:row>1</xdr:row>
      <xdr:rowOff>496660</xdr:rowOff>
    </xdr:to>
    <xdr:sp macro="[2]!LoadData" textlink="">
      <xdr:nvSpPr>
        <xdr:cNvPr id="16" name="Bntc5">
          <a:extLst>
            <a:ext uri="{FF2B5EF4-FFF2-40B4-BE49-F238E27FC236}">
              <a16:creationId xmlns:a16="http://schemas.microsoft.com/office/drawing/2014/main" id="{C3FD97BD-26D5-4E52-ACF4-F3A7E35CE4D7}"/>
            </a:ext>
          </a:extLst>
        </xdr:cNvPr>
        <xdr:cNvSpPr/>
      </xdr:nvSpPr>
      <xdr:spPr>
        <a:xfrm flipV="1">
          <a:off x="1275164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424497</xdr:colOff>
      <xdr:row>1</xdr:row>
      <xdr:rowOff>326570</xdr:rowOff>
    </xdr:from>
    <xdr:to>
      <xdr:col>6</xdr:col>
      <xdr:colOff>948372</xdr:colOff>
      <xdr:row>1</xdr:row>
      <xdr:rowOff>496660</xdr:rowOff>
    </xdr:to>
    <xdr:sp macro="[2]!LoadData" textlink="">
      <xdr:nvSpPr>
        <xdr:cNvPr id="17" name="Bntc4">
          <a:extLst>
            <a:ext uri="{FF2B5EF4-FFF2-40B4-BE49-F238E27FC236}">
              <a16:creationId xmlns:a16="http://schemas.microsoft.com/office/drawing/2014/main" id="{EA32695B-525B-4A8D-BF06-AE57DD755DA0}"/>
            </a:ext>
          </a:extLst>
        </xdr:cNvPr>
        <xdr:cNvSpPr/>
      </xdr:nvSpPr>
      <xdr:spPr>
        <a:xfrm flipV="1">
          <a:off x="1140682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413173</xdr:colOff>
      <xdr:row>1</xdr:row>
      <xdr:rowOff>326570</xdr:rowOff>
    </xdr:from>
    <xdr:to>
      <xdr:col>5</xdr:col>
      <xdr:colOff>937048</xdr:colOff>
      <xdr:row>1</xdr:row>
      <xdr:rowOff>496660</xdr:rowOff>
    </xdr:to>
    <xdr:sp macro="[2]!LoadData" textlink="">
      <xdr:nvSpPr>
        <xdr:cNvPr id="18" name="Bntc3">
          <a:extLst>
            <a:ext uri="{FF2B5EF4-FFF2-40B4-BE49-F238E27FC236}">
              <a16:creationId xmlns:a16="http://schemas.microsoft.com/office/drawing/2014/main" id="{15664309-3CCD-4D40-B748-D2AEF2B9069B}"/>
            </a:ext>
          </a:extLst>
        </xdr:cNvPr>
        <xdr:cNvSpPr/>
      </xdr:nvSpPr>
      <xdr:spPr>
        <a:xfrm flipV="1">
          <a:off x="982387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401849</xdr:colOff>
      <xdr:row>1</xdr:row>
      <xdr:rowOff>326570</xdr:rowOff>
    </xdr:from>
    <xdr:to>
      <xdr:col>4</xdr:col>
      <xdr:colOff>925724</xdr:colOff>
      <xdr:row>1</xdr:row>
      <xdr:rowOff>496660</xdr:rowOff>
    </xdr:to>
    <xdr:sp macro="[2]!LoadData" textlink="">
      <xdr:nvSpPr>
        <xdr:cNvPr id="19" name="Bntc2">
          <a:extLst>
            <a:ext uri="{FF2B5EF4-FFF2-40B4-BE49-F238E27FC236}">
              <a16:creationId xmlns:a16="http://schemas.microsoft.com/office/drawing/2014/main" id="{480B4FF8-0453-4802-932C-38F113BAEB51}"/>
            </a:ext>
          </a:extLst>
        </xdr:cNvPr>
        <xdr:cNvSpPr/>
      </xdr:nvSpPr>
      <xdr:spPr>
        <a:xfrm flipV="1">
          <a:off x="828854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390525</xdr:colOff>
      <xdr:row>1</xdr:row>
      <xdr:rowOff>326570</xdr:rowOff>
    </xdr:from>
    <xdr:to>
      <xdr:col>3</xdr:col>
      <xdr:colOff>914400</xdr:colOff>
      <xdr:row>1</xdr:row>
      <xdr:rowOff>496660</xdr:rowOff>
    </xdr:to>
    <xdr:sp macro="[2]!LoadData" textlink="">
      <xdr:nvSpPr>
        <xdr:cNvPr id="20" name="Bntc1">
          <a:extLst>
            <a:ext uri="{FF2B5EF4-FFF2-40B4-BE49-F238E27FC236}">
              <a16:creationId xmlns:a16="http://schemas.microsoft.com/office/drawing/2014/main" id="{041E55F9-FD57-47DF-B67A-E54781C68E77}"/>
            </a:ext>
          </a:extLst>
        </xdr:cNvPr>
        <xdr:cNvSpPr/>
      </xdr:nvSpPr>
      <xdr:spPr>
        <a:xfrm flipV="1">
          <a:off x="6524625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481117</xdr:colOff>
      <xdr:row>1</xdr:row>
      <xdr:rowOff>326570</xdr:rowOff>
    </xdr:from>
    <xdr:to>
      <xdr:col>11</xdr:col>
      <xdr:colOff>1004992</xdr:colOff>
      <xdr:row>1</xdr:row>
      <xdr:rowOff>496660</xdr:rowOff>
    </xdr:to>
    <xdr:sp macro="[2]!LoadData" textlink="">
      <xdr:nvSpPr>
        <xdr:cNvPr id="21" name="Bntc9">
          <a:extLst>
            <a:ext uri="{FF2B5EF4-FFF2-40B4-BE49-F238E27FC236}">
              <a16:creationId xmlns:a16="http://schemas.microsoft.com/office/drawing/2014/main" id="{8AE5EF93-B91C-44F8-9735-B1CAA4FEAC4A}"/>
            </a:ext>
          </a:extLst>
        </xdr:cNvPr>
        <xdr:cNvSpPr/>
      </xdr:nvSpPr>
      <xdr:spPr>
        <a:xfrm flipV="1">
          <a:off x="1836906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469793</xdr:colOff>
      <xdr:row>1</xdr:row>
      <xdr:rowOff>326570</xdr:rowOff>
    </xdr:from>
    <xdr:to>
      <xdr:col>10</xdr:col>
      <xdr:colOff>993668</xdr:colOff>
      <xdr:row>1</xdr:row>
      <xdr:rowOff>496660</xdr:rowOff>
    </xdr:to>
    <xdr:sp macro="[2]!LoadData" textlink="">
      <xdr:nvSpPr>
        <xdr:cNvPr id="22" name="Bntc8">
          <a:extLst>
            <a:ext uri="{FF2B5EF4-FFF2-40B4-BE49-F238E27FC236}">
              <a16:creationId xmlns:a16="http://schemas.microsoft.com/office/drawing/2014/main" id="{FE4327EE-AF6B-4FE0-BF8C-1AB84714693E}"/>
            </a:ext>
          </a:extLst>
        </xdr:cNvPr>
        <xdr:cNvSpPr/>
      </xdr:nvSpPr>
      <xdr:spPr>
        <a:xfrm flipV="1">
          <a:off x="1702424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458469</xdr:colOff>
      <xdr:row>1</xdr:row>
      <xdr:rowOff>326570</xdr:rowOff>
    </xdr:from>
    <xdr:to>
      <xdr:col>9</xdr:col>
      <xdr:colOff>982344</xdr:colOff>
      <xdr:row>1</xdr:row>
      <xdr:rowOff>496660</xdr:rowOff>
    </xdr:to>
    <xdr:sp macro="[2]!LoadData" textlink="">
      <xdr:nvSpPr>
        <xdr:cNvPr id="23" name="Bntc7">
          <a:extLst>
            <a:ext uri="{FF2B5EF4-FFF2-40B4-BE49-F238E27FC236}">
              <a16:creationId xmlns:a16="http://schemas.microsoft.com/office/drawing/2014/main" id="{F0D6E929-9069-4DF4-A9A0-30A038581246}"/>
            </a:ext>
          </a:extLst>
        </xdr:cNvPr>
        <xdr:cNvSpPr/>
      </xdr:nvSpPr>
      <xdr:spPr>
        <a:xfrm flipV="1">
          <a:off x="1544129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30</xdr:col>
      <xdr:colOff>315273</xdr:colOff>
      <xdr:row>1</xdr:row>
      <xdr:rowOff>326570</xdr:rowOff>
    </xdr:from>
    <xdr:to>
      <xdr:col>30</xdr:col>
      <xdr:colOff>839148</xdr:colOff>
      <xdr:row>1</xdr:row>
      <xdr:rowOff>496660</xdr:rowOff>
    </xdr:to>
    <xdr:sp macro="[2]!LoadData" textlink="">
      <xdr:nvSpPr>
        <xdr:cNvPr id="24" name="Bntc28">
          <a:extLst>
            <a:ext uri="{FF2B5EF4-FFF2-40B4-BE49-F238E27FC236}">
              <a16:creationId xmlns:a16="http://schemas.microsoft.com/office/drawing/2014/main" id="{32344D16-08DB-41C3-8049-2C68D0C0A674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25" name="Bntc27">
          <a:extLst>
            <a:ext uri="{FF2B5EF4-FFF2-40B4-BE49-F238E27FC236}">
              <a16:creationId xmlns:a16="http://schemas.microsoft.com/office/drawing/2014/main" id="{56E503D5-2646-483C-BBA9-2E4FA6217450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356125</xdr:colOff>
      <xdr:row>1</xdr:row>
      <xdr:rowOff>326570</xdr:rowOff>
    </xdr:from>
    <xdr:to>
      <xdr:col>28</xdr:col>
      <xdr:colOff>880000</xdr:colOff>
      <xdr:row>1</xdr:row>
      <xdr:rowOff>496660</xdr:rowOff>
    </xdr:to>
    <xdr:sp macro="[2]!LoadData" textlink="">
      <xdr:nvSpPr>
        <xdr:cNvPr id="26" name="Bntc26">
          <a:extLst>
            <a:ext uri="{FF2B5EF4-FFF2-40B4-BE49-F238E27FC236}">
              <a16:creationId xmlns:a16="http://schemas.microsoft.com/office/drawing/2014/main" id="{1C9CEF00-6A52-4843-97BA-FB61633AF585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344801</xdr:colOff>
      <xdr:row>1</xdr:row>
      <xdr:rowOff>326570</xdr:rowOff>
    </xdr:from>
    <xdr:to>
      <xdr:col>27</xdr:col>
      <xdr:colOff>868676</xdr:colOff>
      <xdr:row>1</xdr:row>
      <xdr:rowOff>496660</xdr:rowOff>
    </xdr:to>
    <xdr:sp macro="[2]!LoadData" textlink="">
      <xdr:nvSpPr>
        <xdr:cNvPr id="27" name="Bntc25">
          <a:extLst>
            <a:ext uri="{FF2B5EF4-FFF2-40B4-BE49-F238E27FC236}">
              <a16:creationId xmlns:a16="http://schemas.microsoft.com/office/drawing/2014/main" id="{346DBBD2-4CD6-4C21-BD38-BC05E66A8269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650977</xdr:colOff>
      <xdr:row>1</xdr:row>
      <xdr:rowOff>326570</xdr:rowOff>
    </xdr:from>
    <xdr:to>
      <xdr:col>26</xdr:col>
      <xdr:colOff>1174852</xdr:colOff>
      <xdr:row>1</xdr:row>
      <xdr:rowOff>496660</xdr:rowOff>
    </xdr:to>
    <xdr:sp macro="[2]!LoadData" textlink="">
      <xdr:nvSpPr>
        <xdr:cNvPr id="28" name="Bntc24">
          <a:extLst>
            <a:ext uri="{FF2B5EF4-FFF2-40B4-BE49-F238E27FC236}">
              <a16:creationId xmlns:a16="http://schemas.microsoft.com/office/drawing/2014/main" id="{08A498D8-344B-4B5E-A282-4729584DD974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639653</xdr:colOff>
      <xdr:row>1</xdr:row>
      <xdr:rowOff>326570</xdr:rowOff>
    </xdr:from>
    <xdr:to>
      <xdr:col>25</xdr:col>
      <xdr:colOff>1163528</xdr:colOff>
      <xdr:row>1</xdr:row>
      <xdr:rowOff>496660</xdr:rowOff>
    </xdr:to>
    <xdr:sp macro="[2]!LoadData" textlink="">
      <xdr:nvSpPr>
        <xdr:cNvPr id="29" name="Bntc23">
          <a:extLst>
            <a:ext uri="{FF2B5EF4-FFF2-40B4-BE49-F238E27FC236}">
              <a16:creationId xmlns:a16="http://schemas.microsoft.com/office/drawing/2014/main" id="{3EBEEFF7-C296-415D-BE1E-0574C56E70A0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628329</xdr:colOff>
      <xdr:row>1</xdr:row>
      <xdr:rowOff>326570</xdr:rowOff>
    </xdr:from>
    <xdr:to>
      <xdr:col>24</xdr:col>
      <xdr:colOff>1152204</xdr:colOff>
      <xdr:row>1</xdr:row>
      <xdr:rowOff>496660</xdr:rowOff>
    </xdr:to>
    <xdr:sp macro="[2]!LoadData" textlink="">
      <xdr:nvSpPr>
        <xdr:cNvPr id="30" name="Bntc22">
          <a:extLst>
            <a:ext uri="{FF2B5EF4-FFF2-40B4-BE49-F238E27FC236}">
              <a16:creationId xmlns:a16="http://schemas.microsoft.com/office/drawing/2014/main" id="{8600541D-28FD-4339-9E53-AC23BA4C16DF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326597</xdr:colOff>
      <xdr:row>1</xdr:row>
      <xdr:rowOff>326570</xdr:rowOff>
    </xdr:from>
    <xdr:to>
      <xdr:col>31</xdr:col>
      <xdr:colOff>850472</xdr:colOff>
      <xdr:row>1</xdr:row>
      <xdr:rowOff>496660</xdr:rowOff>
    </xdr:to>
    <xdr:sp macro="[2]!LoadData" textlink="">
      <xdr:nvSpPr>
        <xdr:cNvPr id="31" name="Bntc29">
          <a:extLst>
            <a:ext uri="{FF2B5EF4-FFF2-40B4-BE49-F238E27FC236}">
              <a16:creationId xmlns:a16="http://schemas.microsoft.com/office/drawing/2014/main" id="{E22BB2AD-8F67-4550-ACF5-1F065473DF1E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32</xdr:col>
      <xdr:colOff>329046</xdr:colOff>
      <xdr:row>1</xdr:row>
      <xdr:rowOff>294409</xdr:rowOff>
    </xdr:from>
    <xdr:to>
      <xdr:col>32</xdr:col>
      <xdr:colOff>852921</xdr:colOff>
      <xdr:row>1</xdr:row>
      <xdr:rowOff>464499</xdr:rowOff>
    </xdr:to>
    <xdr:sp macro="[2]!LoadData" textlink="">
      <xdr:nvSpPr>
        <xdr:cNvPr id="32" name="Bntc30">
          <a:extLst>
            <a:ext uri="{FF2B5EF4-FFF2-40B4-BE49-F238E27FC236}">
              <a16:creationId xmlns:a16="http://schemas.microsoft.com/office/drawing/2014/main" id="{361BBCE6-75A0-4BEE-AFEA-C0F42DAC1770}"/>
            </a:ext>
          </a:extLst>
        </xdr:cNvPr>
        <xdr:cNvSpPr/>
      </xdr:nvSpPr>
      <xdr:spPr>
        <a:xfrm flipV="1">
          <a:off x="28165425" y="389659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33</xdr:col>
      <xdr:colOff>398318</xdr:colOff>
      <xdr:row>1</xdr:row>
      <xdr:rowOff>311727</xdr:rowOff>
    </xdr:from>
    <xdr:to>
      <xdr:col>33</xdr:col>
      <xdr:colOff>922193</xdr:colOff>
      <xdr:row>1</xdr:row>
      <xdr:rowOff>481817</xdr:rowOff>
    </xdr:to>
    <xdr:sp macro="[2]!LoadData" textlink="">
      <xdr:nvSpPr>
        <xdr:cNvPr id="33" name="Bntc31">
          <a:extLst>
            <a:ext uri="{FF2B5EF4-FFF2-40B4-BE49-F238E27FC236}">
              <a16:creationId xmlns:a16="http://schemas.microsoft.com/office/drawing/2014/main" id="{2F89699D-4132-46B8-A5BE-73240F424E47}"/>
            </a:ext>
          </a:extLst>
        </xdr:cNvPr>
        <xdr:cNvSpPr/>
      </xdr:nvSpPr>
      <xdr:spPr>
        <a:xfrm flipV="1">
          <a:off x="28563743" y="406977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34" name="Bntc27">
          <a:extLst>
            <a:ext uri="{FF2B5EF4-FFF2-40B4-BE49-F238E27FC236}">
              <a16:creationId xmlns:a16="http://schemas.microsoft.com/office/drawing/2014/main" id="{F9F5AC55-81AC-422F-BA6A-900098DEB4A1}"/>
            </a:ext>
          </a:extLst>
        </xdr:cNvPr>
        <xdr:cNvSpPr/>
      </xdr:nvSpPr>
      <xdr:spPr>
        <a:xfrm flipV="1">
          <a:off x="28165425" y="421820"/>
          <a:ext cx="0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617005</xdr:colOff>
      <xdr:row>1</xdr:row>
      <xdr:rowOff>326570</xdr:rowOff>
    </xdr:from>
    <xdr:to>
      <xdr:col>23</xdr:col>
      <xdr:colOff>1140880</xdr:colOff>
      <xdr:row>1</xdr:row>
      <xdr:rowOff>496660</xdr:rowOff>
    </xdr:to>
    <xdr:sp macro="[2]!LoadData" textlink="">
      <xdr:nvSpPr>
        <xdr:cNvPr id="3" name="Bntc21">
          <a:extLst>
            <a:ext uri="{FF2B5EF4-FFF2-40B4-BE49-F238E27FC236}">
              <a16:creationId xmlns:a16="http://schemas.microsoft.com/office/drawing/2014/main" id="{A1D625BF-D8ED-4820-BE33-341CE2D29242}"/>
            </a:ext>
          </a:extLst>
        </xdr:cNvPr>
        <xdr:cNvSpPr/>
      </xdr:nvSpPr>
      <xdr:spPr>
        <a:xfrm flipV="1">
          <a:off x="3476413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605681</xdr:colOff>
      <xdr:row>1</xdr:row>
      <xdr:rowOff>326570</xdr:rowOff>
    </xdr:from>
    <xdr:to>
      <xdr:col>22</xdr:col>
      <xdr:colOff>1129556</xdr:colOff>
      <xdr:row>1</xdr:row>
      <xdr:rowOff>496660</xdr:rowOff>
    </xdr:to>
    <xdr:sp macro="[2]!LoadData" textlink="">
      <xdr:nvSpPr>
        <xdr:cNvPr id="4" name="Bntc20">
          <a:extLst>
            <a:ext uri="{FF2B5EF4-FFF2-40B4-BE49-F238E27FC236}">
              <a16:creationId xmlns:a16="http://schemas.microsoft.com/office/drawing/2014/main" id="{61BCA8F3-259B-4FD5-9C90-A46444614F79}"/>
            </a:ext>
          </a:extLst>
        </xdr:cNvPr>
        <xdr:cNvSpPr/>
      </xdr:nvSpPr>
      <xdr:spPr>
        <a:xfrm flipV="1">
          <a:off x="3324785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594357</xdr:colOff>
      <xdr:row>1</xdr:row>
      <xdr:rowOff>326570</xdr:rowOff>
    </xdr:from>
    <xdr:to>
      <xdr:col>21</xdr:col>
      <xdr:colOff>1118232</xdr:colOff>
      <xdr:row>1</xdr:row>
      <xdr:rowOff>496660</xdr:rowOff>
    </xdr:to>
    <xdr:sp macro="[2]!LoadData" textlink="">
      <xdr:nvSpPr>
        <xdr:cNvPr id="5" name="Bntc19">
          <a:extLst>
            <a:ext uri="{FF2B5EF4-FFF2-40B4-BE49-F238E27FC236}">
              <a16:creationId xmlns:a16="http://schemas.microsoft.com/office/drawing/2014/main" id="{83B5F40C-A0B3-4DB8-8CF8-A50A698521DA}"/>
            </a:ext>
          </a:extLst>
        </xdr:cNvPr>
        <xdr:cNvSpPr/>
      </xdr:nvSpPr>
      <xdr:spPr>
        <a:xfrm flipV="1">
          <a:off x="3173158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583033</xdr:colOff>
      <xdr:row>1</xdr:row>
      <xdr:rowOff>326570</xdr:rowOff>
    </xdr:from>
    <xdr:to>
      <xdr:col>20</xdr:col>
      <xdr:colOff>1106908</xdr:colOff>
      <xdr:row>1</xdr:row>
      <xdr:rowOff>496660</xdr:rowOff>
    </xdr:to>
    <xdr:sp macro="[2]!LoadData" textlink="">
      <xdr:nvSpPr>
        <xdr:cNvPr id="6" name="Bntc18">
          <a:extLst>
            <a:ext uri="{FF2B5EF4-FFF2-40B4-BE49-F238E27FC236}">
              <a16:creationId xmlns:a16="http://schemas.microsoft.com/office/drawing/2014/main" id="{AC130058-1C03-49FE-812E-3516A0D3BF8A}"/>
            </a:ext>
          </a:extLst>
        </xdr:cNvPr>
        <xdr:cNvSpPr/>
      </xdr:nvSpPr>
      <xdr:spPr>
        <a:xfrm flipV="1">
          <a:off x="3009148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571709</xdr:colOff>
      <xdr:row>1</xdr:row>
      <xdr:rowOff>326570</xdr:rowOff>
    </xdr:from>
    <xdr:to>
      <xdr:col>19</xdr:col>
      <xdr:colOff>1095584</xdr:colOff>
      <xdr:row>1</xdr:row>
      <xdr:rowOff>496660</xdr:rowOff>
    </xdr:to>
    <xdr:sp macro="[2]!LoadData" textlink="">
      <xdr:nvSpPr>
        <xdr:cNvPr id="7" name="Bntc17">
          <a:extLst>
            <a:ext uri="{FF2B5EF4-FFF2-40B4-BE49-F238E27FC236}">
              <a16:creationId xmlns:a16="http://schemas.microsoft.com/office/drawing/2014/main" id="{A359F53C-CA69-4200-ABB9-29754ED9CBB3}"/>
            </a:ext>
          </a:extLst>
        </xdr:cNvPr>
        <xdr:cNvSpPr/>
      </xdr:nvSpPr>
      <xdr:spPr>
        <a:xfrm flipV="1">
          <a:off x="2857520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560385</xdr:colOff>
      <xdr:row>1</xdr:row>
      <xdr:rowOff>326570</xdr:rowOff>
    </xdr:from>
    <xdr:to>
      <xdr:col>18</xdr:col>
      <xdr:colOff>1084260</xdr:colOff>
      <xdr:row>1</xdr:row>
      <xdr:rowOff>496660</xdr:rowOff>
    </xdr:to>
    <xdr:sp macro="[2]!LoadData" textlink="">
      <xdr:nvSpPr>
        <xdr:cNvPr id="8" name="Bntc16">
          <a:extLst>
            <a:ext uri="{FF2B5EF4-FFF2-40B4-BE49-F238E27FC236}">
              <a16:creationId xmlns:a16="http://schemas.microsoft.com/office/drawing/2014/main" id="{35EDD501-2398-4320-8FAD-26C45C948FFC}"/>
            </a:ext>
          </a:extLst>
        </xdr:cNvPr>
        <xdr:cNvSpPr/>
      </xdr:nvSpPr>
      <xdr:spPr>
        <a:xfrm flipV="1">
          <a:off x="2699226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549061</xdr:colOff>
      <xdr:row>1</xdr:row>
      <xdr:rowOff>326570</xdr:rowOff>
    </xdr:from>
    <xdr:to>
      <xdr:col>17</xdr:col>
      <xdr:colOff>1072936</xdr:colOff>
      <xdr:row>1</xdr:row>
      <xdr:rowOff>496660</xdr:rowOff>
    </xdr:to>
    <xdr:sp macro="[2]!LoadData" textlink="">
      <xdr:nvSpPr>
        <xdr:cNvPr id="9" name="Bntc15">
          <a:extLst>
            <a:ext uri="{FF2B5EF4-FFF2-40B4-BE49-F238E27FC236}">
              <a16:creationId xmlns:a16="http://schemas.microsoft.com/office/drawing/2014/main" id="{57283AF2-5F6B-4FF0-A3E0-AA4FAD1B78F7}"/>
            </a:ext>
          </a:extLst>
        </xdr:cNvPr>
        <xdr:cNvSpPr/>
      </xdr:nvSpPr>
      <xdr:spPr>
        <a:xfrm flipV="1">
          <a:off x="2547598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537737</xdr:colOff>
      <xdr:row>1</xdr:row>
      <xdr:rowOff>326570</xdr:rowOff>
    </xdr:from>
    <xdr:to>
      <xdr:col>16</xdr:col>
      <xdr:colOff>1061612</xdr:colOff>
      <xdr:row>1</xdr:row>
      <xdr:rowOff>496660</xdr:rowOff>
    </xdr:to>
    <xdr:sp macro="[2]!LoadData" textlink="">
      <xdr:nvSpPr>
        <xdr:cNvPr id="10" name="Bntc14">
          <a:extLst>
            <a:ext uri="{FF2B5EF4-FFF2-40B4-BE49-F238E27FC236}">
              <a16:creationId xmlns:a16="http://schemas.microsoft.com/office/drawing/2014/main" id="{CA7F1BCF-E209-4DE7-8A94-102DFE3754F7}"/>
            </a:ext>
          </a:extLst>
        </xdr:cNvPr>
        <xdr:cNvSpPr/>
      </xdr:nvSpPr>
      <xdr:spPr>
        <a:xfrm flipV="1">
          <a:off x="2395971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526413</xdr:colOff>
      <xdr:row>1</xdr:row>
      <xdr:rowOff>326570</xdr:rowOff>
    </xdr:from>
    <xdr:to>
      <xdr:col>15</xdr:col>
      <xdr:colOff>1050288</xdr:colOff>
      <xdr:row>1</xdr:row>
      <xdr:rowOff>496660</xdr:rowOff>
    </xdr:to>
    <xdr:sp macro="[2]!LoadData" textlink="">
      <xdr:nvSpPr>
        <xdr:cNvPr id="11" name="Bntc13">
          <a:extLst>
            <a:ext uri="{FF2B5EF4-FFF2-40B4-BE49-F238E27FC236}">
              <a16:creationId xmlns:a16="http://schemas.microsoft.com/office/drawing/2014/main" id="{9361F7A0-DB38-4C4B-806D-A6BA5340175E}"/>
            </a:ext>
          </a:extLst>
        </xdr:cNvPr>
        <xdr:cNvSpPr/>
      </xdr:nvSpPr>
      <xdr:spPr>
        <a:xfrm flipV="1">
          <a:off x="2244343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515089</xdr:colOff>
      <xdr:row>1</xdr:row>
      <xdr:rowOff>326570</xdr:rowOff>
    </xdr:from>
    <xdr:to>
      <xdr:col>14</xdr:col>
      <xdr:colOff>1038964</xdr:colOff>
      <xdr:row>1</xdr:row>
      <xdr:rowOff>496660</xdr:rowOff>
    </xdr:to>
    <xdr:sp macro="[2]!LoadData" textlink="">
      <xdr:nvSpPr>
        <xdr:cNvPr id="12" name="Bntc12">
          <a:extLst>
            <a:ext uri="{FF2B5EF4-FFF2-40B4-BE49-F238E27FC236}">
              <a16:creationId xmlns:a16="http://schemas.microsoft.com/office/drawing/2014/main" id="{FE14B670-C490-4B8B-A71F-DDF63E4ECAE1}"/>
            </a:ext>
          </a:extLst>
        </xdr:cNvPr>
        <xdr:cNvSpPr/>
      </xdr:nvSpPr>
      <xdr:spPr>
        <a:xfrm flipV="1">
          <a:off x="2092716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503765</xdr:colOff>
      <xdr:row>1</xdr:row>
      <xdr:rowOff>326570</xdr:rowOff>
    </xdr:from>
    <xdr:to>
      <xdr:col>13</xdr:col>
      <xdr:colOff>1027640</xdr:colOff>
      <xdr:row>1</xdr:row>
      <xdr:rowOff>496660</xdr:rowOff>
    </xdr:to>
    <xdr:sp macro="[2]!LoadData" textlink="">
      <xdr:nvSpPr>
        <xdr:cNvPr id="13" name="Bntc11">
          <a:extLst>
            <a:ext uri="{FF2B5EF4-FFF2-40B4-BE49-F238E27FC236}">
              <a16:creationId xmlns:a16="http://schemas.microsoft.com/office/drawing/2014/main" id="{0ECFB8C4-508B-42BE-AEED-836DA86EDB14}"/>
            </a:ext>
          </a:extLst>
        </xdr:cNvPr>
        <xdr:cNvSpPr/>
      </xdr:nvSpPr>
      <xdr:spPr>
        <a:xfrm flipV="1">
          <a:off x="1941089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492441</xdr:colOff>
      <xdr:row>1</xdr:row>
      <xdr:rowOff>326570</xdr:rowOff>
    </xdr:from>
    <xdr:to>
      <xdr:col>12</xdr:col>
      <xdr:colOff>1016316</xdr:colOff>
      <xdr:row>1</xdr:row>
      <xdr:rowOff>496660</xdr:rowOff>
    </xdr:to>
    <xdr:sp macro="[2]!LoadData" textlink="">
      <xdr:nvSpPr>
        <xdr:cNvPr id="14" name="Bntc10">
          <a:extLst>
            <a:ext uri="{FF2B5EF4-FFF2-40B4-BE49-F238E27FC236}">
              <a16:creationId xmlns:a16="http://schemas.microsoft.com/office/drawing/2014/main" id="{CA1CA80C-3639-4A31-9B0B-4169535BAD51}"/>
            </a:ext>
          </a:extLst>
        </xdr:cNvPr>
        <xdr:cNvSpPr/>
      </xdr:nvSpPr>
      <xdr:spPr>
        <a:xfrm flipV="1">
          <a:off x="1802796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447145</xdr:colOff>
      <xdr:row>1</xdr:row>
      <xdr:rowOff>326570</xdr:rowOff>
    </xdr:from>
    <xdr:to>
      <xdr:col>8</xdr:col>
      <xdr:colOff>971020</xdr:colOff>
      <xdr:row>1</xdr:row>
      <xdr:rowOff>496660</xdr:rowOff>
    </xdr:to>
    <xdr:sp macro="[2]!LoadData" textlink="">
      <xdr:nvSpPr>
        <xdr:cNvPr id="15" name="Bntc6">
          <a:extLst>
            <a:ext uri="{FF2B5EF4-FFF2-40B4-BE49-F238E27FC236}">
              <a16:creationId xmlns:a16="http://schemas.microsoft.com/office/drawing/2014/main" id="{24A21481-167A-40CD-9E0F-6C41F2EC6CF5}"/>
            </a:ext>
          </a:extLst>
        </xdr:cNvPr>
        <xdr:cNvSpPr/>
      </xdr:nvSpPr>
      <xdr:spPr>
        <a:xfrm flipV="1">
          <a:off x="1190572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435821</xdr:colOff>
      <xdr:row>1</xdr:row>
      <xdr:rowOff>326570</xdr:rowOff>
    </xdr:from>
    <xdr:to>
      <xdr:col>7</xdr:col>
      <xdr:colOff>959696</xdr:colOff>
      <xdr:row>1</xdr:row>
      <xdr:rowOff>496660</xdr:rowOff>
    </xdr:to>
    <xdr:sp macro="[2]!LoadData" textlink="">
      <xdr:nvSpPr>
        <xdr:cNvPr id="16" name="Bntc5">
          <a:extLst>
            <a:ext uri="{FF2B5EF4-FFF2-40B4-BE49-F238E27FC236}">
              <a16:creationId xmlns:a16="http://schemas.microsoft.com/office/drawing/2014/main" id="{0662471C-3606-4129-A486-073F922466F1}"/>
            </a:ext>
          </a:extLst>
        </xdr:cNvPr>
        <xdr:cNvSpPr/>
      </xdr:nvSpPr>
      <xdr:spPr>
        <a:xfrm flipV="1">
          <a:off x="10170371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424497</xdr:colOff>
      <xdr:row>1</xdr:row>
      <xdr:rowOff>326570</xdr:rowOff>
    </xdr:from>
    <xdr:to>
      <xdr:col>6</xdr:col>
      <xdr:colOff>948372</xdr:colOff>
      <xdr:row>1</xdr:row>
      <xdr:rowOff>496660</xdr:rowOff>
    </xdr:to>
    <xdr:sp macro="[2]!LoadData" textlink="">
      <xdr:nvSpPr>
        <xdr:cNvPr id="17" name="Bntc4">
          <a:extLst>
            <a:ext uri="{FF2B5EF4-FFF2-40B4-BE49-F238E27FC236}">
              <a16:creationId xmlns:a16="http://schemas.microsoft.com/office/drawing/2014/main" id="{1202A383-3505-4DEE-AEC3-00A75EC8F002}"/>
            </a:ext>
          </a:extLst>
        </xdr:cNvPr>
        <xdr:cNvSpPr/>
      </xdr:nvSpPr>
      <xdr:spPr>
        <a:xfrm flipV="1">
          <a:off x="865409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413173</xdr:colOff>
      <xdr:row>1</xdr:row>
      <xdr:rowOff>326570</xdr:rowOff>
    </xdr:from>
    <xdr:to>
      <xdr:col>5</xdr:col>
      <xdr:colOff>937048</xdr:colOff>
      <xdr:row>1</xdr:row>
      <xdr:rowOff>496660</xdr:rowOff>
    </xdr:to>
    <xdr:sp macro="[2]!LoadData" textlink="">
      <xdr:nvSpPr>
        <xdr:cNvPr id="18" name="Bntc3">
          <a:extLst>
            <a:ext uri="{FF2B5EF4-FFF2-40B4-BE49-F238E27FC236}">
              <a16:creationId xmlns:a16="http://schemas.microsoft.com/office/drawing/2014/main" id="{ECA283A8-356A-43BE-B751-65B94465CE3C}"/>
            </a:ext>
          </a:extLst>
        </xdr:cNvPr>
        <xdr:cNvSpPr/>
      </xdr:nvSpPr>
      <xdr:spPr>
        <a:xfrm flipV="1">
          <a:off x="707114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401849</xdr:colOff>
      <xdr:row>1</xdr:row>
      <xdr:rowOff>326570</xdr:rowOff>
    </xdr:from>
    <xdr:to>
      <xdr:col>4</xdr:col>
      <xdr:colOff>925724</xdr:colOff>
      <xdr:row>1</xdr:row>
      <xdr:rowOff>496660</xdr:rowOff>
    </xdr:to>
    <xdr:sp macro="[2]!LoadData" textlink="">
      <xdr:nvSpPr>
        <xdr:cNvPr id="19" name="Bntc2">
          <a:extLst>
            <a:ext uri="{FF2B5EF4-FFF2-40B4-BE49-F238E27FC236}">
              <a16:creationId xmlns:a16="http://schemas.microsoft.com/office/drawing/2014/main" id="{C0D89B26-A1AA-4AB1-A183-233736436EB8}"/>
            </a:ext>
          </a:extLst>
        </xdr:cNvPr>
        <xdr:cNvSpPr/>
      </xdr:nvSpPr>
      <xdr:spPr>
        <a:xfrm flipV="1">
          <a:off x="553582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390525</xdr:colOff>
      <xdr:row>1</xdr:row>
      <xdr:rowOff>326570</xdr:rowOff>
    </xdr:from>
    <xdr:to>
      <xdr:col>3</xdr:col>
      <xdr:colOff>914400</xdr:colOff>
      <xdr:row>1</xdr:row>
      <xdr:rowOff>496660</xdr:rowOff>
    </xdr:to>
    <xdr:sp macro="[2]!LoadData" textlink="">
      <xdr:nvSpPr>
        <xdr:cNvPr id="20" name="Bntc1">
          <a:extLst>
            <a:ext uri="{FF2B5EF4-FFF2-40B4-BE49-F238E27FC236}">
              <a16:creationId xmlns:a16="http://schemas.microsoft.com/office/drawing/2014/main" id="{471D68F5-BA5C-4C5F-83AA-C7EA01A11FC6}"/>
            </a:ext>
          </a:extLst>
        </xdr:cNvPr>
        <xdr:cNvSpPr/>
      </xdr:nvSpPr>
      <xdr:spPr>
        <a:xfrm flipV="1">
          <a:off x="398145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481117</xdr:colOff>
      <xdr:row>1</xdr:row>
      <xdr:rowOff>326570</xdr:rowOff>
    </xdr:from>
    <xdr:to>
      <xdr:col>11</xdr:col>
      <xdr:colOff>1004992</xdr:colOff>
      <xdr:row>1</xdr:row>
      <xdr:rowOff>496660</xdr:rowOff>
    </xdr:to>
    <xdr:sp macro="[2]!LoadData" textlink="">
      <xdr:nvSpPr>
        <xdr:cNvPr id="21" name="Bntc9">
          <a:extLst>
            <a:ext uri="{FF2B5EF4-FFF2-40B4-BE49-F238E27FC236}">
              <a16:creationId xmlns:a16="http://schemas.microsoft.com/office/drawing/2014/main" id="{6D197A45-34D2-4A7E-AA92-221665AC9F71}"/>
            </a:ext>
          </a:extLst>
        </xdr:cNvPr>
        <xdr:cNvSpPr/>
      </xdr:nvSpPr>
      <xdr:spPr>
        <a:xfrm flipV="1">
          <a:off x="1651169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469793</xdr:colOff>
      <xdr:row>1</xdr:row>
      <xdr:rowOff>326570</xdr:rowOff>
    </xdr:from>
    <xdr:to>
      <xdr:col>10</xdr:col>
      <xdr:colOff>993668</xdr:colOff>
      <xdr:row>1</xdr:row>
      <xdr:rowOff>496660</xdr:rowOff>
    </xdr:to>
    <xdr:sp macro="[2]!LoadData" textlink="">
      <xdr:nvSpPr>
        <xdr:cNvPr id="22" name="Bntc8">
          <a:extLst>
            <a:ext uri="{FF2B5EF4-FFF2-40B4-BE49-F238E27FC236}">
              <a16:creationId xmlns:a16="http://schemas.microsoft.com/office/drawing/2014/main" id="{2E27A9D8-E73B-489F-86D4-55DB4AD6F33E}"/>
            </a:ext>
          </a:extLst>
        </xdr:cNvPr>
        <xdr:cNvSpPr/>
      </xdr:nvSpPr>
      <xdr:spPr>
        <a:xfrm flipV="1">
          <a:off x="1499541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458469</xdr:colOff>
      <xdr:row>1</xdr:row>
      <xdr:rowOff>326570</xdr:rowOff>
    </xdr:from>
    <xdr:to>
      <xdr:col>9</xdr:col>
      <xdr:colOff>982344</xdr:colOff>
      <xdr:row>1</xdr:row>
      <xdr:rowOff>496660</xdr:rowOff>
    </xdr:to>
    <xdr:sp macro="[2]!LoadData" textlink="">
      <xdr:nvSpPr>
        <xdr:cNvPr id="23" name="Bntc7">
          <a:extLst>
            <a:ext uri="{FF2B5EF4-FFF2-40B4-BE49-F238E27FC236}">
              <a16:creationId xmlns:a16="http://schemas.microsoft.com/office/drawing/2014/main" id="{5E5E2C3D-7D95-4740-A55B-9D9375B7EEC0}"/>
            </a:ext>
          </a:extLst>
        </xdr:cNvPr>
        <xdr:cNvSpPr/>
      </xdr:nvSpPr>
      <xdr:spPr>
        <a:xfrm flipV="1">
          <a:off x="1347914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30</xdr:col>
      <xdr:colOff>315273</xdr:colOff>
      <xdr:row>1</xdr:row>
      <xdr:rowOff>326570</xdr:rowOff>
    </xdr:from>
    <xdr:to>
      <xdr:col>30</xdr:col>
      <xdr:colOff>839148</xdr:colOff>
      <xdr:row>1</xdr:row>
      <xdr:rowOff>496660</xdr:rowOff>
    </xdr:to>
    <xdr:sp macro="[2]!LoadData" textlink="">
      <xdr:nvSpPr>
        <xdr:cNvPr id="24" name="Bntc28">
          <a:extLst>
            <a:ext uri="{FF2B5EF4-FFF2-40B4-BE49-F238E27FC236}">
              <a16:creationId xmlns:a16="http://schemas.microsoft.com/office/drawing/2014/main" id="{B424B941-EDF0-4748-90B7-47F3E4964748}"/>
            </a:ext>
          </a:extLst>
        </xdr:cNvPr>
        <xdr:cNvSpPr/>
      </xdr:nvSpPr>
      <xdr:spPr>
        <a:xfrm flipV="1">
          <a:off x="4512087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25" name="Bntc27">
          <a:extLst>
            <a:ext uri="{FF2B5EF4-FFF2-40B4-BE49-F238E27FC236}">
              <a16:creationId xmlns:a16="http://schemas.microsoft.com/office/drawing/2014/main" id="{BCC50505-763B-4756-BAC6-99A56DFFBA12}"/>
            </a:ext>
          </a:extLst>
        </xdr:cNvPr>
        <xdr:cNvSpPr/>
      </xdr:nvSpPr>
      <xdr:spPr>
        <a:xfrm flipV="1">
          <a:off x="4360459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356125</xdr:colOff>
      <xdr:row>1</xdr:row>
      <xdr:rowOff>326570</xdr:rowOff>
    </xdr:from>
    <xdr:to>
      <xdr:col>28</xdr:col>
      <xdr:colOff>880000</xdr:colOff>
      <xdr:row>1</xdr:row>
      <xdr:rowOff>496660</xdr:rowOff>
    </xdr:to>
    <xdr:sp macro="[2]!LoadData" textlink="">
      <xdr:nvSpPr>
        <xdr:cNvPr id="26" name="Bntc26">
          <a:extLst>
            <a:ext uri="{FF2B5EF4-FFF2-40B4-BE49-F238E27FC236}">
              <a16:creationId xmlns:a16="http://schemas.microsoft.com/office/drawing/2014/main" id="{09BA82D5-1E6E-41CB-ACEA-AF2FB9365DBB}"/>
            </a:ext>
          </a:extLst>
        </xdr:cNvPr>
        <xdr:cNvSpPr/>
      </xdr:nvSpPr>
      <xdr:spPr>
        <a:xfrm flipV="1">
          <a:off x="42056575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344801</xdr:colOff>
      <xdr:row>1</xdr:row>
      <xdr:rowOff>326570</xdr:rowOff>
    </xdr:from>
    <xdr:to>
      <xdr:col>27</xdr:col>
      <xdr:colOff>868676</xdr:colOff>
      <xdr:row>1</xdr:row>
      <xdr:rowOff>496660</xdr:rowOff>
    </xdr:to>
    <xdr:sp macro="[2]!LoadData" textlink="">
      <xdr:nvSpPr>
        <xdr:cNvPr id="27" name="Bntc25">
          <a:extLst>
            <a:ext uri="{FF2B5EF4-FFF2-40B4-BE49-F238E27FC236}">
              <a16:creationId xmlns:a16="http://schemas.microsoft.com/office/drawing/2014/main" id="{DE30F0B2-C56C-4D63-8EEC-71D2A9A7DEE6}"/>
            </a:ext>
          </a:extLst>
        </xdr:cNvPr>
        <xdr:cNvSpPr/>
      </xdr:nvSpPr>
      <xdr:spPr>
        <a:xfrm flipV="1">
          <a:off x="40445051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650977</xdr:colOff>
      <xdr:row>1</xdr:row>
      <xdr:rowOff>326570</xdr:rowOff>
    </xdr:from>
    <xdr:to>
      <xdr:col>26</xdr:col>
      <xdr:colOff>1174852</xdr:colOff>
      <xdr:row>1</xdr:row>
      <xdr:rowOff>496660</xdr:rowOff>
    </xdr:to>
    <xdr:sp macro="[2]!LoadData" textlink="">
      <xdr:nvSpPr>
        <xdr:cNvPr id="28" name="Bntc24">
          <a:extLst>
            <a:ext uri="{FF2B5EF4-FFF2-40B4-BE49-F238E27FC236}">
              <a16:creationId xmlns:a16="http://schemas.microsoft.com/office/drawing/2014/main" id="{A60C1E8F-3079-483E-A242-3A4E25FCCB27}"/>
            </a:ext>
          </a:extLst>
        </xdr:cNvPr>
        <xdr:cNvSpPr/>
      </xdr:nvSpPr>
      <xdr:spPr>
        <a:xfrm flipV="1">
          <a:off x="3924627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639653</xdr:colOff>
      <xdr:row>1</xdr:row>
      <xdr:rowOff>326570</xdr:rowOff>
    </xdr:from>
    <xdr:to>
      <xdr:col>25</xdr:col>
      <xdr:colOff>1163528</xdr:colOff>
      <xdr:row>1</xdr:row>
      <xdr:rowOff>496660</xdr:rowOff>
    </xdr:to>
    <xdr:sp macro="[2]!LoadData" textlink="">
      <xdr:nvSpPr>
        <xdr:cNvPr id="29" name="Bntc23">
          <a:extLst>
            <a:ext uri="{FF2B5EF4-FFF2-40B4-BE49-F238E27FC236}">
              <a16:creationId xmlns:a16="http://schemas.microsoft.com/office/drawing/2014/main" id="{FA71E38D-E462-4D24-9F16-DFED6001D704}"/>
            </a:ext>
          </a:extLst>
        </xdr:cNvPr>
        <xdr:cNvSpPr/>
      </xdr:nvSpPr>
      <xdr:spPr>
        <a:xfrm flipV="1">
          <a:off x="3773000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628329</xdr:colOff>
      <xdr:row>1</xdr:row>
      <xdr:rowOff>326570</xdr:rowOff>
    </xdr:from>
    <xdr:to>
      <xdr:col>24</xdr:col>
      <xdr:colOff>1152204</xdr:colOff>
      <xdr:row>1</xdr:row>
      <xdr:rowOff>496660</xdr:rowOff>
    </xdr:to>
    <xdr:sp macro="[2]!LoadData" textlink="">
      <xdr:nvSpPr>
        <xdr:cNvPr id="30" name="Bntc22">
          <a:extLst>
            <a:ext uri="{FF2B5EF4-FFF2-40B4-BE49-F238E27FC236}">
              <a16:creationId xmlns:a16="http://schemas.microsoft.com/office/drawing/2014/main" id="{633147BC-03AE-4764-838F-2B52B85784F9}"/>
            </a:ext>
          </a:extLst>
        </xdr:cNvPr>
        <xdr:cNvSpPr/>
      </xdr:nvSpPr>
      <xdr:spPr>
        <a:xfrm flipV="1">
          <a:off x="3628040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326597</xdr:colOff>
      <xdr:row>1</xdr:row>
      <xdr:rowOff>326570</xdr:rowOff>
    </xdr:from>
    <xdr:to>
      <xdr:col>31</xdr:col>
      <xdr:colOff>850472</xdr:colOff>
      <xdr:row>1</xdr:row>
      <xdr:rowOff>496660</xdr:rowOff>
    </xdr:to>
    <xdr:sp macro="[2]!LoadData" textlink="">
      <xdr:nvSpPr>
        <xdr:cNvPr id="31" name="Bntc29">
          <a:extLst>
            <a:ext uri="{FF2B5EF4-FFF2-40B4-BE49-F238E27FC236}">
              <a16:creationId xmlns:a16="http://schemas.microsoft.com/office/drawing/2014/main" id="{D792E446-2873-4189-A8C8-7C1C45BB7641}"/>
            </a:ext>
          </a:extLst>
        </xdr:cNvPr>
        <xdr:cNvSpPr/>
      </xdr:nvSpPr>
      <xdr:spPr>
        <a:xfrm flipV="1">
          <a:off x="4663714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32</xdr:col>
      <xdr:colOff>329046</xdr:colOff>
      <xdr:row>1</xdr:row>
      <xdr:rowOff>294409</xdr:rowOff>
    </xdr:from>
    <xdr:to>
      <xdr:col>32</xdr:col>
      <xdr:colOff>852921</xdr:colOff>
      <xdr:row>1</xdr:row>
      <xdr:rowOff>464499</xdr:rowOff>
    </xdr:to>
    <xdr:sp macro="[2]!LoadData" textlink="">
      <xdr:nvSpPr>
        <xdr:cNvPr id="32" name="Bntc30">
          <a:extLst>
            <a:ext uri="{FF2B5EF4-FFF2-40B4-BE49-F238E27FC236}">
              <a16:creationId xmlns:a16="http://schemas.microsoft.com/office/drawing/2014/main" id="{33275174-25BE-4349-B239-B3B7B60017A3}"/>
            </a:ext>
          </a:extLst>
        </xdr:cNvPr>
        <xdr:cNvSpPr/>
      </xdr:nvSpPr>
      <xdr:spPr>
        <a:xfrm flipV="1">
          <a:off x="48144546" y="389659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33</xdr:col>
      <xdr:colOff>398318</xdr:colOff>
      <xdr:row>1</xdr:row>
      <xdr:rowOff>311727</xdr:rowOff>
    </xdr:from>
    <xdr:to>
      <xdr:col>33</xdr:col>
      <xdr:colOff>922193</xdr:colOff>
      <xdr:row>1</xdr:row>
      <xdr:rowOff>481817</xdr:rowOff>
    </xdr:to>
    <xdr:sp macro="[2]!LoadData" textlink="">
      <xdr:nvSpPr>
        <xdr:cNvPr id="33" name="Bntc31">
          <a:extLst>
            <a:ext uri="{FF2B5EF4-FFF2-40B4-BE49-F238E27FC236}">
              <a16:creationId xmlns:a16="http://schemas.microsoft.com/office/drawing/2014/main" id="{20A045C1-744A-4770-9940-425D351D4685}"/>
            </a:ext>
          </a:extLst>
        </xdr:cNvPr>
        <xdr:cNvSpPr/>
      </xdr:nvSpPr>
      <xdr:spPr>
        <a:xfrm flipV="1">
          <a:off x="49718768" y="406977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34" name="Bntc27">
          <a:extLst>
            <a:ext uri="{FF2B5EF4-FFF2-40B4-BE49-F238E27FC236}">
              <a16:creationId xmlns:a16="http://schemas.microsoft.com/office/drawing/2014/main" id="{C900A652-9B69-4CFA-AC10-578467370C84}"/>
            </a:ext>
          </a:extLst>
        </xdr:cNvPr>
        <xdr:cNvSpPr/>
      </xdr:nvSpPr>
      <xdr:spPr>
        <a:xfrm flipV="1">
          <a:off x="4360459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424497</xdr:colOff>
      <xdr:row>1</xdr:row>
      <xdr:rowOff>326570</xdr:rowOff>
    </xdr:from>
    <xdr:to>
      <xdr:col>6</xdr:col>
      <xdr:colOff>948372</xdr:colOff>
      <xdr:row>1</xdr:row>
      <xdr:rowOff>496660</xdr:rowOff>
    </xdr:to>
    <xdr:sp macro="[2]!LoadData" textlink="">
      <xdr:nvSpPr>
        <xdr:cNvPr id="35" name="Bntc4">
          <a:extLst>
            <a:ext uri="{FF2B5EF4-FFF2-40B4-BE49-F238E27FC236}">
              <a16:creationId xmlns:a16="http://schemas.microsoft.com/office/drawing/2014/main" id="{D4C47576-8A04-47D9-AFE5-7ECB4C5A1A39}"/>
            </a:ext>
          </a:extLst>
        </xdr:cNvPr>
        <xdr:cNvSpPr/>
      </xdr:nvSpPr>
      <xdr:spPr>
        <a:xfrm flipV="1">
          <a:off x="865409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617005</xdr:colOff>
      <xdr:row>1</xdr:row>
      <xdr:rowOff>326570</xdr:rowOff>
    </xdr:from>
    <xdr:to>
      <xdr:col>23</xdr:col>
      <xdr:colOff>1140880</xdr:colOff>
      <xdr:row>1</xdr:row>
      <xdr:rowOff>496660</xdr:rowOff>
    </xdr:to>
    <xdr:sp macro="[2]!LoadData" textlink="">
      <xdr:nvSpPr>
        <xdr:cNvPr id="36" name="Bntc21">
          <a:extLst>
            <a:ext uri="{FF2B5EF4-FFF2-40B4-BE49-F238E27FC236}">
              <a16:creationId xmlns:a16="http://schemas.microsoft.com/office/drawing/2014/main" id="{5289F7FE-9D55-4FD0-8E5C-BC91DA290EB0}"/>
            </a:ext>
          </a:extLst>
        </xdr:cNvPr>
        <xdr:cNvSpPr/>
      </xdr:nvSpPr>
      <xdr:spPr>
        <a:xfrm flipV="1">
          <a:off x="3476413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605681</xdr:colOff>
      <xdr:row>1</xdr:row>
      <xdr:rowOff>326570</xdr:rowOff>
    </xdr:from>
    <xdr:to>
      <xdr:col>22</xdr:col>
      <xdr:colOff>1129556</xdr:colOff>
      <xdr:row>1</xdr:row>
      <xdr:rowOff>496660</xdr:rowOff>
    </xdr:to>
    <xdr:sp macro="[2]!LoadData" textlink="">
      <xdr:nvSpPr>
        <xdr:cNvPr id="37" name="Bntc20">
          <a:extLst>
            <a:ext uri="{FF2B5EF4-FFF2-40B4-BE49-F238E27FC236}">
              <a16:creationId xmlns:a16="http://schemas.microsoft.com/office/drawing/2014/main" id="{691DA7CE-972B-49F9-8B8A-F978B2489435}"/>
            </a:ext>
          </a:extLst>
        </xdr:cNvPr>
        <xdr:cNvSpPr/>
      </xdr:nvSpPr>
      <xdr:spPr>
        <a:xfrm flipV="1">
          <a:off x="3324785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594357</xdr:colOff>
      <xdr:row>1</xdr:row>
      <xdr:rowOff>326570</xdr:rowOff>
    </xdr:from>
    <xdr:to>
      <xdr:col>21</xdr:col>
      <xdr:colOff>1118232</xdr:colOff>
      <xdr:row>1</xdr:row>
      <xdr:rowOff>496660</xdr:rowOff>
    </xdr:to>
    <xdr:sp macro="[2]!LoadData" textlink="">
      <xdr:nvSpPr>
        <xdr:cNvPr id="38" name="Bntc19">
          <a:extLst>
            <a:ext uri="{FF2B5EF4-FFF2-40B4-BE49-F238E27FC236}">
              <a16:creationId xmlns:a16="http://schemas.microsoft.com/office/drawing/2014/main" id="{E241E1BB-196C-4871-889D-0316E55BBBE5}"/>
            </a:ext>
          </a:extLst>
        </xdr:cNvPr>
        <xdr:cNvSpPr/>
      </xdr:nvSpPr>
      <xdr:spPr>
        <a:xfrm flipV="1">
          <a:off x="3173158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20</xdr:col>
      <xdr:colOff>583033</xdr:colOff>
      <xdr:row>1</xdr:row>
      <xdr:rowOff>326570</xdr:rowOff>
    </xdr:from>
    <xdr:to>
      <xdr:col>20</xdr:col>
      <xdr:colOff>1106908</xdr:colOff>
      <xdr:row>1</xdr:row>
      <xdr:rowOff>496660</xdr:rowOff>
    </xdr:to>
    <xdr:sp macro="[2]!LoadData" textlink="">
      <xdr:nvSpPr>
        <xdr:cNvPr id="39" name="Bntc18">
          <a:extLst>
            <a:ext uri="{FF2B5EF4-FFF2-40B4-BE49-F238E27FC236}">
              <a16:creationId xmlns:a16="http://schemas.microsoft.com/office/drawing/2014/main" id="{AE6E6E07-E266-425E-B431-B91752F4182A}"/>
            </a:ext>
          </a:extLst>
        </xdr:cNvPr>
        <xdr:cNvSpPr/>
      </xdr:nvSpPr>
      <xdr:spPr>
        <a:xfrm flipV="1">
          <a:off x="3009148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571709</xdr:colOff>
      <xdr:row>1</xdr:row>
      <xdr:rowOff>326570</xdr:rowOff>
    </xdr:from>
    <xdr:to>
      <xdr:col>19</xdr:col>
      <xdr:colOff>1095584</xdr:colOff>
      <xdr:row>1</xdr:row>
      <xdr:rowOff>496660</xdr:rowOff>
    </xdr:to>
    <xdr:sp macro="[2]!LoadData" textlink="">
      <xdr:nvSpPr>
        <xdr:cNvPr id="40" name="Bntc17">
          <a:extLst>
            <a:ext uri="{FF2B5EF4-FFF2-40B4-BE49-F238E27FC236}">
              <a16:creationId xmlns:a16="http://schemas.microsoft.com/office/drawing/2014/main" id="{F74AB549-0638-4389-9631-25549D1EC2A2}"/>
            </a:ext>
          </a:extLst>
        </xdr:cNvPr>
        <xdr:cNvSpPr/>
      </xdr:nvSpPr>
      <xdr:spPr>
        <a:xfrm flipV="1">
          <a:off x="2857520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560385</xdr:colOff>
      <xdr:row>1</xdr:row>
      <xdr:rowOff>326570</xdr:rowOff>
    </xdr:from>
    <xdr:to>
      <xdr:col>18</xdr:col>
      <xdr:colOff>1084260</xdr:colOff>
      <xdr:row>1</xdr:row>
      <xdr:rowOff>496660</xdr:rowOff>
    </xdr:to>
    <xdr:sp macro="[2]!LoadData" textlink="">
      <xdr:nvSpPr>
        <xdr:cNvPr id="41" name="Bntc16">
          <a:extLst>
            <a:ext uri="{FF2B5EF4-FFF2-40B4-BE49-F238E27FC236}">
              <a16:creationId xmlns:a16="http://schemas.microsoft.com/office/drawing/2014/main" id="{80925720-1774-4144-AA53-3009D6BB97D0}"/>
            </a:ext>
          </a:extLst>
        </xdr:cNvPr>
        <xdr:cNvSpPr/>
      </xdr:nvSpPr>
      <xdr:spPr>
        <a:xfrm flipV="1">
          <a:off x="2699226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17</xdr:col>
      <xdr:colOff>549061</xdr:colOff>
      <xdr:row>1</xdr:row>
      <xdr:rowOff>326570</xdr:rowOff>
    </xdr:from>
    <xdr:to>
      <xdr:col>17</xdr:col>
      <xdr:colOff>1072936</xdr:colOff>
      <xdr:row>1</xdr:row>
      <xdr:rowOff>496660</xdr:rowOff>
    </xdr:to>
    <xdr:sp macro="[2]!LoadData" textlink="">
      <xdr:nvSpPr>
        <xdr:cNvPr id="42" name="Bntc15">
          <a:extLst>
            <a:ext uri="{FF2B5EF4-FFF2-40B4-BE49-F238E27FC236}">
              <a16:creationId xmlns:a16="http://schemas.microsoft.com/office/drawing/2014/main" id="{D87DEB70-D04B-43AA-99D3-9A2030BF6B44}"/>
            </a:ext>
          </a:extLst>
        </xdr:cNvPr>
        <xdr:cNvSpPr/>
      </xdr:nvSpPr>
      <xdr:spPr>
        <a:xfrm flipV="1">
          <a:off x="2547598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537737</xdr:colOff>
      <xdr:row>1</xdr:row>
      <xdr:rowOff>326570</xdr:rowOff>
    </xdr:from>
    <xdr:to>
      <xdr:col>16</xdr:col>
      <xdr:colOff>1061612</xdr:colOff>
      <xdr:row>1</xdr:row>
      <xdr:rowOff>496660</xdr:rowOff>
    </xdr:to>
    <xdr:sp macro="[2]!LoadData" textlink="">
      <xdr:nvSpPr>
        <xdr:cNvPr id="43" name="Bntc14">
          <a:extLst>
            <a:ext uri="{FF2B5EF4-FFF2-40B4-BE49-F238E27FC236}">
              <a16:creationId xmlns:a16="http://schemas.microsoft.com/office/drawing/2014/main" id="{7B4DC3DD-8B88-44C6-A59B-1308457E6E20}"/>
            </a:ext>
          </a:extLst>
        </xdr:cNvPr>
        <xdr:cNvSpPr/>
      </xdr:nvSpPr>
      <xdr:spPr>
        <a:xfrm flipV="1">
          <a:off x="2395971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15</xdr:col>
      <xdr:colOff>526413</xdr:colOff>
      <xdr:row>1</xdr:row>
      <xdr:rowOff>326570</xdr:rowOff>
    </xdr:from>
    <xdr:to>
      <xdr:col>15</xdr:col>
      <xdr:colOff>1050288</xdr:colOff>
      <xdr:row>1</xdr:row>
      <xdr:rowOff>496660</xdr:rowOff>
    </xdr:to>
    <xdr:sp macro="[2]!LoadData" textlink="">
      <xdr:nvSpPr>
        <xdr:cNvPr id="44" name="Bntc13">
          <a:extLst>
            <a:ext uri="{FF2B5EF4-FFF2-40B4-BE49-F238E27FC236}">
              <a16:creationId xmlns:a16="http://schemas.microsoft.com/office/drawing/2014/main" id="{4410810B-54A6-44FF-9A69-9589505B881D}"/>
            </a:ext>
          </a:extLst>
        </xdr:cNvPr>
        <xdr:cNvSpPr/>
      </xdr:nvSpPr>
      <xdr:spPr>
        <a:xfrm flipV="1">
          <a:off x="2244343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515089</xdr:colOff>
      <xdr:row>1</xdr:row>
      <xdr:rowOff>326570</xdr:rowOff>
    </xdr:from>
    <xdr:to>
      <xdr:col>14</xdr:col>
      <xdr:colOff>1038964</xdr:colOff>
      <xdr:row>1</xdr:row>
      <xdr:rowOff>496660</xdr:rowOff>
    </xdr:to>
    <xdr:sp macro="[2]!LoadData" textlink="">
      <xdr:nvSpPr>
        <xdr:cNvPr id="45" name="Bntc12">
          <a:extLst>
            <a:ext uri="{FF2B5EF4-FFF2-40B4-BE49-F238E27FC236}">
              <a16:creationId xmlns:a16="http://schemas.microsoft.com/office/drawing/2014/main" id="{BF1D90E1-790B-4973-A99D-07AAB5122CB3}"/>
            </a:ext>
          </a:extLst>
        </xdr:cNvPr>
        <xdr:cNvSpPr/>
      </xdr:nvSpPr>
      <xdr:spPr>
        <a:xfrm flipV="1">
          <a:off x="2092716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503765</xdr:colOff>
      <xdr:row>1</xdr:row>
      <xdr:rowOff>326570</xdr:rowOff>
    </xdr:from>
    <xdr:to>
      <xdr:col>13</xdr:col>
      <xdr:colOff>1027640</xdr:colOff>
      <xdr:row>1</xdr:row>
      <xdr:rowOff>496660</xdr:rowOff>
    </xdr:to>
    <xdr:sp macro="[2]!LoadData" textlink="">
      <xdr:nvSpPr>
        <xdr:cNvPr id="46" name="Bntc11">
          <a:extLst>
            <a:ext uri="{FF2B5EF4-FFF2-40B4-BE49-F238E27FC236}">
              <a16:creationId xmlns:a16="http://schemas.microsoft.com/office/drawing/2014/main" id="{CF49AA9F-70C5-4F02-A2E7-AAFF61AFB679}"/>
            </a:ext>
          </a:extLst>
        </xdr:cNvPr>
        <xdr:cNvSpPr/>
      </xdr:nvSpPr>
      <xdr:spPr>
        <a:xfrm flipV="1">
          <a:off x="1941089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492441</xdr:colOff>
      <xdr:row>1</xdr:row>
      <xdr:rowOff>326570</xdr:rowOff>
    </xdr:from>
    <xdr:to>
      <xdr:col>12</xdr:col>
      <xdr:colOff>1016316</xdr:colOff>
      <xdr:row>1</xdr:row>
      <xdr:rowOff>496660</xdr:rowOff>
    </xdr:to>
    <xdr:sp macro="[2]!LoadData" textlink="">
      <xdr:nvSpPr>
        <xdr:cNvPr id="47" name="Bntc10">
          <a:extLst>
            <a:ext uri="{FF2B5EF4-FFF2-40B4-BE49-F238E27FC236}">
              <a16:creationId xmlns:a16="http://schemas.microsoft.com/office/drawing/2014/main" id="{650E3D3F-AE04-4D2B-A452-000AEABACC65}"/>
            </a:ext>
          </a:extLst>
        </xdr:cNvPr>
        <xdr:cNvSpPr/>
      </xdr:nvSpPr>
      <xdr:spPr>
        <a:xfrm flipV="1">
          <a:off x="18027966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447145</xdr:colOff>
      <xdr:row>1</xdr:row>
      <xdr:rowOff>326570</xdr:rowOff>
    </xdr:from>
    <xdr:to>
      <xdr:col>8</xdr:col>
      <xdr:colOff>971020</xdr:colOff>
      <xdr:row>1</xdr:row>
      <xdr:rowOff>496660</xdr:rowOff>
    </xdr:to>
    <xdr:sp macro="[2]!LoadData" textlink="">
      <xdr:nvSpPr>
        <xdr:cNvPr id="48" name="Bntc6">
          <a:extLst>
            <a:ext uri="{FF2B5EF4-FFF2-40B4-BE49-F238E27FC236}">
              <a16:creationId xmlns:a16="http://schemas.microsoft.com/office/drawing/2014/main" id="{13022B31-69BE-4ED7-8D0E-AE8382E3FFAF}"/>
            </a:ext>
          </a:extLst>
        </xdr:cNvPr>
        <xdr:cNvSpPr/>
      </xdr:nvSpPr>
      <xdr:spPr>
        <a:xfrm flipV="1">
          <a:off x="1190572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435821</xdr:colOff>
      <xdr:row>1</xdr:row>
      <xdr:rowOff>326570</xdr:rowOff>
    </xdr:from>
    <xdr:to>
      <xdr:col>7</xdr:col>
      <xdr:colOff>959696</xdr:colOff>
      <xdr:row>1</xdr:row>
      <xdr:rowOff>496660</xdr:rowOff>
    </xdr:to>
    <xdr:sp macro="[2]!LoadData" textlink="">
      <xdr:nvSpPr>
        <xdr:cNvPr id="49" name="Bntc5">
          <a:extLst>
            <a:ext uri="{FF2B5EF4-FFF2-40B4-BE49-F238E27FC236}">
              <a16:creationId xmlns:a16="http://schemas.microsoft.com/office/drawing/2014/main" id="{49192590-B6BC-4C2F-80EE-46C8768DC22E}"/>
            </a:ext>
          </a:extLst>
        </xdr:cNvPr>
        <xdr:cNvSpPr/>
      </xdr:nvSpPr>
      <xdr:spPr>
        <a:xfrm flipV="1">
          <a:off x="10170371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424497</xdr:colOff>
      <xdr:row>1</xdr:row>
      <xdr:rowOff>326570</xdr:rowOff>
    </xdr:from>
    <xdr:to>
      <xdr:col>6</xdr:col>
      <xdr:colOff>948372</xdr:colOff>
      <xdr:row>1</xdr:row>
      <xdr:rowOff>496660</xdr:rowOff>
    </xdr:to>
    <xdr:sp macro="[2]!LoadData" textlink="">
      <xdr:nvSpPr>
        <xdr:cNvPr id="50" name="Bntc4">
          <a:extLst>
            <a:ext uri="{FF2B5EF4-FFF2-40B4-BE49-F238E27FC236}">
              <a16:creationId xmlns:a16="http://schemas.microsoft.com/office/drawing/2014/main" id="{68A2F121-DAB3-44EC-828B-8FF6A5E23C73}"/>
            </a:ext>
          </a:extLst>
        </xdr:cNvPr>
        <xdr:cNvSpPr/>
      </xdr:nvSpPr>
      <xdr:spPr>
        <a:xfrm flipV="1">
          <a:off x="865409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413173</xdr:colOff>
      <xdr:row>1</xdr:row>
      <xdr:rowOff>326570</xdr:rowOff>
    </xdr:from>
    <xdr:to>
      <xdr:col>5</xdr:col>
      <xdr:colOff>937048</xdr:colOff>
      <xdr:row>1</xdr:row>
      <xdr:rowOff>496660</xdr:rowOff>
    </xdr:to>
    <xdr:sp macro="[2]!LoadData" textlink="">
      <xdr:nvSpPr>
        <xdr:cNvPr id="51" name="Bntc3">
          <a:extLst>
            <a:ext uri="{FF2B5EF4-FFF2-40B4-BE49-F238E27FC236}">
              <a16:creationId xmlns:a16="http://schemas.microsoft.com/office/drawing/2014/main" id="{5BF31467-BF14-401E-AF7C-81416F7C09B8}"/>
            </a:ext>
          </a:extLst>
        </xdr:cNvPr>
        <xdr:cNvSpPr/>
      </xdr:nvSpPr>
      <xdr:spPr>
        <a:xfrm flipV="1">
          <a:off x="707114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401849</xdr:colOff>
      <xdr:row>1</xdr:row>
      <xdr:rowOff>326570</xdr:rowOff>
    </xdr:from>
    <xdr:to>
      <xdr:col>4</xdr:col>
      <xdr:colOff>925724</xdr:colOff>
      <xdr:row>1</xdr:row>
      <xdr:rowOff>496660</xdr:rowOff>
    </xdr:to>
    <xdr:sp macro="[2]!LoadData" textlink="">
      <xdr:nvSpPr>
        <xdr:cNvPr id="52" name="Bntc2">
          <a:extLst>
            <a:ext uri="{FF2B5EF4-FFF2-40B4-BE49-F238E27FC236}">
              <a16:creationId xmlns:a16="http://schemas.microsoft.com/office/drawing/2014/main" id="{C6DDD0B9-7AD9-45AD-BBEF-8C6A006F3CB0}"/>
            </a:ext>
          </a:extLst>
        </xdr:cNvPr>
        <xdr:cNvSpPr/>
      </xdr:nvSpPr>
      <xdr:spPr>
        <a:xfrm flipV="1">
          <a:off x="553582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390525</xdr:colOff>
      <xdr:row>1</xdr:row>
      <xdr:rowOff>326570</xdr:rowOff>
    </xdr:from>
    <xdr:to>
      <xdr:col>3</xdr:col>
      <xdr:colOff>914400</xdr:colOff>
      <xdr:row>1</xdr:row>
      <xdr:rowOff>496660</xdr:rowOff>
    </xdr:to>
    <xdr:sp macro="[2]!LoadData" textlink="">
      <xdr:nvSpPr>
        <xdr:cNvPr id="53" name="Bntc1">
          <a:extLst>
            <a:ext uri="{FF2B5EF4-FFF2-40B4-BE49-F238E27FC236}">
              <a16:creationId xmlns:a16="http://schemas.microsoft.com/office/drawing/2014/main" id="{A4A1FBD9-23B7-413A-8A1E-B61367B69592}"/>
            </a:ext>
          </a:extLst>
        </xdr:cNvPr>
        <xdr:cNvSpPr/>
      </xdr:nvSpPr>
      <xdr:spPr>
        <a:xfrm flipV="1">
          <a:off x="3981450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481117</xdr:colOff>
      <xdr:row>1</xdr:row>
      <xdr:rowOff>326570</xdr:rowOff>
    </xdr:from>
    <xdr:to>
      <xdr:col>11</xdr:col>
      <xdr:colOff>1004992</xdr:colOff>
      <xdr:row>1</xdr:row>
      <xdr:rowOff>496660</xdr:rowOff>
    </xdr:to>
    <xdr:sp macro="[2]!LoadData" textlink="">
      <xdr:nvSpPr>
        <xdr:cNvPr id="54" name="Bntc9">
          <a:extLst>
            <a:ext uri="{FF2B5EF4-FFF2-40B4-BE49-F238E27FC236}">
              <a16:creationId xmlns:a16="http://schemas.microsoft.com/office/drawing/2014/main" id="{290CFF22-A31A-4A06-A0E6-DA37DE854632}"/>
            </a:ext>
          </a:extLst>
        </xdr:cNvPr>
        <xdr:cNvSpPr/>
      </xdr:nvSpPr>
      <xdr:spPr>
        <a:xfrm flipV="1">
          <a:off x="16511692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469793</xdr:colOff>
      <xdr:row>1</xdr:row>
      <xdr:rowOff>326570</xdr:rowOff>
    </xdr:from>
    <xdr:to>
      <xdr:col>10</xdr:col>
      <xdr:colOff>993668</xdr:colOff>
      <xdr:row>1</xdr:row>
      <xdr:rowOff>496660</xdr:rowOff>
    </xdr:to>
    <xdr:sp macro="[2]!LoadData" textlink="">
      <xdr:nvSpPr>
        <xdr:cNvPr id="55" name="Bntc8">
          <a:extLst>
            <a:ext uri="{FF2B5EF4-FFF2-40B4-BE49-F238E27FC236}">
              <a16:creationId xmlns:a16="http://schemas.microsoft.com/office/drawing/2014/main" id="{CD83DCD4-7984-499B-88C6-EFC5440BFCD7}"/>
            </a:ext>
          </a:extLst>
        </xdr:cNvPr>
        <xdr:cNvSpPr/>
      </xdr:nvSpPr>
      <xdr:spPr>
        <a:xfrm flipV="1">
          <a:off x="14995418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9</xdr:col>
      <xdr:colOff>458469</xdr:colOff>
      <xdr:row>1</xdr:row>
      <xdr:rowOff>326570</xdr:rowOff>
    </xdr:from>
    <xdr:to>
      <xdr:col>9</xdr:col>
      <xdr:colOff>982344</xdr:colOff>
      <xdr:row>1</xdr:row>
      <xdr:rowOff>496660</xdr:rowOff>
    </xdr:to>
    <xdr:sp macro="[2]!LoadData" textlink="">
      <xdr:nvSpPr>
        <xdr:cNvPr id="56" name="Bntc7">
          <a:extLst>
            <a:ext uri="{FF2B5EF4-FFF2-40B4-BE49-F238E27FC236}">
              <a16:creationId xmlns:a16="http://schemas.microsoft.com/office/drawing/2014/main" id="{630B0F7E-F684-4AB4-9EA8-1FB97FF43353}"/>
            </a:ext>
          </a:extLst>
        </xdr:cNvPr>
        <xdr:cNvSpPr/>
      </xdr:nvSpPr>
      <xdr:spPr>
        <a:xfrm flipV="1">
          <a:off x="1347914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30</xdr:col>
      <xdr:colOff>315273</xdr:colOff>
      <xdr:row>1</xdr:row>
      <xdr:rowOff>326570</xdr:rowOff>
    </xdr:from>
    <xdr:to>
      <xdr:col>30</xdr:col>
      <xdr:colOff>839148</xdr:colOff>
      <xdr:row>1</xdr:row>
      <xdr:rowOff>496660</xdr:rowOff>
    </xdr:to>
    <xdr:sp macro="[2]!LoadData" textlink="">
      <xdr:nvSpPr>
        <xdr:cNvPr id="57" name="Bntc28">
          <a:extLst>
            <a:ext uri="{FF2B5EF4-FFF2-40B4-BE49-F238E27FC236}">
              <a16:creationId xmlns:a16="http://schemas.microsoft.com/office/drawing/2014/main" id="{F6D4B1B5-77DE-410A-AD61-CCAB748C0B55}"/>
            </a:ext>
          </a:extLst>
        </xdr:cNvPr>
        <xdr:cNvSpPr/>
      </xdr:nvSpPr>
      <xdr:spPr>
        <a:xfrm flipV="1">
          <a:off x="4512087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58" name="Bntc27">
          <a:extLst>
            <a:ext uri="{FF2B5EF4-FFF2-40B4-BE49-F238E27FC236}">
              <a16:creationId xmlns:a16="http://schemas.microsoft.com/office/drawing/2014/main" id="{433DD69B-B623-4A14-9E4D-73D307A774BF}"/>
            </a:ext>
          </a:extLst>
        </xdr:cNvPr>
        <xdr:cNvSpPr/>
      </xdr:nvSpPr>
      <xdr:spPr>
        <a:xfrm flipV="1">
          <a:off x="4360459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356125</xdr:colOff>
      <xdr:row>1</xdr:row>
      <xdr:rowOff>326570</xdr:rowOff>
    </xdr:from>
    <xdr:to>
      <xdr:col>28</xdr:col>
      <xdr:colOff>880000</xdr:colOff>
      <xdr:row>1</xdr:row>
      <xdr:rowOff>496660</xdr:rowOff>
    </xdr:to>
    <xdr:sp macro="[2]!LoadData" textlink="">
      <xdr:nvSpPr>
        <xdr:cNvPr id="59" name="Bntc26">
          <a:extLst>
            <a:ext uri="{FF2B5EF4-FFF2-40B4-BE49-F238E27FC236}">
              <a16:creationId xmlns:a16="http://schemas.microsoft.com/office/drawing/2014/main" id="{ACCBBEBB-035C-49CA-A33A-9C154BE808D7}"/>
            </a:ext>
          </a:extLst>
        </xdr:cNvPr>
        <xdr:cNvSpPr/>
      </xdr:nvSpPr>
      <xdr:spPr>
        <a:xfrm flipV="1">
          <a:off x="42056575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344801</xdr:colOff>
      <xdr:row>1</xdr:row>
      <xdr:rowOff>326570</xdr:rowOff>
    </xdr:from>
    <xdr:to>
      <xdr:col>27</xdr:col>
      <xdr:colOff>868676</xdr:colOff>
      <xdr:row>1</xdr:row>
      <xdr:rowOff>496660</xdr:rowOff>
    </xdr:to>
    <xdr:sp macro="[2]!LoadData" textlink="">
      <xdr:nvSpPr>
        <xdr:cNvPr id="60" name="Bntc25">
          <a:extLst>
            <a:ext uri="{FF2B5EF4-FFF2-40B4-BE49-F238E27FC236}">
              <a16:creationId xmlns:a16="http://schemas.microsoft.com/office/drawing/2014/main" id="{B8550014-DB8C-4C39-BF36-C4C990738A97}"/>
            </a:ext>
          </a:extLst>
        </xdr:cNvPr>
        <xdr:cNvSpPr/>
      </xdr:nvSpPr>
      <xdr:spPr>
        <a:xfrm flipV="1">
          <a:off x="40445051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650977</xdr:colOff>
      <xdr:row>1</xdr:row>
      <xdr:rowOff>326570</xdr:rowOff>
    </xdr:from>
    <xdr:to>
      <xdr:col>26</xdr:col>
      <xdr:colOff>1174852</xdr:colOff>
      <xdr:row>1</xdr:row>
      <xdr:rowOff>496660</xdr:rowOff>
    </xdr:to>
    <xdr:sp macro="[2]!LoadData" textlink="">
      <xdr:nvSpPr>
        <xdr:cNvPr id="61" name="Bntc24">
          <a:extLst>
            <a:ext uri="{FF2B5EF4-FFF2-40B4-BE49-F238E27FC236}">
              <a16:creationId xmlns:a16="http://schemas.microsoft.com/office/drawing/2014/main" id="{6A053082-2736-4382-BC67-64ED5D600A07}"/>
            </a:ext>
          </a:extLst>
        </xdr:cNvPr>
        <xdr:cNvSpPr/>
      </xdr:nvSpPr>
      <xdr:spPr>
        <a:xfrm flipV="1">
          <a:off x="3924627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639653</xdr:colOff>
      <xdr:row>1</xdr:row>
      <xdr:rowOff>326570</xdr:rowOff>
    </xdr:from>
    <xdr:to>
      <xdr:col>25</xdr:col>
      <xdr:colOff>1163528</xdr:colOff>
      <xdr:row>1</xdr:row>
      <xdr:rowOff>496660</xdr:rowOff>
    </xdr:to>
    <xdr:sp macro="[2]!LoadData" textlink="">
      <xdr:nvSpPr>
        <xdr:cNvPr id="62" name="Bntc23">
          <a:extLst>
            <a:ext uri="{FF2B5EF4-FFF2-40B4-BE49-F238E27FC236}">
              <a16:creationId xmlns:a16="http://schemas.microsoft.com/office/drawing/2014/main" id="{35CD791C-A999-4395-9524-972D455012EB}"/>
            </a:ext>
          </a:extLst>
        </xdr:cNvPr>
        <xdr:cNvSpPr/>
      </xdr:nvSpPr>
      <xdr:spPr>
        <a:xfrm flipV="1">
          <a:off x="37730003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628329</xdr:colOff>
      <xdr:row>1</xdr:row>
      <xdr:rowOff>326570</xdr:rowOff>
    </xdr:from>
    <xdr:to>
      <xdr:col>24</xdr:col>
      <xdr:colOff>1152204</xdr:colOff>
      <xdr:row>1</xdr:row>
      <xdr:rowOff>496660</xdr:rowOff>
    </xdr:to>
    <xdr:sp macro="[2]!LoadData" textlink="">
      <xdr:nvSpPr>
        <xdr:cNvPr id="63" name="Bntc22">
          <a:extLst>
            <a:ext uri="{FF2B5EF4-FFF2-40B4-BE49-F238E27FC236}">
              <a16:creationId xmlns:a16="http://schemas.microsoft.com/office/drawing/2014/main" id="{2E2348FB-4576-4ED4-8439-8E4D3B442C75}"/>
            </a:ext>
          </a:extLst>
        </xdr:cNvPr>
        <xdr:cNvSpPr/>
      </xdr:nvSpPr>
      <xdr:spPr>
        <a:xfrm flipV="1">
          <a:off x="36280404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31</xdr:col>
      <xdr:colOff>326597</xdr:colOff>
      <xdr:row>1</xdr:row>
      <xdr:rowOff>326570</xdr:rowOff>
    </xdr:from>
    <xdr:to>
      <xdr:col>31</xdr:col>
      <xdr:colOff>850472</xdr:colOff>
      <xdr:row>1</xdr:row>
      <xdr:rowOff>496660</xdr:rowOff>
    </xdr:to>
    <xdr:sp macro="[2]!LoadData" textlink="">
      <xdr:nvSpPr>
        <xdr:cNvPr id="64" name="Bntc29">
          <a:extLst>
            <a:ext uri="{FF2B5EF4-FFF2-40B4-BE49-F238E27FC236}">
              <a16:creationId xmlns:a16="http://schemas.microsoft.com/office/drawing/2014/main" id="{88B6004C-8385-48F7-8C79-61308D56265E}"/>
            </a:ext>
          </a:extLst>
        </xdr:cNvPr>
        <xdr:cNvSpPr/>
      </xdr:nvSpPr>
      <xdr:spPr>
        <a:xfrm flipV="1">
          <a:off x="46637147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32</xdr:col>
      <xdr:colOff>329046</xdr:colOff>
      <xdr:row>1</xdr:row>
      <xdr:rowOff>294409</xdr:rowOff>
    </xdr:from>
    <xdr:to>
      <xdr:col>32</xdr:col>
      <xdr:colOff>852921</xdr:colOff>
      <xdr:row>1</xdr:row>
      <xdr:rowOff>464499</xdr:rowOff>
    </xdr:to>
    <xdr:sp macro="[2]!LoadData" textlink="">
      <xdr:nvSpPr>
        <xdr:cNvPr id="65" name="Bntc30">
          <a:extLst>
            <a:ext uri="{FF2B5EF4-FFF2-40B4-BE49-F238E27FC236}">
              <a16:creationId xmlns:a16="http://schemas.microsoft.com/office/drawing/2014/main" id="{0ABE026B-9A1D-4290-B791-4576513B240E}"/>
            </a:ext>
          </a:extLst>
        </xdr:cNvPr>
        <xdr:cNvSpPr/>
      </xdr:nvSpPr>
      <xdr:spPr>
        <a:xfrm flipV="1">
          <a:off x="48144546" y="389659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33</xdr:col>
      <xdr:colOff>398318</xdr:colOff>
      <xdr:row>1</xdr:row>
      <xdr:rowOff>311727</xdr:rowOff>
    </xdr:from>
    <xdr:to>
      <xdr:col>33</xdr:col>
      <xdr:colOff>922193</xdr:colOff>
      <xdr:row>1</xdr:row>
      <xdr:rowOff>481817</xdr:rowOff>
    </xdr:to>
    <xdr:sp macro="[2]!LoadData" textlink="">
      <xdr:nvSpPr>
        <xdr:cNvPr id="66" name="Bntc31">
          <a:extLst>
            <a:ext uri="{FF2B5EF4-FFF2-40B4-BE49-F238E27FC236}">
              <a16:creationId xmlns:a16="http://schemas.microsoft.com/office/drawing/2014/main" id="{1CB5C3A0-6293-4372-9ECB-ECF9F16379A3}"/>
            </a:ext>
          </a:extLst>
        </xdr:cNvPr>
        <xdr:cNvSpPr/>
      </xdr:nvSpPr>
      <xdr:spPr>
        <a:xfrm flipV="1">
          <a:off x="49718768" y="406977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303949</xdr:colOff>
      <xdr:row>1</xdr:row>
      <xdr:rowOff>326570</xdr:rowOff>
    </xdr:from>
    <xdr:to>
      <xdr:col>29</xdr:col>
      <xdr:colOff>827824</xdr:colOff>
      <xdr:row>1</xdr:row>
      <xdr:rowOff>496660</xdr:rowOff>
    </xdr:to>
    <xdr:sp macro="[2]!LoadData" textlink="">
      <xdr:nvSpPr>
        <xdr:cNvPr id="67" name="Bntc27">
          <a:extLst>
            <a:ext uri="{FF2B5EF4-FFF2-40B4-BE49-F238E27FC236}">
              <a16:creationId xmlns:a16="http://schemas.microsoft.com/office/drawing/2014/main" id="{680A5A1F-F85D-42BA-BB6D-ED20F967867D}"/>
            </a:ext>
          </a:extLst>
        </xdr:cNvPr>
        <xdr:cNvSpPr/>
      </xdr:nvSpPr>
      <xdr:spPr>
        <a:xfrm flipV="1">
          <a:off x="43604599" y="421820"/>
          <a:ext cx="523875" cy="1700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PE/&#1054;&#1087;&#1077;&#1088;&#1072;&#1090;&#1080;&#1074;&#1082;&#1072;/WORK_46%20&#1053;&#1045;&#1044;&#1045;&#1051;&#107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PE/&#1054;&#1087;&#1077;&#1088;&#1072;&#1090;&#1080;&#1074;&#1082;&#1072;/WORK_45%20&#1053;&#1045;&#1044;&#1045;&#1051;&#1071;%20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 MONDAY"/>
      <sheetName val="ОПЕРАТИВКА пн-пн"/>
      <sheetName val="св о загрузке"/>
      <sheetName val="СТРАНЫ"/>
      <sheetName val="баланс"/>
      <sheetName val="Сверка 310"/>
      <sheetName val="Сверка 310 пред.мес."/>
      <sheetName val="Недопоставки"/>
      <sheetName val="Отклонения от D-1"/>
      <sheetName val="прогноз ресурса из ЕСГ"/>
      <sheetName val="Лист1"/>
    </sheetNames>
    <sheetDataSet>
      <sheetData sheetId="0"/>
      <sheetData sheetId="1">
        <row r="3">
          <cell r="E3">
            <v>44515</v>
          </cell>
        </row>
        <row r="125">
          <cell r="K125">
            <v>0</v>
          </cell>
        </row>
        <row r="127">
          <cell r="K127">
            <v>0</v>
          </cell>
        </row>
      </sheetData>
      <sheetData sheetId="2"/>
      <sheetData sheetId="3"/>
      <sheetData sheetId="4">
        <row r="18">
          <cell r="R18">
            <v>183</v>
          </cell>
        </row>
        <row r="27">
          <cell r="R27">
            <v>5.0971717032557997</v>
          </cell>
        </row>
        <row r="100">
          <cell r="B100">
            <v>12.130048126985058</v>
          </cell>
        </row>
        <row r="101">
          <cell r="B101">
            <v>12.130048126985058</v>
          </cell>
        </row>
        <row r="102">
          <cell r="B102">
            <v>13.034400578175058</v>
          </cell>
        </row>
        <row r="104">
          <cell r="B104">
            <v>7.6632230979999996</v>
          </cell>
        </row>
        <row r="109">
          <cell r="B109">
            <v>469.14673699999997</v>
          </cell>
        </row>
      </sheetData>
      <sheetData sheetId="5">
        <row r="12">
          <cell r="AJ12">
            <v>58.117553714922629</v>
          </cell>
        </row>
        <row r="15">
          <cell r="AJ15">
            <v>56.676736878468894</v>
          </cell>
        </row>
        <row r="25">
          <cell r="AJ25">
            <v>0</v>
          </cell>
        </row>
        <row r="28">
          <cell r="AJ28">
            <v>0</v>
          </cell>
        </row>
        <row r="31">
          <cell r="AJ31">
            <v>0</v>
          </cell>
        </row>
        <row r="37">
          <cell r="AJ37">
            <v>7.3410739502749385</v>
          </cell>
        </row>
        <row r="38">
          <cell r="AJ38">
            <v>5.6480379199999993</v>
          </cell>
        </row>
        <row r="39">
          <cell r="AJ39">
            <v>19.339869749998485</v>
          </cell>
        </row>
        <row r="42">
          <cell r="AJ42">
            <v>18.590607161199774</v>
          </cell>
        </row>
        <row r="57">
          <cell r="AJ57">
            <v>1.8085834000000001</v>
          </cell>
        </row>
        <row r="58">
          <cell r="AJ58">
            <v>26.347821080000003</v>
          </cell>
        </row>
        <row r="59">
          <cell r="AJ59">
            <v>41.468508918554036</v>
          </cell>
        </row>
        <row r="63">
          <cell r="AJ63">
            <v>42.141795518554027</v>
          </cell>
        </row>
        <row r="77">
          <cell r="AJ77">
            <v>127.2239917631186</v>
          </cell>
        </row>
        <row r="80">
          <cell r="AJ80">
            <v>121.73027485243615</v>
          </cell>
        </row>
        <row r="93">
          <cell r="AJ93">
            <v>0</v>
          </cell>
        </row>
        <row r="97">
          <cell r="AJ97">
            <v>0</v>
          </cell>
        </row>
        <row r="113">
          <cell r="AI113">
            <v>0</v>
          </cell>
        </row>
        <row r="114">
          <cell r="AI114">
            <v>0</v>
          </cell>
        </row>
        <row r="115">
          <cell r="AI115">
            <v>0</v>
          </cell>
        </row>
      </sheetData>
      <sheetData sheetId="6">
        <row r="12">
          <cell r="AJ12">
            <v>68.32402559302669</v>
          </cell>
        </row>
        <row r="15">
          <cell r="AJ15">
            <v>68.32402559302669</v>
          </cell>
        </row>
        <row r="25">
          <cell r="AJ25">
            <v>0</v>
          </cell>
        </row>
        <row r="28">
          <cell r="AJ28">
            <v>0</v>
          </cell>
        </row>
        <row r="31">
          <cell r="AJ31">
            <v>0</v>
          </cell>
        </row>
        <row r="37">
          <cell r="AJ37">
            <v>11.038580763503848</v>
          </cell>
        </row>
        <row r="38">
          <cell r="AJ38">
            <v>10.086305290322581</v>
          </cell>
        </row>
        <row r="39">
          <cell r="AJ39">
            <v>29.119566428239565</v>
          </cell>
        </row>
        <row r="42">
          <cell r="AJ42">
            <v>29.119566428239565</v>
          </cell>
        </row>
        <row r="57">
          <cell r="AJ57">
            <v>3.2972494516129034</v>
          </cell>
        </row>
        <row r="58">
          <cell r="AJ58">
            <v>40.432431096774202</v>
          </cell>
        </row>
        <row r="59">
          <cell r="AJ59">
            <v>60.633986392904866</v>
          </cell>
        </row>
        <row r="63">
          <cell r="AJ63">
            <v>59.546522167098423</v>
          </cell>
        </row>
        <row r="77">
          <cell r="AJ77">
            <v>167.36073375732698</v>
          </cell>
        </row>
        <row r="80">
          <cell r="AJ80">
            <v>167.36073375732698</v>
          </cell>
        </row>
        <row r="93">
          <cell r="AJ93">
            <v>5.7450607096774196</v>
          </cell>
        </row>
        <row r="97">
          <cell r="AJ97">
            <v>2.0864605161290326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 MONDAY"/>
      <sheetName val="ОПЕРАТИВКА пн-пн"/>
      <sheetName val="св о загрузке"/>
      <sheetName val="СТРАНЫ"/>
      <sheetName val="баланс"/>
      <sheetName val="Сверка 310"/>
      <sheetName val="Сверка 310 пред.мес."/>
      <sheetName val="Недопоставки"/>
      <sheetName val="Отклонения от D-1"/>
      <sheetName val="прогноз ресурса из ЕСГ"/>
      <sheetName val="Лист1"/>
    </sheetNames>
    <definedNames>
      <definedName name="LoadData"/>
    </definedNames>
    <sheetDataSet>
      <sheetData sheetId="0"/>
      <sheetData sheetId="1">
        <row r="12">
          <cell r="D12">
            <v>484.57537443333337</v>
          </cell>
        </row>
        <row r="16">
          <cell r="B16" t="str">
            <v>ГИС ВЕЛКЕ КАПУШАНЫ - ПОДАЧА РЕСУРСА ЗАКАЧКА в ПХГ</v>
          </cell>
        </row>
        <row r="18">
          <cell r="B18" t="str">
            <v>ГИС ВЕЛКЕ КАПУШАНЫ - ПОДАЧА РЕСУРСА ОТБОР из ПХГ</v>
          </cell>
        </row>
        <row r="21">
          <cell r="B21" t="str">
            <v>ГИС ВЕЛКЕ КАПУШАНЫ - ПОДАЧА РЕСУРСА СЛОВАКИЯ</v>
          </cell>
        </row>
        <row r="22">
          <cell r="B22" t="str">
            <v>ГИС ВЕЛКЕ КАПУШАНЫ - ПОДАЧА РЕСУРСА ЧEXИЯ</v>
          </cell>
        </row>
        <row r="23">
          <cell r="B23" t="str">
            <v>ГИС ВЕЛКЕ КАПУШАНЫ - ПОДАЧА РЕСУРСА ABCTPИЯ</v>
          </cell>
        </row>
        <row r="24">
          <cell r="B24" t="str">
            <v>ГИС ВЕЛКЕ КАПУШАНЫ - ПОДАЧА РЕСУРСА ИTAЛИЯ</v>
          </cell>
        </row>
        <row r="25">
          <cell r="B25" t="str">
            <v>ГИС ВЕЛКЕ КАПУШАНЫ - ПОДАЧА РЕСУРСА ФPAHЦИЯ</v>
          </cell>
        </row>
        <row r="26">
          <cell r="B26" t="str">
            <v>ГИС ВЕЛКЕ КАПУШАНЫ - ПОДАЧА РЕСУРСА ГЕРМАНИЯ</v>
          </cell>
        </row>
        <row r="27">
          <cell r="B27" t="str">
            <v>ГИС ВЕЛКЕ КАПУШАНЫ - ПОДАЧА РЕСУРСА ВЕНГРИЯ</v>
          </cell>
        </row>
        <row r="28">
          <cell r="B28" t="str">
            <v>ГИС ВЕЛКЕ КАПУШАНЫ - ПОДАЧА РЕСУРСА CЛOBEHИЯ</v>
          </cell>
        </row>
        <row r="29">
          <cell r="B29" t="str">
            <v>ГИС ВЕЛКЕ КАПУШАНЫ - ПОДАЧА РЕСУРСА НИДЕРЛАНДЫ</v>
          </cell>
        </row>
        <row r="31">
          <cell r="B31" t="str">
            <v>ГИС ИСАКЧА РУМЫНИЯ</v>
          </cell>
        </row>
        <row r="32">
          <cell r="B32" t="str">
            <v>ГИС ИСАКЧА БОЛГАРИЯ</v>
          </cell>
        </row>
        <row r="34">
          <cell r="B34" t="str">
            <v>ГИС БEPEГ - ПОДАЧА РЕСУРСАЗАКАЧКА в ПХГ</v>
          </cell>
        </row>
        <row r="35">
          <cell r="B35" t="str">
            <v>ГИС БEPEГ - ПОДАЧА РЕСУРСАОТБОР из ПХГ</v>
          </cell>
        </row>
        <row r="37">
          <cell r="B37" t="str">
            <v>ГИС БEPEГ - ПОДАЧА РЕСУРСАИТАЛИЯ</v>
          </cell>
        </row>
        <row r="38">
          <cell r="B38" t="str">
            <v>ГИС БEPEГ - ПОДАЧА РЕСУРСАВЕНГРИЯ</v>
          </cell>
        </row>
        <row r="39">
          <cell r="B39" t="str">
            <v>ГИС БEPEГ - ПОДАЧА РЕСУРСАБОСНИЯ и ГЕРЦЕГОВИНА</v>
          </cell>
        </row>
        <row r="40">
          <cell r="B40" t="str">
            <v>ГИС БEPEГ - ПОДАЧА РЕСУРСАХОРВАТИЯ</v>
          </cell>
        </row>
        <row r="42">
          <cell r="B42" t="str">
            <v>GCP GAZ-SYSTEM/UATSO (ПОЛЬША)</v>
          </cell>
        </row>
        <row r="43">
          <cell r="B43" t="str">
            <v>ГИС ВЫСОКОЕ,ТЕТЕРЕВКА (ПОЛЬША)</v>
          </cell>
        </row>
        <row r="45">
          <cell r="B45" t="str">
            <v>ГИС КОНДРАТКИ - ПОДАЧА РЕСУРСАЗАКАЧКА в ПХГ</v>
          </cell>
        </row>
        <row r="46">
          <cell r="B46" t="str">
            <v>ГИС КОНДРАТКИ - ПОДАЧА РЕСУРСАОТБОР из ПХГ</v>
          </cell>
        </row>
        <row r="48">
          <cell r="B48" t="str">
            <v>ГИС КОНДРАТКИ - ПОДАЧА РЕСУРСАПОЛЬША</v>
          </cell>
        </row>
        <row r="49">
          <cell r="B49" t="str">
            <v>ГИС КОНДРАТКИ - ПОДАЧА РЕСУРСАГЕРМАНИЯ</v>
          </cell>
        </row>
        <row r="50">
          <cell r="B50" t="str">
            <v>ГИС КОНДРАТКИ - ПОДАЧА РЕСУРСАБЕЛЬГИЯ</v>
          </cell>
        </row>
        <row r="51">
          <cell r="B51" t="str">
            <v>ГИС КОНДРАТКИ - ПОДАЧА РЕСУРСАНИДЕРЛАНДЫ</v>
          </cell>
        </row>
        <row r="52">
          <cell r="B52" t="str">
            <v>ГИС КОНДРАТКИ - ПОДАЧА РЕСУРСАВЕЛИКОБРИТАНИЯ</v>
          </cell>
        </row>
        <row r="53">
          <cell r="B53" t="str">
            <v>ГИС КОНДРАТКИ - ПОДАЧА РЕСУРСАДАНИЯ</v>
          </cell>
        </row>
        <row r="54">
          <cell r="B54" t="str">
            <v>ГИС КОНДРАТКИ - ПОДАЧА РЕСУРСАШBEЙЦAPИЯ</v>
          </cell>
        </row>
        <row r="55">
          <cell r="B55" t="str">
            <v>ГИС КОНДРАТКИ - ПОДАЧА РЕСУРСАФPAHЦИЯ</v>
          </cell>
        </row>
        <row r="56">
          <cell r="B56" t="str">
            <v>ГИС КОНДРАТКИ - ПОДАЧА РЕСУРСАИТАЛИЯ</v>
          </cell>
        </row>
        <row r="57">
          <cell r="B57" t="str">
            <v>ГИС КОНДРАТКИ - ПОДАЧА РЕСУРСАЧEXИЯ</v>
          </cell>
        </row>
        <row r="58">
          <cell r="B58" t="str">
            <v>ГИС КОНДРАТКИ - ПОДАЧА РЕСУРСААВСТРИЯ</v>
          </cell>
        </row>
        <row r="59">
          <cell r="B59" t="str">
            <v>ГИС КОНДРАТКИ - ПОДАЧА РЕСУРСАВЕНГРИЯ</v>
          </cell>
        </row>
        <row r="60">
          <cell r="B60" t="str">
            <v>ГИС КОНДРАТКИ - ПОДАЧА РЕСУРСАСЛОВЕНИЯ</v>
          </cell>
        </row>
        <row r="61">
          <cell r="B61" t="str">
            <v>ГИС КОНДРАТКИ - ПОДАЧА РЕСУРСАСЛОВАКИЯ</v>
          </cell>
        </row>
        <row r="62">
          <cell r="B62" t="str">
            <v>ГИС ИМАТРА (ФИНЛЯНДИЯ)</v>
          </cell>
        </row>
        <row r="63">
          <cell r="B63" t="str">
            <v>ГОЛУБОЙ ПОТОК (ТУРЦИЯ)</v>
          </cell>
        </row>
        <row r="65">
          <cell r="B65" t="str">
            <v>ТУРЕЦКИЙ ПОТОК - ПОДАЧА РЕСУРСАЗАКАЧКА в ПХГ</v>
          </cell>
        </row>
        <row r="66">
          <cell r="B66" t="str">
            <v>ТУРЕЦКИЙ ПОТОК - ПОДАЧА РЕСУРСАОТБОР из ПХГ</v>
          </cell>
        </row>
        <row r="67">
          <cell r="B67" t="str">
            <v>ТУРЕЦКИЙ ПОТОК - ПОДАЧА РЕСУРСАТех.нужды SSTBV/аккумуляция</v>
          </cell>
        </row>
        <row r="69">
          <cell r="B69" t="str">
            <v>ТУРЕЦКИЙ ПОТОК - ПОДАЧА РЕСУРСАБОЛГАРИЯ</v>
          </cell>
        </row>
        <row r="70">
          <cell r="B70" t="str">
            <v>ТУРЕЦКИЙ ПОТОК - ПОДАЧА РЕСУРСАTУPЦИЯ</v>
          </cell>
        </row>
        <row r="71">
          <cell r="B71" t="str">
            <v>ТУРЕЦКИЙ ПОТОК - ПОДАЧА РЕСУРСАГРЕЦИЯ</v>
          </cell>
        </row>
        <row r="72">
          <cell r="B72" t="str">
            <v>ТУРЕЦКИЙ ПОТОК - ПОДАЧА РЕСУРСАСЕВЕРНАЯ МАКЕДОНИЯ</v>
          </cell>
        </row>
        <row r="73">
          <cell r="B73" t="str">
            <v>ТУРЕЦКИЙ ПОТОК - ПОДАЧА РЕСУРСАгаз Gazprom Schweiz</v>
          </cell>
        </row>
        <row r="74">
          <cell r="B74" t="str">
            <v>ТУРЕЦКИЙ ПОТОК - ПОДАЧА РЕСУРСАРУМЫНИЯ</v>
          </cell>
        </row>
        <row r="75">
          <cell r="B75" t="str">
            <v>ТУРЕЦКИЙ ПОТОК - ПОДАЧА РЕСУРСАСЕРБИЯ</v>
          </cell>
        </row>
        <row r="76">
          <cell r="B76" t="str">
            <v>ТУРЕЦКИЙ ПОТОК - ПОДАЧА РЕСУРСАБОСНИЯ и ГЕРЦЕГОВИНА</v>
          </cell>
        </row>
        <row r="77">
          <cell r="B77" t="str">
            <v>ТУРЕЦКИЙ ПОТОК - ПОДАЧА РЕСУРСАВЕНГРИЯ</v>
          </cell>
        </row>
        <row r="78">
          <cell r="B78" t="str">
            <v>ТУРЕЦКИЙ ПОТОК - ПОДАЧА РЕСУРСАВЕНГРИЯгаз Gazprom Schweiz</v>
          </cell>
        </row>
        <row r="79">
          <cell r="B79" t="str">
            <v>ТУРЕЦКИЙ ПОТОК - ПОДАЧА РЕСУРСАХОРВАТИЯ</v>
          </cell>
        </row>
        <row r="80">
          <cell r="B80" t="str">
            <v>ТУРЕЦКИЙ ПОТОК - ПОДАЧА РЕСУРСААВСТРИЯ</v>
          </cell>
        </row>
        <row r="81">
          <cell r="B81" t="str">
            <v>ТУРЕЦКИЙ ПОТОК - ПОДАЧА РЕСУРСАИТАЛИЯ</v>
          </cell>
        </row>
        <row r="83">
          <cell r="B83" t="str">
            <v>СЕВЕРНЫЙ ПОТОК - ПОДАЧА РЕСУРСАЗАКАЧКА в ПХГ</v>
          </cell>
        </row>
        <row r="84">
          <cell r="B84" t="str">
            <v>СЕВЕРНЫЙ ПОТОК - ПОДАЧА РЕСУРСАОТБОР из ПХГ</v>
          </cell>
        </row>
        <row r="86">
          <cell r="B86" t="str">
            <v>СЕВЕРНЫЙ ПОТОК - ПОДАЧА РЕСУРСАДАНИЯ</v>
          </cell>
        </row>
        <row r="87">
          <cell r="B87" t="str">
            <v>СЕВЕРНЫЙ ПОТОК - ПОДАЧА РЕСУРСАБЕЛЬГИЯ</v>
          </cell>
        </row>
        <row r="88">
          <cell r="B88" t="str">
            <v>СЕВЕРНЫЙ ПОТОК - ПОДАЧА РЕСУРСАГЕРМАНИЯ</v>
          </cell>
        </row>
        <row r="89">
          <cell r="B89" t="str">
            <v>СЕВЕРНЫЙ ПОТОК - ПОДАЧА РЕСУРСАВЕЛИКОБРИТАНИЯ</v>
          </cell>
        </row>
        <row r="90">
          <cell r="B90" t="str">
            <v>СЕВЕРНЫЙ ПОТОК - ПОДАЧА РЕСУРСАФРАНЦИЯ</v>
          </cell>
        </row>
        <row r="91">
          <cell r="B91" t="str">
            <v>СЕВЕРНЫЙ ПОТОК - ПОДАЧА РЕСУРСАНИДЕРЛАНДЫ</v>
          </cell>
        </row>
        <row r="92">
          <cell r="B92" t="str">
            <v>СЕВЕРНЫЙ ПОТОК - ПОДАЧА РЕСУРСАЧEXИЯ</v>
          </cell>
        </row>
        <row r="93">
          <cell r="B93" t="str">
            <v>СЕВЕРНЫЙ ПОТОК - ПОДАЧА РЕСУРСАШBEЙЦAPИЯ</v>
          </cell>
        </row>
        <row r="94">
          <cell r="B94" t="str">
            <v>СЕВЕРНЫЙ ПОТОК - ПОДАЧА РЕСУРСААВСТРИЯ</v>
          </cell>
        </row>
        <row r="95">
          <cell r="B95" t="str">
            <v>СЕВЕРНЫЙ ПОТОК - ПОДАЧА РЕСУРСАВЕНГРИЯ</v>
          </cell>
        </row>
        <row r="96">
          <cell r="B96" t="str">
            <v>СЕВЕРНЫЙ ПОТОК - ПОДАЧА РЕСУРСАИТАЛИЯ</v>
          </cell>
        </row>
        <row r="98">
          <cell r="B98" t="str">
            <v>СЕВЕРНЫЙ ПОТОК-2 - ПОДАЧА РЕСУРСАЗАКАЧКА в ПХГ</v>
          </cell>
        </row>
        <row r="99">
          <cell r="B99" t="str">
            <v>СЕВЕРНЫЙ ПОТОК-2 - ПОДАЧА РЕСУРСАОТБОР из ПХГ</v>
          </cell>
        </row>
        <row r="100">
          <cell r="B100" t="str">
            <v>СЕВЕРНЫЙ ПОТОК-2 - ПОДАЧА РЕСУРСАЗаполнение трубы (переходный газ)</v>
          </cell>
        </row>
        <row r="102">
          <cell r="B102" t="str">
            <v>СЕВЕРНЫЙ ПОТОК-2 - ПОДАЧА РЕСУРСАДАНИЯ</v>
          </cell>
        </row>
        <row r="103">
          <cell r="B103" t="str">
            <v>СЕВЕРНЫЙ ПОТОК-2 - ПОДАЧА РЕСУРСАБЕЛЬГИЯ</v>
          </cell>
        </row>
        <row r="104">
          <cell r="B104" t="str">
            <v>СЕВЕРНЫЙ ПОТОК-2 - ПОДАЧА РЕСУРСАГЕРМАНИЯ</v>
          </cell>
        </row>
        <row r="105">
          <cell r="B105" t="str">
            <v>СЕВЕРНЫЙ ПОТОК-2 - ПОДАЧА РЕСУРСАВЕЛИКОБРИТАНИЯ</v>
          </cell>
        </row>
        <row r="106">
          <cell r="B106" t="str">
            <v>СЕВЕРНЫЙ ПОТОК-2 - ПОДАЧА РЕСУРСАФРАНЦИЯ</v>
          </cell>
        </row>
        <row r="107">
          <cell r="B107" t="str">
            <v>СЕВЕРНЫЙ ПОТОК-2 - ПОДАЧА РЕСУРСАНИДЕРЛАНДЫ</v>
          </cell>
        </row>
        <row r="108">
          <cell r="B108" t="str">
            <v>СЕВЕРНЫЙ ПОТОК-2 - ПОДАЧА РЕСУРСАЧEXИЯ</v>
          </cell>
        </row>
        <row r="109">
          <cell r="B109" t="str">
            <v>СЕВЕРНЫЙ ПОТОК-2 - ПОДАЧА РЕСУРСАШBEЙЦAPИЯ</v>
          </cell>
        </row>
        <row r="110">
          <cell r="B110" t="str">
            <v>СЕВЕРНЫЙ ПОТОК-2 - ПОДАЧА РЕСУРСААВСТРИЯ</v>
          </cell>
        </row>
        <row r="111">
          <cell r="B111" t="str">
            <v>СЕВЕРНЫЙ ПОТОК-2 - ПОДАЧА РЕСУРСАВЕНГРИЯ</v>
          </cell>
        </row>
        <row r="112">
          <cell r="B112" t="str">
            <v>СЕВЕРНЫЙ ПОТОК-2 - ПОДАЧА РЕСУРСАИТАЛИЯ</v>
          </cell>
        </row>
        <row r="113">
          <cell r="B113" t="str">
            <v>СЕВЕРНЫЙ ПОТОК-2 - ПОДАЧА РЕСУРСАСЛОВЕНИЯ</v>
          </cell>
        </row>
        <row r="114">
          <cell r="B114" t="str">
            <v>СЕВЕРНЫЙ ПОТОК-2 - ПОДАЧА РЕСУРСАСЛОВАКИЯ</v>
          </cell>
        </row>
        <row r="116">
          <cell r="B116" t="str">
            <v>СПРАВОЧНО                                              КИТАЙ</v>
          </cell>
        </row>
        <row r="125">
          <cell r="B125" t="str">
            <v>СУММАРНОЕ СОКРАЩЕНИЕ НОМИНАЦИЙ</v>
          </cell>
        </row>
        <row r="126">
          <cell r="B126" t="str">
            <v>- в т.ч. best-efforts</v>
          </cell>
        </row>
        <row r="127">
          <cell r="B127" t="str">
            <v>НЕДОПОСТАВКА ПО ТВЕРДЫМ ОБЯЗАТЕЛЬСТВАМ</v>
          </cell>
        </row>
      </sheetData>
      <sheetData sheetId="2"/>
      <sheetData sheetId="3"/>
      <sheetData sheetId="4"/>
      <sheetData sheetId="5"/>
      <sheetData sheetId="6">
        <row r="99">
          <cell r="AJ99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641D-1BA9-401E-BCA1-0F93133109CA}">
  <sheetPr codeName="Лист1"/>
  <dimension ref="A1:N76"/>
  <sheetViews>
    <sheetView view="pageBreakPreview" zoomScaleNormal="100" zoomScaleSheetLayoutView="100" workbookViewId="0">
      <selection activeCell="K31" sqref="K31"/>
    </sheetView>
  </sheetViews>
  <sheetFormatPr defaultColWidth="9.42578125" defaultRowHeight="15.75" outlineLevelRow="1" x14ac:dyDescent="0.25"/>
  <cols>
    <col min="1" max="1" width="28.85546875" style="127" customWidth="1"/>
    <col min="2" max="2" width="12.7109375" style="127" customWidth="1"/>
    <col min="3" max="3" width="17.42578125" style="127" customWidth="1"/>
    <col min="4" max="4" width="22" style="127" customWidth="1"/>
    <col min="5" max="5" width="9.42578125" style="122" customWidth="1"/>
    <col min="6" max="9" width="9.42578125" style="122"/>
    <col min="10" max="10" width="9.42578125" style="122" customWidth="1"/>
    <col min="11" max="12" width="10.42578125" style="122" bestFit="1" customWidth="1"/>
    <col min="13" max="16384" width="9.42578125" style="122"/>
  </cols>
  <sheetData>
    <row r="1" spans="1:14" ht="33" customHeight="1" x14ac:dyDescent="0.3">
      <c r="A1" s="460" t="str">
        <f>"Поставки газа на экспорт в дальнее зарубежье в период 
с "&amp;M1</f>
        <v>Поставки газа на экспорт в дальнее зарубежье в период 
с 15 по 19 ноября 2021г.</v>
      </c>
      <c r="B1" s="460"/>
      <c r="C1" s="460"/>
      <c r="D1" s="460"/>
      <c r="J1" s="141"/>
      <c r="K1" s="142">
        <v>44515</v>
      </c>
      <c r="L1" s="142">
        <v>44519</v>
      </c>
      <c r="M1" s="141" t="str">
        <f>IF(MONTH(K1)=MONTH(L1),_xlfn.CONCAT(DAY(K1)," по ",DAY(L1)," ",VLOOKUP(MONTH(L1),references!$A$2:$C$13,3,0)),_xlfn.CONCAT(DAY(K1)," ",VLOOKUP(MONTH(K1),references!$A$2:$C$13,3,0)," по ",DAY(L1)," ",VLOOKUP(MONTH(L1),references!$A$2:$C$13,3,0)))&amp;" "&amp;YEAR(L1)&amp;"г."</f>
        <v>15 по 19 ноября 2021г.</v>
      </c>
      <c r="N1" s="141"/>
    </row>
    <row r="2" spans="1:14" ht="6" customHeight="1" x14ac:dyDescent="0.3">
      <c r="A2" s="456"/>
      <c r="B2" s="456"/>
      <c r="C2" s="123"/>
      <c r="D2" s="123"/>
      <c r="J2" s="141"/>
      <c r="K2" s="141"/>
      <c r="L2" s="141"/>
      <c r="M2" s="141"/>
      <c r="N2" s="141"/>
    </row>
    <row r="3" spans="1:14" ht="6" customHeight="1" x14ac:dyDescent="0.3">
      <c r="A3" s="124"/>
      <c r="B3" s="124"/>
      <c r="C3" s="124"/>
      <c r="D3" s="124"/>
      <c r="J3" s="141"/>
      <c r="K3" s="141"/>
      <c r="L3" s="141"/>
      <c r="M3" s="141"/>
      <c r="N3" s="141"/>
    </row>
    <row r="4" spans="1:14" ht="18.75" x14ac:dyDescent="0.3">
      <c r="A4" s="445" t="s">
        <v>2</v>
      </c>
      <c r="B4" s="445"/>
      <c r="C4" s="445"/>
      <c r="D4" s="445"/>
      <c r="J4" s="141"/>
      <c r="K4" s="141"/>
      <c r="L4" s="141"/>
      <c r="M4" s="141"/>
      <c r="N4" s="141"/>
    </row>
    <row r="5" spans="1:14" ht="15" customHeight="1" x14ac:dyDescent="0.3">
      <c r="A5" s="461" t="str">
        <f>"Заявка на "&amp;TEXT(L1,"ДД.ММ.ГГГГ")&amp;" "&amp;TEXT(L1,"")&amp;" (по заявкам на 06:00 мск):"</f>
        <v>Заявка на 19.11.2021  (по заявкам на 06:00 мск):</v>
      </c>
      <c r="B5" s="461"/>
      <c r="C5" s="461"/>
      <c r="D5" s="461"/>
      <c r="J5" s="141"/>
      <c r="K5" s="141"/>
      <c r="L5" s="141"/>
      <c r="M5" s="141"/>
      <c r="N5" s="141"/>
    </row>
    <row r="6" spans="1:14" ht="15" customHeight="1" outlineLevel="1" x14ac:dyDescent="0.3">
      <c r="A6" s="455" t="s">
        <v>191</v>
      </c>
      <c r="B6" s="455"/>
      <c r="C6" s="455"/>
      <c r="D6" s="455"/>
      <c r="J6" s="141"/>
      <c r="K6" s="141"/>
      <c r="L6" s="141"/>
      <c r="M6" s="141"/>
      <c r="N6" s="141"/>
    </row>
    <row r="7" spans="1:14" ht="15" customHeight="1" x14ac:dyDescent="0.3">
      <c r="A7" s="450" t="str">
        <f>"- товарный газ (с учетом ГПШ и без Китая): "&amp;TEXT(ROUND(K7,1),"0,0")&amp;" млн куб. м в сутки;"</f>
        <v>- товарный газ (с учетом ГПШ и без Китая): 0,3 млн куб. м в сутки;</v>
      </c>
      <c r="B7" s="450"/>
      <c r="C7" s="450"/>
      <c r="D7" s="450"/>
      <c r="J7" s="141"/>
      <c r="K7" s="141">
        <v>0.3</v>
      </c>
      <c r="L7" s="141"/>
      <c r="M7" s="141"/>
      <c r="N7" s="141"/>
    </row>
    <row r="8" spans="1:14" ht="15" customHeight="1" x14ac:dyDescent="0.3">
      <c r="A8" s="454" t="str">
        <f>"- товарный газ (без ГПШ и Китая): "&amp;TEXT(ROUND(K8,1),"0,0")&amp;" млн куб. м в сутки;"</f>
        <v>- товарный газ (без ГПШ и Китая): 0,3 млн куб. м в сутки;</v>
      </c>
      <c r="B8" s="454"/>
      <c r="C8" s="454"/>
      <c r="D8" s="454"/>
      <c r="J8" s="141"/>
      <c r="K8" s="141">
        <v>0.3</v>
      </c>
      <c r="L8" s="141"/>
      <c r="M8" s="141"/>
      <c r="N8" s="141"/>
    </row>
    <row r="9" spans="1:14" ht="15" customHeight="1" x14ac:dyDescent="0.3">
      <c r="A9" s="447" t="str">
        <f>"- товарный газ (с учетом Китая и ГПШ): "&amp;TEXT(ROUND(K9,1),"0,0")&amp;" млн куб. м в сутки;"</f>
        <v>- товарный газ (с учетом Китая и ГПШ): 0,3 млн куб. м в сутки;</v>
      </c>
      <c r="B9" s="447"/>
      <c r="C9" s="447"/>
      <c r="D9" s="447"/>
      <c r="J9" s="141"/>
      <c r="K9" s="141">
        <v>0.3</v>
      </c>
      <c r="L9" s="141"/>
      <c r="M9" s="141"/>
      <c r="N9" s="141"/>
    </row>
    <row r="10" spans="1:14" ht="15" customHeight="1" x14ac:dyDescent="0.3">
      <c r="A10" s="454" t="str">
        <f>"- подача ресурса из ЕСГ:  "&amp;TEXT(ROUND(K10,1),"0,0")&amp;" млн куб. м в сутки;"</f>
        <v>- подача ресурса из ЕСГ:  0,3 млн куб. м в сутки;</v>
      </c>
      <c r="B10" s="454"/>
      <c r="C10" s="454"/>
      <c r="D10" s="454"/>
      <c r="J10" s="141"/>
      <c r="K10" s="141">
        <v>0.3</v>
      </c>
      <c r="L10" s="141"/>
      <c r="M10" s="141"/>
      <c r="N10" s="141"/>
    </row>
    <row r="11" spans="1:14" ht="15" customHeight="1" x14ac:dyDescent="0.3">
      <c r="A11" s="454" t="str">
        <f>"- суммарная закачка в ПХГ: "&amp;TEXT(ROUND(K11,1),"0,0")&amp;" млн куб. м в сутки;"</f>
        <v>- суммарная закачка в ПХГ: 0,3 млн куб. м в сутки;</v>
      </c>
      <c r="B11" s="454"/>
      <c r="C11" s="454"/>
      <c r="D11" s="454"/>
      <c r="K11" s="141">
        <v>0.3</v>
      </c>
    </row>
    <row r="12" spans="1:14" ht="15" customHeight="1" x14ac:dyDescent="0.3">
      <c r="A12" s="454" t="str">
        <f>"- суммарный отбор из ПХГ: "&amp;TEXT(ROUND(K12,1),"0,0")&amp;" млн куб. м в сутки."</f>
        <v>- суммарный отбор из ПХГ: 0,3 млн куб. м в сутки.</v>
      </c>
      <c r="B12" s="454"/>
      <c r="C12" s="454"/>
      <c r="D12" s="454"/>
      <c r="K12" s="141">
        <v>0.3</v>
      </c>
    </row>
    <row r="13" spans="1:14" ht="15" hidden="1" customHeight="1" outlineLevel="1" x14ac:dyDescent="0.25">
      <c r="A13" s="451" t="e">
        <f ca="1">"- суммарное сокращение номинаций: "&amp;TEXT(ROUND(OFFSET('[1]ОПЕРАТИВКА пн-пн'!K125,0,#REF!),2),"0,00")&amp;" млн куб. м в сутки."</f>
        <v>#REF!</v>
      </c>
      <c r="B13" s="451"/>
      <c r="C13" s="451"/>
      <c r="D13" s="451"/>
    </row>
    <row r="14" spans="1:14" ht="15" hidden="1" customHeight="1" outlineLevel="1" x14ac:dyDescent="0.25">
      <c r="A14" s="451" t="e">
        <f ca="1">"- из них в рамках недопоставок best-efforts: "&amp;TEXT(ROUND(OFFSET('[1]ОПЕРАТИВКА пн-пн'!K126,0,#REF!),2),"0,00")&amp;" млн куб. м в сутки."</f>
        <v>#REF!</v>
      </c>
      <c r="B14" s="451"/>
      <c r="C14" s="451"/>
      <c r="D14" s="451"/>
    </row>
    <row r="15" spans="1:14" ht="15" hidden="1" customHeight="1" outlineLevel="1" x14ac:dyDescent="0.25">
      <c r="A15" s="451" t="e">
        <f ca="1">"- из них недопоставка по твердым обязательствам: "&amp;TEXT(ROUND(OFFSET('[1]ОПЕРАТИВКА пн-пн'!K127,0,#REF!),2),"0,00")&amp;" млн куб. м в сутки."</f>
        <v>#REF!</v>
      </c>
      <c r="B15" s="451"/>
      <c r="C15" s="451"/>
      <c r="D15" s="451"/>
    </row>
    <row r="16" spans="1:14" ht="15" customHeight="1" collapsed="1" x14ac:dyDescent="0.25">
      <c r="A16" s="452" t="s">
        <v>3</v>
      </c>
      <c r="B16" s="452"/>
      <c r="C16" s="452"/>
      <c r="D16" s="452"/>
    </row>
    <row r="17" spans="1:11" ht="15" customHeight="1" x14ac:dyDescent="0.25">
      <c r="A17" s="453" t="str">
        <f>"- с начала года с учетом ГПШ и без Китая: "&amp;K17&amp;" млрд куб. м;"</f>
        <v>- с начала года с учетом ГПШ и без Китая: 155,9 млрд куб. м;</v>
      </c>
      <c r="B17" s="453"/>
      <c r="C17" s="453"/>
      <c r="D17" s="453"/>
      <c r="K17" s="482" t="str">
        <f>TEXT(баланс!C83,"0,0")</f>
        <v>155,9</v>
      </c>
    </row>
    <row r="18" spans="1:11" ht="30" customHeight="1" x14ac:dyDescent="0.25">
      <c r="A18" s="455" t="s">
        <v>192</v>
      </c>
      <c r="B18" s="455"/>
      <c r="C18" s="455"/>
      <c r="D18" s="455"/>
    </row>
    <row r="19" spans="1:11" ht="15" customHeight="1" x14ac:dyDescent="0.25">
      <c r="A19" s="443" t="str">
        <f>"- с начала года без учета ГПШ и Китая: "&amp;K19&amp;" млрд куб. м;"</f>
        <v>- с начала года без учета ГПШ и Китая: 155,5 млрд куб. м;</v>
      </c>
      <c r="B19" s="443"/>
      <c r="C19" s="443"/>
      <c r="D19" s="443"/>
      <c r="K19" s="482" t="str">
        <f>TEXT(баланс!C82,"0,0")</f>
        <v>155,5</v>
      </c>
    </row>
    <row r="20" spans="1:11" ht="15" customHeight="1" x14ac:dyDescent="0.25">
      <c r="A20" s="443" t="str">
        <f>"- с начала года с учетом ГПШ и Китая: "&amp;K20&amp;" млрд куб. м;"</f>
        <v>- с начала года с учетом ГПШ и Китая: 164,4 млрд куб. м;</v>
      </c>
      <c r="B20" s="443"/>
      <c r="C20" s="443"/>
      <c r="D20" s="443"/>
      <c r="K20" s="482" t="str">
        <f>TEXT(баланс!C84,"0,0")</f>
        <v>164,4</v>
      </c>
    </row>
    <row r="21" spans="1:11" ht="15" hidden="1" customHeight="1" outlineLevel="1" x14ac:dyDescent="0.25">
      <c r="A21" s="449" t="e">
        <f>"в т.ч. реализация газа в ПХГ: "&amp;TEXT(#REF!,"# ##0,0")&amp;"  млрд куб. м (РЕПО – "&amp;TEXT([1]баланс!B104,"# ##0,0")&amp;" млрд куб. м, др. продажи газа в ПХГ – "&amp;TEXT([1]баланс!B109,"# ##0,0")&amp;"  млрд куб. м);"</f>
        <v>#REF!</v>
      </c>
      <c r="B21" s="449"/>
      <c r="C21" s="449"/>
      <c r="D21" s="449"/>
      <c r="K21" s="482" t="str">
        <f>TEXT(баланс!C85,"0,0")</f>
        <v>0,0</v>
      </c>
    </row>
    <row r="22" spans="1:11" ht="15" hidden="1" customHeight="1" outlineLevel="1" collapsed="1" x14ac:dyDescent="0.25">
      <c r="A22" s="448" t="str">
        <f>"- с начала года суммарное сокращение номинаций: "&amp;TEXT([1]баланс!B88,"0,00")&amp;" млн куб. м в сутки."</f>
        <v>- с начала года суммарное сокращение номинаций: 0,00 млн куб. м в сутки.</v>
      </c>
      <c r="B22" s="448"/>
      <c r="C22" s="448"/>
      <c r="D22" s="448"/>
      <c r="K22" s="482" t="str">
        <f>TEXT(баланс!C86,"0,0")</f>
        <v>0,0</v>
      </c>
    </row>
    <row r="23" spans="1:11" ht="15" hidden="1" customHeight="1" outlineLevel="1" x14ac:dyDescent="0.25">
      <c r="A23" s="128" t="str">
        <f>"- из них в рамках недопоставок best-efforts: "&amp;TEXT([1]баланс!B89,"0,00")&amp;" млн куб. м в сутки."</f>
        <v>- из них в рамках недопоставок best-efforts: 0,00 млн куб. м в сутки.</v>
      </c>
      <c r="B23" s="129"/>
      <c r="C23" s="129"/>
      <c r="D23" s="129"/>
      <c r="K23" s="482" t="str">
        <f>TEXT(баланс!C87,"0,0")</f>
        <v>0,0</v>
      </c>
    </row>
    <row r="24" spans="1:11" ht="15" hidden="1" customHeight="1" outlineLevel="1" thickBot="1" x14ac:dyDescent="0.3">
      <c r="A24" s="128" t="str">
        <f>"- из них недопоставка по твердым обязательствам: "&amp;TEXT([1]баланс!B90,"0,00")&amp;" млн куб. м в сутки."</f>
        <v>- из них недопоставка по твердым обязательствам: 0,00 млн куб. м в сутки.</v>
      </c>
      <c r="B24" s="129"/>
      <c r="C24" s="129"/>
      <c r="D24" s="129"/>
      <c r="K24" s="482" t="e">
        <f>TEXT(баланс!C88,"0,0")</f>
        <v>#REF!</v>
      </c>
    </row>
    <row r="25" spans="1:11" ht="15" hidden="1" customHeight="1" collapsed="1" x14ac:dyDescent="0.25">
      <c r="A25" s="443" t="e">
        <f ca="1">IF(MONTH(#REF!)=MONTH('[1]ОПЕРАТИВКА пн-пн'!E3),"корректная надпись появляется только на границе месяцев","- с начала "&amp;OFFSET(#REF!,0,MONTH(#REF!)-2)&amp;" с учетом ГПШ: "&amp;TEXT([1]баланс!B101,"0,0")&amp;" млрд куб. м;")</f>
        <v>#REF!</v>
      </c>
      <c r="B25" s="443"/>
      <c r="C25" s="443"/>
      <c r="D25" s="443"/>
      <c r="K25" s="482" t="e">
        <f>TEXT(баланс!C89,"0,0")</f>
        <v>#REF!</v>
      </c>
    </row>
    <row r="26" spans="1:11" ht="15" hidden="1" customHeight="1" x14ac:dyDescent="0.25">
      <c r="A26" s="443" t="e">
        <f ca="1">IF(MONTH(#REF!)=MONTH('[1]ОПЕРАТИВКА пн-пн'!E3),"корректная надпись появляется только на границе месяцев","- с начала "&amp;OFFSET(#REF!,0,MONTH(#REF!)-2)&amp;" без учета ГПШ и Китая: "&amp;TEXT([1]баланс!B100,"0,0")&amp;" млрд куб. м;")</f>
        <v>#REF!</v>
      </c>
      <c r="B26" s="443"/>
      <c r="C26" s="443"/>
      <c r="D26" s="443"/>
      <c r="K26" s="482" t="str">
        <f>TEXT(баланс!C90,"0,0")</f>
        <v>0,0</v>
      </c>
    </row>
    <row r="27" spans="1:11" ht="15" hidden="1" customHeight="1" x14ac:dyDescent="0.25">
      <c r="A27" s="443" t="e">
        <f ca="1">IF(MONTH(#REF!)=MONTH('[1]ОПЕРАТИВКА пн-пн'!E3),"корректная надпись появляется только на границе месяцев","- с начала "&amp;OFFSET(#REF!,0,MONTH(#REF!)-2)&amp;" с учетом ГПШ и Китая: "&amp;TEXT([1]баланс!B102,"0,0")&amp;" млрд куб. м;")</f>
        <v>#REF!</v>
      </c>
      <c r="B27" s="443"/>
      <c r="C27" s="443"/>
      <c r="D27" s="443"/>
      <c r="K27" s="482" t="str">
        <f>TEXT(баланс!C91,"0,0")</f>
        <v>0,0</v>
      </c>
    </row>
    <row r="28" spans="1:11" ht="15" customHeight="1" x14ac:dyDescent="0.25">
      <c r="A28" s="453" t="str">
        <f>"- с начала "&amp;VLOOKUP(MONTH(L1),references!$A$2:$C$13,3,0)&amp;" с учетом ГПШ и без Китая: "&amp;TEXT(баланс!C86,"0,0")&amp;" млрд куб. м;"</f>
        <v>- с начала ноября с учетом ГПШ и без Китая: 0,0 млрд куб. м;</v>
      </c>
      <c r="B28" s="453"/>
      <c r="C28" s="453"/>
      <c r="D28" s="453"/>
      <c r="K28" s="482" t="str">
        <f>TEXT(баланс!C86,"0,0")</f>
        <v>0,0</v>
      </c>
    </row>
    <row r="29" spans="1:11" ht="29.25" customHeight="1" x14ac:dyDescent="0.25">
      <c r="A29" s="455" t="s">
        <v>192</v>
      </c>
      <c r="B29" s="455"/>
      <c r="C29" s="455"/>
      <c r="D29" s="455"/>
    </row>
    <row r="30" spans="1:11" ht="15" customHeight="1" x14ac:dyDescent="0.25">
      <c r="A30" s="443" t="str">
        <f>"- с начала "&amp;VLOOKUP(MONTH(L1),references!$A$2:$C$13,3,0)&amp;" без учета ГПШ и Китая: "&amp;K30&amp;" млрд куб. м;"</f>
        <v>- с начала ноября без учета ГПШ и Китая: 0,0 млрд куб. м;</v>
      </c>
      <c r="B30" s="443"/>
      <c r="C30" s="443"/>
      <c r="D30" s="443"/>
      <c r="K30" s="482" t="str">
        <f>TEXT(баланс!C85,"0,0")</f>
        <v>0,0</v>
      </c>
    </row>
    <row r="31" spans="1:11" ht="15" customHeight="1" x14ac:dyDescent="0.25">
      <c r="A31" s="447" t="str">
        <f>"- с начала "&amp;VLOOKUP(MONTH(L1),references!$A$2:$C$13,3,0)&amp;" с учетом ГПШ и Китая: "&amp;K31&amp;" млрд куб. м;"</f>
        <v>- с начала ноября с учетом ГПШ и Китая: 0,0 млрд куб. м;</v>
      </c>
      <c r="B31" s="447"/>
      <c r="C31" s="447"/>
      <c r="D31" s="447"/>
      <c r="K31" s="482" t="str">
        <f>TEXT(баланс!C87,"0,0")</f>
        <v>0,0</v>
      </c>
    </row>
    <row r="32" spans="1:11" ht="15" hidden="1" customHeight="1" outlineLevel="1" x14ac:dyDescent="0.25">
      <c r="A32" s="449" t="e">
        <f>"в т.ч. реализация газа в ПХГ: "&amp;TEXT(#REF!,"# ##0,00")&amp;" млрд куб. м, включая "&amp;TEXT(#REF!,"# ##0,00")&amp;" млрд куб. м (РЕПО) и "&amp;TEXT(#REF!,"# ##0,00")&amp;" млрд куб. м (продажа газа в ПХГ);"</f>
        <v>#REF!</v>
      </c>
      <c r="B32" s="449"/>
      <c r="C32" s="449"/>
      <c r="D32" s="449"/>
    </row>
    <row r="33" spans="1:4" ht="15" hidden="1" customHeight="1" outlineLevel="1" x14ac:dyDescent="0.25">
      <c r="A33" s="448" t="e">
        <f ca="1">"- с начала "&amp;OFFSET(#REF!,0,MONTH(#REF!)-1)&amp;" суммарное сокращение номинаций: "&amp;TEXT('[1]Сверка 310'!AI113/1000,"0,00")&amp;" млн куб. м в сутки."</f>
        <v>#REF!</v>
      </c>
      <c r="B33" s="448"/>
      <c r="C33" s="448"/>
      <c r="D33" s="448"/>
    </row>
    <row r="34" spans="1:4" ht="15" hidden="1" customHeight="1" outlineLevel="1" x14ac:dyDescent="0.25">
      <c r="A34" s="128" t="str">
        <f>"- из них в рамках недопоставок best-efforts: "&amp;TEXT('[1]Сверка 310'!AI114/1000,"0,00")&amp;" млн куб. м в сутки."</f>
        <v>- из них в рамках недопоставок best-efforts: 0,00 млн куб. м в сутки.</v>
      </c>
      <c r="B34" s="129"/>
      <c r="C34" s="129"/>
      <c r="D34" s="129"/>
    </row>
    <row r="35" spans="1:4" ht="15" hidden="1" customHeight="1" outlineLevel="1" x14ac:dyDescent="0.25">
      <c r="A35" s="128" t="str">
        <f>"- из них недопоставка по твердым обязательствам: "&amp;TEXT('[1]Сверка 310'!AI115/1000,"0,00")&amp;" млн куб. м в сутки."</f>
        <v>- из них недопоставка по твердым обязательствам: 0,00 млн куб. м в сутки.</v>
      </c>
      <c r="B35" s="129"/>
      <c r="C35" s="129"/>
      <c r="D35" s="129"/>
    </row>
    <row r="36" spans="1:4" ht="45" customHeight="1" collapsed="1" x14ac:dyDescent="0.25">
      <c r="A36" s="459" t="s">
        <v>193</v>
      </c>
      <c r="B36" s="459"/>
      <c r="C36" s="459"/>
      <c r="D36" s="459"/>
    </row>
    <row r="37" spans="1:4" ht="15" customHeight="1" x14ac:dyDescent="0.25">
      <c r="A37" s="457"/>
      <c r="B37" s="458"/>
      <c r="C37" s="458"/>
      <c r="D37" s="458"/>
    </row>
    <row r="38" spans="1:4" ht="15" hidden="1" customHeight="1" outlineLevel="1" x14ac:dyDescent="0.25">
      <c r="A38" s="458" t="s">
        <v>4</v>
      </c>
      <c r="B38" s="458"/>
      <c r="C38" s="458"/>
      <c r="D38" s="458"/>
    </row>
    <row r="39" spans="1:4" ht="15" customHeight="1" collapsed="1" x14ac:dyDescent="0.25">
      <c r="A39" s="130"/>
      <c r="B39" s="130"/>
      <c r="C39" s="130"/>
      <c r="D39" s="130"/>
    </row>
    <row r="40" spans="1:4" ht="15" hidden="1" customHeight="1" outlineLevel="1" x14ac:dyDescent="0.25">
      <c r="A40" s="443" t="s">
        <v>5</v>
      </c>
      <c r="B40" s="443"/>
      <c r="C40" s="443"/>
      <c r="D40" s="443"/>
    </row>
    <row r="41" spans="1:4" ht="15" customHeight="1" collapsed="1" x14ac:dyDescent="0.25">
      <c r="A41" s="443"/>
      <c r="B41" s="443"/>
      <c r="C41" s="443"/>
      <c r="D41" s="443"/>
    </row>
    <row r="42" spans="1:4" ht="15" customHeight="1" x14ac:dyDescent="0.25">
      <c r="A42" s="445" t="s">
        <v>6</v>
      </c>
      <c r="B42" s="445"/>
      <c r="C42" s="445"/>
      <c r="D42" s="445"/>
    </row>
    <row r="43" spans="1:4" ht="15" hidden="1" customHeight="1" outlineLevel="1" x14ac:dyDescent="0.25">
      <c r="A43" s="446" t="e">
        <f>"Учитывая фактические поставки с "&amp;TEXT(DATE(YEAR(#REF!),1,1),"ДД.ММ.ГГГГ")&amp;" по "&amp;TEXT((#REF!-2),"ДД.ММ.ГГГГ")&amp;" и номинации на "&amp;TEXT((#REF!-1),"ДД.ММ.ГГГГ")&amp;" и "&amp;TEXT((#REF!),"ДД.ММ.ГГГГ")&amp;", прогнозируемое "&amp;TEXT(IF([1]баланс!$R$27&gt;0,"опережение","отставание"),0)&amp;" графика согласно актуальному прогнозу распределения газа на 2020г. на "&amp;TEXT([1]баланс!$R$18,"0,0")&amp;" млрд куб. м составляет "&amp;TEXT(ABS([1]баланс!$R$27),"0,00")&amp;" млрд куб. м."</f>
        <v>#REF!</v>
      </c>
      <c r="B43" s="446"/>
      <c r="C43" s="446"/>
      <c r="D43" s="446"/>
    </row>
    <row r="44" spans="1:4" ht="78" customHeight="1" collapsed="1" x14ac:dyDescent="0.25">
      <c r="A44" s="447" t="s">
        <v>194</v>
      </c>
      <c r="B44" s="447"/>
      <c r="C44" s="447"/>
      <c r="D44" s="447"/>
    </row>
    <row r="45" spans="1:4" ht="15" customHeight="1" x14ac:dyDescent="0.25">
      <c r="A45" s="443"/>
      <c r="B45" s="443"/>
      <c r="C45" s="443"/>
      <c r="D45" s="443"/>
    </row>
    <row r="46" spans="1:4" ht="15" customHeight="1" x14ac:dyDescent="0.25">
      <c r="A46" s="444" t="e">
        <f ca="1">"Среднесуточные данные по ГИС в "&amp;OFFSET(#REF!,0,MONTH(#REF!)-1)&amp;" "&amp;#REF!&amp; "г."</f>
        <v>#REF!</v>
      </c>
      <c r="B46" s="444"/>
      <c r="C46" s="444"/>
      <c r="D46" s="444"/>
    </row>
    <row r="47" spans="1:4" ht="15" customHeight="1" x14ac:dyDescent="0.25">
      <c r="B47" s="131" t="s">
        <v>7</v>
      </c>
      <c r="C47" s="131" t="s">
        <v>8</v>
      </c>
      <c r="D47" s="132"/>
    </row>
    <row r="48" spans="1:4" ht="15" customHeight="1" x14ac:dyDescent="0.25">
      <c r="A48" s="127" t="s">
        <v>9</v>
      </c>
      <c r="B48" s="133">
        <f ca="1">'[1]Сверка 310'!AJ12</f>
        <v>58.117553714922629</v>
      </c>
      <c r="C48" s="133">
        <f ca="1">'[1]Сверка 310'!AJ15</f>
        <v>56.676736878468894</v>
      </c>
      <c r="D48" s="134" t="s">
        <v>10</v>
      </c>
    </row>
    <row r="49" spans="1:4" ht="15" customHeight="1" x14ac:dyDescent="0.25">
      <c r="A49" s="127" t="s">
        <v>11</v>
      </c>
      <c r="B49" s="133">
        <f ca="1">'[1]Сверка 310'!AJ25</f>
        <v>0</v>
      </c>
      <c r="C49" s="133">
        <f ca="1">'[1]Сверка 310'!AJ25</f>
        <v>0</v>
      </c>
      <c r="D49" s="134" t="s">
        <v>10</v>
      </c>
    </row>
    <row r="50" spans="1:4" ht="15" customHeight="1" x14ac:dyDescent="0.25">
      <c r="A50" s="127" t="s">
        <v>12</v>
      </c>
      <c r="B50" s="133">
        <f ca="1">'[1]Сверка 310'!AJ28</f>
        <v>0</v>
      </c>
      <c r="C50" s="133">
        <f ca="1">'[1]Сверка 310'!AJ31</f>
        <v>0</v>
      </c>
      <c r="D50" s="134" t="s">
        <v>10</v>
      </c>
    </row>
    <row r="51" spans="1:4" ht="15" customHeight="1" outlineLevel="1" x14ac:dyDescent="0.25">
      <c r="A51" s="127" t="s">
        <v>13</v>
      </c>
      <c r="B51" s="135"/>
      <c r="C51" s="135"/>
      <c r="D51" s="134" t="s">
        <v>10</v>
      </c>
    </row>
    <row r="52" spans="1:4" ht="15" customHeight="1" x14ac:dyDescent="0.25">
      <c r="A52" s="127" t="s">
        <v>14</v>
      </c>
      <c r="B52" s="133">
        <f ca="1">'[1]Сверка 310'!AJ37</f>
        <v>7.3410739502749385</v>
      </c>
      <c r="C52" s="133">
        <f ca="1">'[1]Сверка 310'!AJ37</f>
        <v>7.3410739502749385</v>
      </c>
      <c r="D52" s="134" t="s">
        <v>10</v>
      </c>
    </row>
    <row r="53" spans="1:4" ht="15" customHeight="1" x14ac:dyDescent="0.25">
      <c r="A53" s="127" t="s">
        <v>15</v>
      </c>
      <c r="B53" s="133">
        <f ca="1">'[1]Сверка 310'!AJ38</f>
        <v>5.6480379199999993</v>
      </c>
      <c r="C53" s="133">
        <f ca="1">'[1]Сверка 310'!AJ38</f>
        <v>5.6480379199999993</v>
      </c>
      <c r="D53" s="134" t="s">
        <v>10</v>
      </c>
    </row>
    <row r="54" spans="1:4" ht="15" customHeight="1" x14ac:dyDescent="0.25">
      <c r="A54" s="127" t="s">
        <v>16</v>
      </c>
      <c r="B54" s="133">
        <f ca="1">'[1]Сверка 310'!AJ39</f>
        <v>19.339869749998485</v>
      </c>
      <c r="C54" s="133">
        <f ca="1">'[1]Сверка 310'!AJ42</f>
        <v>18.590607161199774</v>
      </c>
      <c r="D54" s="134" t="s">
        <v>10</v>
      </c>
    </row>
    <row r="55" spans="1:4" ht="15" customHeight="1" x14ac:dyDescent="0.25">
      <c r="A55" s="127" t="s">
        <v>17</v>
      </c>
      <c r="B55" s="133">
        <f ca="1">'[1]Сверка 310'!AJ57</f>
        <v>1.8085834000000001</v>
      </c>
      <c r="C55" s="133">
        <f ca="1">'[1]Сверка 310'!AJ57</f>
        <v>1.8085834000000001</v>
      </c>
      <c r="D55" s="134" t="s">
        <v>10</v>
      </c>
    </row>
    <row r="56" spans="1:4" ht="15" customHeight="1" x14ac:dyDescent="0.25">
      <c r="A56" s="127" t="s">
        <v>18</v>
      </c>
      <c r="B56" s="133">
        <f ca="1">'[1]Сверка 310'!AJ58</f>
        <v>26.347821080000003</v>
      </c>
      <c r="C56" s="133">
        <f ca="1">'[1]Сверка 310'!AJ58</f>
        <v>26.347821080000003</v>
      </c>
      <c r="D56" s="134" t="s">
        <v>10</v>
      </c>
    </row>
    <row r="57" spans="1:4" ht="15" customHeight="1" x14ac:dyDescent="0.25">
      <c r="A57" s="127" t="s">
        <v>19</v>
      </c>
      <c r="B57" s="133">
        <f ca="1">'[1]Сверка 310'!AJ59</f>
        <v>41.468508918554036</v>
      </c>
      <c r="C57" s="133">
        <f ca="1">'[1]Сверка 310'!AJ63</f>
        <v>42.141795518554027</v>
      </c>
      <c r="D57" s="134" t="s">
        <v>10</v>
      </c>
    </row>
    <row r="58" spans="1:4" ht="15" customHeight="1" x14ac:dyDescent="0.25">
      <c r="A58" s="127" t="s">
        <v>20</v>
      </c>
      <c r="B58" s="133">
        <f ca="1">'[1]Сверка 310'!AJ77</f>
        <v>127.2239917631186</v>
      </c>
      <c r="C58" s="133">
        <f ca="1">'[1]Сверка 310'!AJ80</f>
        <v>121.73027485243615</v>
      </c>
      <c r="D58" s="134" t="s">
        <v>10</v>
      </c>
    </row>
    <row r="59" spans="1:4" ht="15" customHeight="1" outlineLevel="1" x14ac:dyDescent="0.25">
      <c r="A59" s="127" t="s">
        <v>21</v>
      </c>
      <c r="B59" s="133">
        <f ca="1">'[1]Сверка 310'!AJ93</f>
        <v>0</v>
      </c>
      <c r="C59" s="133">
        <f ca="1">'[1]Сверка 310'!AJ97</f>
        <v>0</v>
      </c>
      <c r="D59" s="136" t="s">
        <v>10</v>
      </c>
    </row>
    <row r="60" spans="1:4" ht="15" customHeight="1" x14ac:dyDescent="0.25">
      <c r="A60" s="125" t="s">
        <v>22</v>
      </c>
      <c r="B60" s="137"/>
      <c r="C60" s="137">
        <f ca="1">SUM(C48:C59)</f>
        <v>280.28493076093378</v>
      </c>
      <c r="D60" s="138" t="s">
        <v>10</v>
      </c>
    </row>
    <row r="61" spans="1:4" ht="15" customHeight="1" x14ac:dyDescent="0.25">
      <c r="A61" s="125"/>
      <c r="B61" s="137"/>
      <c r="C61" s="137"/>
      <c r="D61" s="138"/>
    </row>
    <row r="62" spans="1:4" ht="15" customHeight="1" x14ac:dyDescent="0.25">
      <c r="A62" s="444" t="e">
        <f ca="1">"Среднесуточные данные по ГИС в "&amp;OFFSET(#REF!,0,MONTH(#REF!)-2)&amp;" "&amp;#REF!&amp; "г."</f>
        <v>#REF!</v>
      </c>
      <c r="B62" s="444"/>
      <c r="C62" s="444"/>
      <c r="D62" s="444"/>
    </row>
    <row r="63" spans="1:4" ht="15" customHeight="1" x14ac:dyDescent="0.25">
      <c r="A63" s="126"/>
      <c r="B63" s="131" t="s">
        <v>7</v>
      </c>
      <c r="C63" s="131" t="s">
        <v>8</v>
      </c>
      <c r="D63" s="132"/>
    </row>
    <row r="64" spans="1:4" ht="15" customHeight="1" x14ac:dyDescent="0.25">
      <c r="A64" s="126" t="s">
        <v>9</v>
      </c>
      <c r="B64" s="133">
        <f>'[1]Сверка 310 пред.мес.'!AJ12</f>
        <v>68.32402559302669</v>
      </c>
      <c r="C64" s="133">
        <f>'[1]Сверка 310 пред.мес.'!AJ15</f>
        <v>68.32402559302669</v>
      </c>
      <c r="D64" s="136" t="s">
        <v>10</v>
      </c>
    </row>
    <row r="65" spans="1:4" ht="15" customHeight="1" x14ac:dyDescent="0.25">
      <c r="A65" s="126" t="s">
        <v>11</v>
      </c>
      <c r="B65" s="133">
        <f>'[1]Сверка 310 пред.мес.'!AJ25</f>
        <v>0</v>
      </c>
      <c r="C65" s="133">
        <f>'[1]Сверка 310 пред.мес.'!AJ25</f>
        <v>0</v>
      </c>
      <c r="D65" s="136" t="s">
        <v>10</v>
      </c>
    </row>
    <row r="66" spans="1:4" ht="15" customHeight="1" outlineLevel="1" x14ac:dyDescent="0.25">
      <c r="A66" s="126" t="s">
        <v>12</v>
      </c>
      <c r="B66" s="133">
        <f>'[1]Сверка 310 пред.мес.'!AJ28</f>
        <v>0</v>
      </c>
      <c r="C66" s="133">
        <f>'[1]Сверка 310 пред.мес.'!AJ31</f>
        <v>0</v>
      </c>
      <c r="D66" s="136" t="s">
        <v>10</v>
      </c>
    </row>
    <row r="67" spans="1:4" ht="15" customHeight="1" x14ac:dyDescent="0.25">
      <c r="A67" s="126" t="s">
        <v>13</v>
      </c>
      <c r="B67" s="126"/>
      <c r="C67" s="133"/>
      <c r="D67" s="136" t="s">
        <v>10</v>
      </c>
    </row>
    <row r="68" spans="1:4" ht="15" customHeight="1" x14ac:dyDescent="0.25">
      <c r="A68" s="126" t="s">
        <v>14</v>
      </c>
      <c r="B68" s="133">
        <f>'[1]Сверка 310 пред.мес.'!AJ37</f>
        <v>11.038580763503848</v>
      </c>
      <c r="C68" s="133">
        <f>'[1]Сверка 310 пред.мес.'!AJ37</f>
        <v>11.038580763503848</v>
      </c>
      <c r="D68" s="136" t="s">
        <v>10</v>
      </c>
    </row>
    <row r="69" spans="1:4" ht="15" customHeight="1" x14ac:dyDescent="0.25">
      <c r="A69" s="126" t="s">
        <v>15</v>
      </c>
      <c r="B69" s="133">
        <f>'[1]Сверка 310 пред.мес.'!AJ38</f>
        <v>10.086305290322581</v>
      </c>
      <c r="C69" s="133">
        <f>'[1]Сверка 310 пред.мес.'!AJ38</f>
        <v>10.086305290322581</v>
      </c>
      <c r="D69" s="136" t="s">
        <v>10</v>
      </c>
    </row>
    <row r="70" spans="1:4" ht="15" customHeight="1" x14ac:dyDescent="0.25">
      <c r="A70" s="126" t="s">
        <v>16</v>
      </c>
      <c r="B70" s="133">
        <f>'[1]Сверка 310 пред.мес.'!AJ39</f>
        <v>29.119566428239565</v>
      </c>
      <c r="C70" s="133">
        <f>'[1]Сверка 310 пред.мес.'!AJ42</f>
        <v>29.119566428239565</v>
      </c>
      <c r="D70" s="136" t="s">
        <v>10</v>
      </c>
    </row>
    <row r="71" spans="1:4" ht="15" customHeight="1" x14ac:dyDescent="0.25">
      <c r="A71" s="126" t="s">
        <v>17</v>
      </c>
      <c r="B71" s="133">
        <f>'[1]Сверка 310 пред.мес.'!AJ57</f>
        <v>3.2972494516129034</v>
      </c>
      <c r="C71" s="133">
        <f>'[1]Сверка 310 пред.мес.'!AJ57</f>
        <v>3.2972494516129034</v>
      </c>
      <c r="D71" s="136" t="s">
        <v>10</v>
      </c>
    </row>
    <row r="72" spans="1:4" ht="15" customHeight="1" x14ac:dyDescent="0.25">
      <c r="A72" s="126" t="s">
        <v>18</v>
      </c>
      <c r="B72" s="133">
        <f>'[1]Сверка 310 пред.мес.'!AJ58</f>
        <v>40.432431096774202</v>
      </c>
      <c r="C72" s="133">
        <f>'[1]Сверка 310 пред.мес.'!AJ58</f>
        <v>40.432431096774202</v>
      </c>
      <c r="D72" s="136" t="s">
        <v>10</v>
      </c>
    </row>
    <row r="73" spans="1:4" ht="15" customHeight="1" x14ac:dyDescent="0.25">
      <c r="A73" s="126" t="s">
        <v>19</v>
      </c>
      <c r="B73" s="133">
        <f>'[1]Сверка 310 пред.мес.'!AJ59</f>
        <v>60.633986392904866</v>
      </c>
      <c r="C73" s="133">
        <f>'[1]Сверка 310 пред.мес.'!AJ63</f>
        <v>59.546522167098423</v>
      </c>
      <c r="D73" s="136" t="s">
        <v>10</v>
      </c>
    </row>
    <row r="74" spans="1:4" ht="15" customHeight="1" x14ac:dyDescent="0.25">
      <c r="A74" s="126" t="s">
        <v>20</v>
      </c>
      <c r="B74" s="133">
        <f>'[1]Сверка 310 пред.мес.'!AJ77</f>
        <v>167.36073375732698</v>
      </c>
      <c r="C74" s="133">
        <f>'[1]Сверка 310 пред.мес.'!AJ80</f>
        <v>167.36073375732698</v>
      </c>
      <c r="D74" s="136" t="s">
        <v>10</v>
      </c>
    </row>
    <row r="75" spans="1:4" ht="15" customHeight="1" outlineLevel="1" x14ac:dyDescent="0.25">
      <c r="A75" s="127" t="s">
        <v>21</v>
      </c>
      <c r="B75" s="133">
        <f>'[1]Сверка 310 пред.мес.'!AJ93</f>
        <v>5.7450607096774196</v>
      </c>
      <c r="C75" s="133">
        <f>'[1]Сверка 310 пред.мес.'!AJ97</f>
        <v>2.0864605161290326</v>
      </c>
      <c r="D75" s="136" t="s">
        <v>10</v>
      </c>
    </row>
    <row r="76" spans="1:4" ht="15" customHeight="1" x14ac:dyDescent="0.25">
      <c r="A76" s="139" t="s">
        <v>22</v>
      </c>
      <c r="B76" s="137"/>
      <c r="C76" s="137">
        <f>SUM(C64:C75)</f>
        <v>391.29187506403423</v>
      </c>
      <c r="D76" s="140" t="s">
        <v>10</v>
      </c>
    </row>
  </sheetData>
  <mergeCells count="41">
    <mergeCell ref="A38:D38"/>
    <mergeCell ref="A33:D33"/>
    <mergeCell ref="A1:D1"/>
    <mergeCell ref="A25:D25"/>
    <mergeCell ref="A26:D26"/>
    <mergeCell ref="A27:D27"/>
    <mergeCell ref="A9:D9"/>
    <mergeCell ref="A8:D8"/>
    <mergeCell ref="A6:D6"/>
    <mergeCell ref="A5:D5"/>
    <mergeCell ref="A4:D4"/>
    <mergeCell ref="A2:B2"/>
    <mergeCell ref="A37:D37"/>
    <mergeCell ref="A29:D29"/>
    <mergeCell ref="A30:D30"/>
    <mergeCell ref="A31:D31"/>
    <mergeCell ref="A32:D32"/>
    <mergeCell ref="A36:D36"/>
    <mergeCell ref="A28:D28"/>
    <mergeCell ref="A22:D22"/>
    <mergeCell ref="A21:D21"/>
    <mergeCell ref="A20:D20"/>
    <mergeCell ref="A7:D7"/>
    <mergeCell ref="A14:D14"/>
    <mergeCell ref="A15:D15"/>
    <mergeCell ref="A16:D16"/>
    <mergeCell ref="A17:D17"/>
    <mergeCell ref="A13:D13"/>
    <mergeCell ref="A12:D12"/>
    <mergeCell ref="A11:D11"/>
    <mergeCell ref="A10:D10"/>
    <mergeCell ref="A18:D18"/>
    <mergeCell ref="A19:D19"/>
    <mergeCell ref="A45:D45"/>
    <mergeCell ref="A46:D46"/>
    <mergeCell ref="A62:D62"/>
    <mergeCell ref="A40:D40"/>
    <mergeCell ref="A41:D41"/>
    <mergeCell ref="A42:D42"/>
    <mergeCell ref="A43:D43"/>
    <mergeCell ref="A44:D44"/>
  </mergeCells>
  <pageMargins left="0.70866141732283472" right="0.70866141732283472" top="0.74803149606299213" bottom="0.74803149606299213" header="0.31496062992125984" footer="0.31496062992125984"/>
  <pageSetup fitToHeight="5" orientation="portrait" r:id="rId1"/>
  <rowBreaks count="1" manualBreakCount="1">
    <brk id="45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B115"/>
  <sheetViews>
    <sheetView workbookViewId="0">
      <selection activeCell="Y8" sqref="Y8"/>
    </sheetView>
  </sheetViews>
  <sheetFormatPr defaultRowHeight="15" outlineLevelRow="1" outlineLevelCol="1" x14ac:dyDescent="0.25"/>
  <cols>
    <col min="1" max="1" width="35" customWidth="1"/>
    <col min="2" max="2" width="8" customWidth="1" outlineLevel="1"/>
    <col min="3" max="28" width="8" customWidth="1"/>
  </cols>
  <sheetData>
    <row r="1" spans="1:28" ht="12" customHeight="1" x14ac:dyDescent="0.25">
      <c r="A1" s="106"/>
      <c r="B1" s="464" t="s">
        <v>23</v>
      </c>
      <c r="C1" s="464" t="s">
        <v>24</v>
      </c>
      <c r="D1" s="462" t="s">
        <v>0</v>
      </c>
      <c r="E1" s="462"/>
      <c r="F1" s="462"/>
      <c r="G1" s="462"/>
      <c r="H1" s="462"/>
      <c r="I1" s="462" t="s">
        <v>25</v>
      </c>
      <c r="J1" s="462"/>
      <c r="K1" s="462"/>
      <c r="L1" s="462"/>
      <c r="M1" s="462"/>
      <c r="N1" s="462" t="s">
        <v>26</v>
      </c>
      <c r="O1" s="462"/>
      <c r="P1" s="462"/>
      <c r="Q1" s="462"/>
      <c r="R1" s="462"/>
      <c r="S1" s="462" t="s">
        <v>27</v>
      </c>
      <c r="T1" s="462"/>
      <c r="U1" s="462"/>
      <c r="V1" s="462"/>
      <c r="W1" s="462"/>
      <c r="X1" s="462" t="s">
        <v>1</v>
      </c>
      <c r="Y1" s="462"/>
      <c r="Z1" s="462"/>
      <c r="AA1" s="462"/>
      <c r="AB1" s="462"/>
    </row>
    <row r="2" spans="1:28" ht="12" customHeight="1" x14ac:dyDescent="0.25">
      <c r="A2" s="106"/>
      <c r="B2" s="464"/>
      <c r="C2" s="464"/>
      <c r="D2" s="463">
        <v>44515</v>
      </c>
      <c r="E2" s="463"/>
      <c r="F2" s="463"/>
      <c r="G2" s="463"/>
      <c r="H2" s="463"/>
      <c r="I2" s="463">
        <v>44516</v>
      </c>
      <c r="J2" s="463"/>
      <c r="K2" s="463"/>
      <c r="L2" s="463"/>
      <c r="M2" s="463"/>
      <c r="N2" s="463">
        <v>44517</v>
      </c>
      <c r="O2" s="463"/>
      <c r="P2" s="463"/>
      <c r="Q2" s="463"/>
      <c r="R2" s="463"/>
      <c r="S2" s="463">
        <v>44518</v>
      </c>
      <c r="T2" s="463"/>
      <c r="U2" s="463"/>
      <c r="V2" s="463"/>
      <c r="W2" s="463"/>
      <c r="X2" s="463">
        <v>44519</v>
      </c>
      <c r="Y2" s="463"/>
      <c r="Z2" s="463"/>
      <c r="AA2" s="463"/>
      <c r="AB2" s="463"/>
    </row>
    <row r="3" spans="1:28" s="105" customFormat="1" ht="24" customHeight="1" x14ac:dyDescent="0.25">
      <c r="A3" s="107"/>
      <c r="B3" s="108" t="s">
        <v>28</v>
      </c>
      <c r="C3" s="108" t="s">
        <v>28</v>
      </c>
      <c r="D3" s="109" t="s">
        <v>29</v>
      </c>
      <c r="E3" s="109" t="s">
        <v>30</v>
      </c>
      <c r="F3" s="109" t="s">
        <v>31</v>
      </c>
      <c r="G3" s="110" t="s">
        <v>32</v>
      </c>
      <c r="H3" s="109" t="s">
        <v>33</v>
      </c>
      <c r="I3" s="109" t="s">
        <v>29</v>
      </c>
      <c r="J3" s="109" t="s">
        <v>30</v>
      </c>
      <c r="K3" s="109" t="s">
        <v>31</v>
      </c>
      <c r="L3" s="110" t="s">
        <v>32</v>
      </c>
      <c r="M3" s="109" t="s">
        <v>33</v>
      </c>
      <c r="N3" s="109" t="s">
        <v>29</v>
      </c>
      <c r="O3" s="109" t="s">
        <v>30</v>
      </c>
      <c r="P3" s="109" t="s">
        <v>31</v>
      </c>
      <c r="Q3" s="110" t="s">
        <v>32</v>
      </c>
      <c r="R3" s="109" t="s">
        <v>33</v>
      </c>
      <c r="S3" s="109" t="s">
        <v>29</v>
      </c>
      <c r="T3" s="109" t="s">
        <v>30</v>
      </c>
      <c r="U3" s="109" t="s">
        <v>31</v>
      </c>
      <c r="V3" s="110" t="s">
        <v>32</v>
      </c>
      <c r="W3" s="109" t="s">
        <v>33</v>
      </c>
      <c r="X3" s="109" t="s">
        <v>29</v>
      </c>
      <c r="Y3" s="109" t="s">
        <v>30</v>
      </c>
      <c r="Z3" s="109" t="s">
        <v>31</v>
      </c>
      <c r="AA3" s="110" t="s">
        <v>32</v>
      </c>
      <c r="AB3" s="109" t="s">
        <v>33</v>
      </c>
    </row>
    <row r="4" spans="1:28" ht="12" customHeight="1" x14ac:dyDescent="0.25">
      <c r="A4" s="111" t="s">
        <v>34</v>
      </c>
      <c r="B4" s="112"/>
      <c r="C4" s="112"/>
      <c r="D4" s="113">
        <v>413.26029999999997</v>
      </c>
      <c r="E4" s="113">
        <v>405.16890000000001</v>
      </c>
      <c r="F4" s="113">
        <v>407.89569999999998</v>
      </c>
      <c r="G4" s="113">
        <v>407.68650000000002</v>
      </c>
      <c r="H4" s="112">
        <v>0</v>
      </c>
      <c r="I4" s="113">
        <v>425.86450000000002</v>
      </c>
      <c r="J4" s="113">
        <v>417.77719999999999</v>
      </c>
      <c r="K4" s="113">
        <v>422.34589999999997</v>
      </c>
      <c r="L4" s="113">
        <v>422.72390000000001</v>
      </c>
      <c r="M4" s="112">
        <v>0</v>
      </c>
      <c r="N4" s="113">
        <v>431.37</v>
      </c>
      <c r="O4" s="113">
        <v>423.28410000000002</v>
      </c>
      <c r="P4" s="113">
        <v>424.07510000000002</v>
      </c>
      <c r="Q4" s="113">
        <v>424.44650000000001</v>
      </c>
      <c r="R4" s="112">
        <v>0</v>
      </c>
      <c r="S4" s="113">
        <v>435.87950000000001</v>
      </c>
      <c r="T4" s="113">
        <v>427.73289999999997</v>
      </c>
      <c r="U4" s="113">
        <v>434.91660000000002</v>
      </c>
      <c r="V4" s="113">
        <v>434.91800000000001</v>
      </c>
      <c r="W4" s="112">
        <v>0</v>
      </c>
      <c r="X4" s="113">
        <v>438.19499999999999</v>
      </c>
      <c r="Y4" s="113">
        <v>430.02120000000002</v>
      </c>
      <c r="Z4" s="113">
        <v>430.38749999999999</v>
      </c>
      <c r="AA4" s="113">
        <v>430.08749999999998</v>
      </c>
      <c r="AB4" s="112">
        <v>0</v>
      </c>
    </row>
    <row r="5" spans="1:28" ht="12" customHeight="1" x14ac:dyDescent="0.25">
      <c r="A5" s="114" t="s">
        <v>35</v>
      </c>
      <c r="B5" s="112"/>
      <c r="C5" s="112"/>
      <c r="D5" s="115">
        <v>15.193899999999999</v>
      </c>
      <c r="E5" s="115">
        <v>15.193899999999999</v>
      </c>
      <c r="F5" s="116">
        <v>15.001300000000001</v>
      </c>
      <c r="G5" s="117">
        <v>15.001300000000001</v>
      </c>
      <c r="H5" s="112">
        <v>0</v>
      </c>
      <c r="I5" s="115">
        <v>11.8558</v>
      </c>
      <c r="J5" s="115">
        <v>11.8558</v>
      </c>
      <c r="K5" s="116">
        <v>11.766999999999999</v>
      </c>
      <c r="L5" s="117">
        <v>11.766999999999999</v>
      </c>
      <c r="M5" s="112">
        <v>0</v>
      </c>
      <c r="N5" s="115">
        <v>12.0083</v>
      </c>
      <c r="O5" s="115">
        <v>12.0083</v>
      </c>
      <c r="P5" s="116">
        <v>10.1974</v>
      </c>
      <c r="Q5" s="117">
        <v>10.1974</v>
      </c>
      <c r="R5" s="112">
        <v>0</v>
      </c>
      <c r="S5" s="115">
        <v>7.9617000000000004</v>
      </c>
      <c r="T5" s="115">
        <v>7.9617000000000004</v>
      </c>
      <c r="U5" s="116">
        <v>7.5903</v>
      </c>
      <c r="V5" s="117">
        <v>7.5903</v>
      </c>
      <c r="W5" s="112">
        <v>0</v>
      </c>
      <c r="X5" s="115">
        <v>7.9635999999999996</v>
      </c>
      <c r="Y5" s="115">
        <v>7.9635999999999996</v>
      </c>
      <c r="Z5" s="116">
        <v>8.2003000000000004</v>
      </c>
      <c r="AA5" s="117">
        <v>8.2003000000000004</v>
      </c>
      <c r="AB5" s="112">
        <v>0</v>
      </c>
    </row>
    <row r="6" spans="1:28" ht="12" customHeight="1" x14ac:dyDescent="0.25">
      <c r="A6" s="114" t="s">
        <v>36</v>
      </c>
      <c r="B6" s="112"/>
      <c r="C6" s="112"/>
      <c r="D6" s="115">
        <v>108.488</v>
      </c>
      <c r="E6" s="115">
        <v>108.488</v>
      </c>
      <c r="F6" s="116">
        <v>109.9487</v>
      </c>
      <c r="G6" s="117">
        <v>109.9487</v>
      </c>
      <c r="H6" s="112">
        <v>0</v>
      </c>
      <c r="I6" s="115">
        <v>106.6615</v>
      </c>
      <c r="J6" s="115">
        <v>106.6615</v>
      </c>
      <c r="K6" s="116">
        <v>109.4372</v>
      </c>
      <c r="L6" s="117">
        <v>109.4372</v>
      </c>
      <c r="M6" s="112">
        <v>0</v>
      </c>
      <c r="N6" s="115">
        <v>109.33110000000001</v>
      </c>
      <c r="O6" s="115">
        <v>109.33110000000001</v>
      </c>
      <c r="P6" s="116">
        <v>108.8019</v>
      </c>
      <c r="Q6" s="117">
        <v>108.8019</v>
      </c>
      <c r="R6" s="112">
        <v>0</v>
      </c>
      <c r="S6" s="115">
        <v>106.7401</v>
      </c>
      <c r="T6" s="115">
        <v>106.7401</v>
      </c>
      <c r="U6" s="116">
        <v>109.3984</v>
      </c>
      <c r="V6" s="117">
        <v>109.3984</v>
      </c>
      <c r="W6" s="112">
        <v>0</v>
      </c>
      <c r="X6" s="115">
        <v>109.5157</v>
      </c>
      <c r="Y6" s="115">
        <v>109.5157</v>
      </c>
      <c r="Z6" s="116">
        <v>109.65860000000001</v>
      </c>
      <c r="AA6" s="117">
        <v>109.65860000000001</v>
      </c>
      <c r="AB6" s="112">
        <v>0</v>
      </c>
    </row>
    <row r="7" spans="1:28" ht="12" customHeight="1" x14ac:dyDescent="0.25">
      <c r="A7" s="114" t="s">
        <v>37</v>
      </c>
      <c r="B7" s="112"/>
      <c r="C7" s="112"/>
      <c r="D7" s="115">
        <v>11.1165</v>
      </c>
      <c r="E7" s="115">
        <v>11.1165</v>
      </c>
      <c r="F7" s="116">
        <v>11.117000000000001</v>
      </c>
      <c r="G7" s="117">
        <v>11.117000000000001</v>
      </c>
      <c r="H7" s="112">
        <v>0</v>
      </c>
      <c r="I7" s="115">
        <v>11.1219</v>
      </c>
      <c r="J7" s="115">
        <v>11.1219</v>
      </c>
      <c r="K7" s="116">
        <v>11.1225</v>
      </c>
      <c r="L7" s="117">
        <v>11.1225</v>
      </c>
      <c r="M7" s="112">
        <v>0</v>
      </c>
      <c r="N7" s="115">
        <v>11.1289</v>
      </c>
      <c r="O7" s="115">
        <v>11.1289</v>
      </c>
      <c r="P7" s="116">
        <v>11.1288</v>
      </c>
      <c r="Q7" s="117">
        <v>11.1288</v>
      </c>
      <c r="R7" s="112">
        <v>0</v>
      </c>
      <c r="S7" s="115">
        <v>11.126799999999999</v>
      </c>
      <c r="T7" s="115">
        <v>11.126799999999999</v>
      </c>
      <c r="U7" s="116">
        <v>11.1265</v>
      </c>
      <c r="V7" s="117">
        <v>11.1265</v>
      </c>
      <c r="W7" s="112">
        <v>0</v>
      </c>
      <c r="X7" s="115">
        <v>11.123200000000001</v>
      </c>
      <c r="Y7" s="115">
        <v>11.123200000000001</v>
      </c>
      <c r="Z7" s="116">
        <v>11.123799999999999</v>
      </c>
      <c r="AA7" s="117">
        <v>11.123799999999999</v>
      </c>
      <c r="AB7" s="112">
        <v>0</v>
      </c>
    </row>
    <row r="8" spans="1:28" ht="12" customHeight="1" x14ac:dyDescent="0.25">
      <c r="A8" s="118" t="s">
        <v>38</v>
      </c>
      <c r="B8" s="112"/>
      <c r="C8" s="112"/>
      <c r="D8" s="119">
        <v>398.06639999999999</v>
      </c>
      <c r="E8" s="119">
        <v>389.97489999999999</v>
      </c>
      <c r="F8" s="119">
        <v>392.89440000000002</v>
      </c>
      <c r="G8" s="119">
        <v>392.68520000000001</v>
      </c>
      <c r="H8" s="112">
        <v>0</v>
      </c>
      <c r="I8" s="119">
        <v>413.86279999999999</v>
      </c>
      <c r="J8" s="119">
        <v>405.77550000000002</v>
      </c>
      <c r="K8" s="119">
        <v>410.42840000000001</v>
      </c>
      <c r="L8" s="119">
        <v>410.80630000000002</v>
      </c>
      <c r="M8" s="112">
        <v>0</v>
      </c>
      <c r="N8" s="119">
        <v>419.22030000000001</v>
      </c>
      <c r="O8" s="119">
        <v>411.1343</v>
      </c>
      <c r="P8" s="119">
        <v>413.7362</v>
      </c>
      <c r="Q8" s="119">
        <v>414.10759999999999</v>
      </c>
      <c r="R8" s="112">
        <v>0</v>
      </c>
      <c r="S8" s="119">
        <v>427.7876</v>
      </c>
      <c r="T8" s="119">
        <v>419.64100000000002</v>
      </c>
      <c r="U8" s="119">
        <v>427.1961</v>
      </c>
      <c r="V8" s="119">
        <v>427.19749999999999</v>
      </c>
      <c r="W8" s="112">
        <v>0</v>
      </c>
      <c r="X8" s="119">
        <v>430.10629999999998</v>
      </c>
      <c r="Y8" s="119">
        <v>421.9325</v>
      </c>
      <c r="Z8" s="119">
        <v>422.06209999999999</v>
      </c>
      <c r="AA8" s="119">
        <v>421.76220000000001</v>
      </c>
      <c r="AB8" s="112">
        <v>0</v>
      </c>
    </row>
    <row r="9" spans="1:28" ht="12" customHeight="1" x14ac:dyDescent="0.25">
      <c r="A9" s="118" t="s">
        <v>39</v>
      </c>
      <c r="B9" s="120">
        <v>509.2201</v>
      </c>
      <c r="C9" s="120">
        <v>484.5754</v>
      </c>
      <c r="D9" s="119">
        <v>396.49</v>
      </c>
      <c r="E9" s="119">
        <v>388.39850000000001</v>
      </c>
      <c r="F9" s="119">
        <v>391.31790000000001</v>
      </c>
      <c r="G9" s="119">
        <v>391.12630000000001</v>
      </c>
      <c r="H9" s="115">
        <f>G9-C9</f>
        <v>-93.449099999999987</v>
      </c>
      <c r="I9" s="119">
        <v>412.27229999999997</v>
      </c>
      <c r="J9" s="119">
        <v>404.185</v>
      </c>
      <c r="K9" s="119">
        <v>408.83789999999999</v>
      </c>
      <c r="L9" s="119">
        <v>409.26519999999999</v>
      </c>
      <c r="M9" s="115">
        <f>L9-C9</f>
        <v>-75.310200000000009</v>
      </c>
      <c r="N9" s="119">
        <v>417.62279999999998</v>
      </c>
      <c r="O9" s="119">
        <v>409.5369</v>
      </c>
      <c r="P9" s="119">
        <v>412.1388</v>
      </c>
      <c r="Q9" s="119">
        <v>412.5634</v>
      </c>
      <c r="R9" s="115">
        <f>Q9-C9</f>
        <v>-72.012</v>
      </c>
      <c r="S9" s="119">
        <v>426.21730000000002</v>
      </c>
      <c r="T9" s="119">
        <v>418.07060000000001</v>
      </c>
      <c r="U9" s="119">
        <v>425.62580000000003</v>
      </c>
      <c r="V9" s="119">
        <v>425.65350000000001</v>
      </c>
      <c r="W9" s="115">
        <f>V9-C9</f>
        <v>-58.921899999999994</v>
      </c>
      <c r="X9" s="119">
        <v>428.65260000000001</v>
      </c>
      <c r="Y9" s="119">
        <v>420.47879999999998</v>
      </c>
      <c r="Z9" s="119">
        <v>420.60840000000002</v>
      </c>
      <c r="AA9" s="119">
        <v>420.33260000000001</v>
      </c>
      <c r="AB9" s="115">
        <f>AA9-C9</f>
        <v>-64.242799999999988</v>
      </c>
    </row>
    <row r="10" spans="1:28" ht="12" customHeight="1" x14ac:dyDescent="0.25">
      <c r="A10" s="114" t="s">
        <v>40</v>
      </c>
      <c r="B10" s="112"/>
      <c r="C10" s="112"/>
      <c r="D10" s="115"/>
      <c r="E10" s="115"/>
      <c r="F10" s="116"/>
      <c r="G10" s="117"/>
      <c r="H10" s="112">
        <v>0</v>
      </c>
      <c r="I10" s="115"/>
      <c r="J10" s="115"/>
      <c r="K10" s="116"/>
      <c r="L10" s="117"/>
      <c r="M10" s="112">
        <v>0</v>
      </c>
      <c r="N10" s="115"/>
      <c r="O10" s="115"/>
      <c r="P10" s="116"/>
      <c r="Q10" s="117"/>
      <c r="R10" s="112">
        <v>0</v>
      </c>
      <c r="S10" s="115"/>
      <c r="T10" s="115"/>
      <c r="U10" s="116"/>
      <c r="V10" s="117"/>
      <c r="W10" s="112">
        <v>0</v>
      </c>
      <c r="X10" s="115"/>
      <c r="Y10" s="115"/>
      <c r="Z10" s="116"/>
      <c r="AA10" s="117"/>
      <c r="AB10" s="112">
        <v>0</v>
      </c>
    </row>
    <row r="11" spans="1:28" ht="12" customHeight="1" x14ac:dyDescent="0.25">
      <c r="A11" s="114" t="s">
        <v>41</v>
      </c>
      <c r="B11" s="112"/>
      <c r="C11" s="112"/>
      <c r="D11" s="115">
        <v>0</v>
      </c>
      <c r="E11" s="115">
        <v>0</v>
      </c>
      <c r="F11" s="116">
        <v>0</v>
      </c>
      <c r="G11" s="117">
        <v>0</v>
      </c>
      <c r="H11" s="112">
        <v>0</v>
      </c>
      <c r="I11" s="115">
        <v>0</v>
      </c>
      <c r="J11" s="115">
        <v>0</v>
      </c>
      <c r="K11" s="116">
        <v>0</v>
      </c>
      <c r="L11" s="117">
        <v>0</v>
      </c>
      <c r="M11" s="112">
        <v>0</v>
      </c>
      <c r="N11" s="115">
        <v>0</v>
      </c>
      <c r="O11" s="115">
        <v>0</v>
      </c>
      <c r="P11" s="116">
        <v>0</v>
      </c>
      <c r="Q11" s="117">
        <v>0</v>
      </c>
      <c r="R11" s="112">
        <v>0</v>
      </c>
      <c r="S11" s="115">
        <v>0</v>
      </c>
      <c r="T11" s="115">
        <v>0</v>
      </c>
      <c r="U11" s="116">
        <v>0</v>
      </c>
      <c r="V11" s="117">
        <v>0</v>
      </c>
      <c r="W11" s="112">
        <v>0</v>
      </c>
      <c r="X11" s="115">
        <v>0</v>
      </c>
      <c r="Y11" s="115">
        <v>0</v>
      </c>
      <c r="Z11" s="116">
        <v>0</v>
      </c>
      <c r="AA11" s="117">
        <v>0</v>
      </c>
      <c r="AB11" s="112">
        <v>0</v>
      </c>
    </row>
    <row r="12" spans="1:28" ht="12" customHeight="1" x14ac:dyDescent="0.25">
      <c r="A12" s="121" t="s">
        <v>42</v>
      </c>
      <c r="B12" s="120">
        <v>8.8386999999999993</v>
      </c>
      <c r="C12" s="120">
        <v>8.8332999999999995</v>
      </c>
      <c r="D12" s="119">
        <v>9.9245000000000001</v>
      </c>
      <c r="E12" s="119">
        <v>9.9245000000000001</v>
      </c>
      <c r="F12" s="119">
        <v>9.9251000000000005</v>
      </c>
      <c r="G12" s="119">
        <v>9.9251000000000005</v>
      </c>
      <c r="H12" s="115">
        <f>G12 - C12</f>
        <v>1.091800000000001</v>
      </c>
      <c r="I12" s="119">
        <v>9.9293999999999993</v>
      </c>
      <c r="J12" s="119">
        <v>9.9293999999999993</v>
      </c>
      <c r="K12" s="119">
        <v>9.9291</v>
      </c>
      <c r="L12" s="119">
        <v>9.9291</v>
      </c>
      <c r="M12" s="115">
        <f>L12 - C12</f>
        <v>1.0958000000000006</v>
      </c>
      <c r="N12" s="119">
        <v>9.9258000000000006</v>
      </c>
      <c r="O12" s="119">
        <v>9.9258000000000006</v>
      </c>
      <c r="P12" s="119">
        <v>9.9258000000000006</v>
      </c>
      <c r="Q12" s="119">
        <v>9.9258000000000006</v>
      </c>
      <c r="R12" s="115">
        <f>Q12 - C12</f>
        <v>1.0925000000000011</v>
      </c>
      <c r="S12" s="119">
        <v>10.1248</v>
      </c>
      <c r="T12" s="119">
        <v>10.1248</v>
      </c>
      <c r="U12" s="119">
        <v>10.1411</v>
      </c>
      <c r="V12" s="119">
        <v>10.1411</v>
      </c>
      <c r="W12" s="115">
        <f>V12 - C12</f>
        <v>1.3078000000000003</v>
      </c>
      <c r="X12" s="119">
        <v>10.1225</v>
      </c>
      <c r="Y12" s="119">
        <v>10.1225</v>
      </c>
      <c r="Z12" s="119">
        <v>10.126099999999999</v>
      </c>
      <c r="AA12" s="119">
        <v>10.126099999999999</v>
      </c>
      <c r="AB12" s="115">
        <f>AA12 - C12</f>
        <v>1.2927999999999997</v>
      </c>
    </row>
    <row r="13" spans="1:28" ht="12" customHeight="1" x14ac:dyDescent="0.25">
      <c r="A13" s="121" t="s">
        <v>43</v>
      </c>
      <c r="B13" s="112"/>
      <c r="C13" s="112"/>
      <c r="D13" s="113">
        <v>0</v>
      </c>
      <c r="E13" s="113">
        <v>0</v>
      </c>
      <c r="F13" s="113">
        <v>0</v>
      </c>
      <c r="G13" s="113">
        <v>0</v>
      </c>
      <c r="H13" s="115"/>
      <c r="I13" s="113">
        <v>0</v>
      </c>
      <c r="J13" s="113">
        <v>0</v>
      </c>
      <c r="K13" s="113">
        <v>0</v>
      </c>
      <c r="L13" s="113">
        <v>0</v>
      </c>
      <c r="M13" s="115"/>
      <c r="N13" s="113">
        <v>0</v>
      </c>
      <c r="O13" s="113">
        <v>0</v>
      </c>
      <c r="P13" s="113">
        <v>0</v>
      </c>
      <c r="Q13" s="113">
        <v>0</v>
      </c>
      <c r="R13" s="115"/>
      <c r="S13" s="113">
        <v>0</v>
      </c>
      <c r="T13" s="113">
        <v>0</v>
      </c>
      <c r="U13" s="113">
        <v>0</v>
      </c>
      <c r="V13" s="113">
        <v>0</v>
      </c>
      <c r="W13" s="115"/>
      <c r="X13" s="113">
        <v>0</v>
      </c>
      <c r="Y13" s="113">
        <v>0</v>
      </c>
      <c r="Z13" s="113">
        <v>0</v>
      </c>
      <c r="AA13" s="113">
        <v>0</v>
      </c>
      <c r="AB13" s="115"/>
    </row>
    <row r="14" spans="1:28" ht="12" hidden="1" customHeight="1" outlineLevel="1" collapsed="1" x14ac:dyDescent="0.25">
      <c r="A14" s="114" t="s">
        <v>44</v>
      </c>
      <c r="B14" s="112"/>
      <c r="C14" s="112"/>
      <c r="D14" s="115">
        <v>0</v>
      </c>
      <c r="E14" s="115">
        <v>0</v>
      </c>
      <c r="F14" s="116">
        <v>0</v>
      </c>
      <c r="G14" s="117">
        <v>0</v>
      </c>
      <c r="H14" s="112">
        <v>0</v>
      </c>
      <c r="I14" s="115">
        <v>0</v>
      </c>
      <c r="J14" s="115">
        <v>0</v>
      </c>
      <c r="K14" s="116">
        <v>0</v>
      </c>
      <c r="L14" s="117">
        <v>0</v>
      </c>
      <c r="M14" s="112">
        <v>0</v>
      </c>
      <c r="N14" s="115">
        <v>0</v>
      </c>
      <c r="O14" s="115">
        <v>0</v>
      </c>
      <c r="P14" s="116">
        <v>0</v>
      </c>
      <c r="Q14" s="117">
        <v>0</v>
      </c>
      <c r="R14" s="112">
        <v>0</v>
      </c>
      <c r="S14" s="115">
        <v>0</v>
      </c>
      <c r="T14" s="115">
        <v>0</v>
      </c>
      <c r="U14" s="116">
        <v>0</v>
      </c>
      <c r="V14" s="117">
        <v>0</v>
      </c>
      <c r="W14" s="112">
        <v>0</v>
      </c>
      <c r="X14" s="115">
        <v>0</v>
      </c>
      <c r="Y14" s="115">
        <v>0</v>
      </c>
      <c r="Z14" s="116">
        <v>0</v>
      </c>
      <c r="AA14" s="117">
        <v>0</v>
      </c>
      <c r="AB14" s="112">
        <v>0</v>
      </c>
    </row>
    <row r="15" spans="1:28" ht="12" hidden="1" customHeight="1" outlineLevel="1" collapsed="1" x14ac:dyDescent="0.25">
      <c r="A15" s="114" t="s">
        <v>45</v>
      </c>
      <c r="B15" s="112"/>
      <c r="C15" s="112"/>
      <c r="D15" s="115">
        <v>0</v>
      </c>
      <c r="E15" s="115">
        <v>0</v>
      </c>
      <c r="F15" s="116">
        <v>0</v>
      </c>
      <c r="G15" s="117">
        <v>0</v>
      </c>
      <c r="H15" s="112">
        <v>0</v>
      </c>
      <c r="I15" s="115">
        <v>0</v>
      </c>
      <c r="J15" s="115">
        <v>0</v>
      </c>
      <c r="K15" s="116">
        <v>0</v>
      </c>
      <c r="L15" s="117">
        <v>0</v>
      </c>
      <c r="M15" s="112">
        <v>0</v>
      </c>
      <c r="N15" s="115">
        <v>0</v>
      </c>
      <c r="O15" s="115">
        <v>0</v>
      </c>
      <c r="P15" s="116">
        <v>0</v>
      </c>
      <c r="Q15" s="117">
        <v>0</v>
      </c>
      <c r="R15" s="112">
        <v>0</v>
      </c>
      <c r="S15" s="115">
        <v>0</v>
      </c>
      <c r="T15" s="115">
        <v>0</v>
      </c>
      <c r="U15" s="116">
        <v>0</v>
      </c>
      <c r="V15" s="117">
        <v>0</v>
      </c>
      <c r="W15" s="112">
        <v>0</v>
      </c>
      <c r="X15" s="115">
        <v>0</v>
      </c>
      <c r="Y15" s="115">
        <v>0</v>
      </c>
      <c r="Z15" s="116">
        <v>0</v>
      </c>
      <c r="AA15" s="117">
        <v>0</v>
      </c>
      <c r="AB15" s="112">
        <v>0</v>
      </c>
    </row>
    <row r="16" spans="1:28" ht="12" hidden="1" customHeight="1" outlineLevel="1" collapsed="1" x14ac:dyDescent="0.25">
      <c r="A16" s="114" t="s">
        <v>46</v>
      </c>
      <c r="B16" s="120">
        <v>0</v>
      </c>
      <c r="C16" s="120">
        <v>0</v>
      </c>
      <c r="D16" s="119">
        <v>0</v>
      </c>
      <c r="E16" s="119">
        <v>0</v>
      </c>
      <c r="F16" s="119">
        <v>0</v>
      </c>
      <c r="G16" s="119">
        <v>0</v>
      </c>
      <c r="H16" s="115">
        <v>0</v>
      </c>
      <c r="I16" s="119">
        <v>0</v>
      </c>
      <c r="J16" s="119">
        <v>0</v>
      </c>
      <c r="K16" s="119">
        <v>0</v>
      </c>
      <c r="L16" s="119">
        <v>0</v>
      </c>
      <c r="M16" s="115">
        <v>0</v>
      </c>
      <c r="N16" s="119">
        <v>0</v>
      </c>
      <c r="O16" s="119">
        <v>0</v>
      </c>
      <c r="P16" s="119">
        <v>0</v>
      </c>
      <c r="Q16" s="119">
        <v>0</v>
      </c>
      <c r="R16" s="115">
        <v>0</v>
      </c>
      <c r="S16" s="119">
        <v>0</v>
      </c>
      <c r="T16" s="119">
        <v>0</v>
      </c>
      <c r="U16" s="119">
        <v>0</v>
      </c>
      <c r="V16" s="119">
        <v>0</v>
      </c>
      <c r="W16" s="115">
        <v>0</v>
      </c>
      <c r="X16" s="119">
        <v>0</v>
      </c>
      <c r="Y16" s="119">
        <v>0</v>
      </c>
      <c r="Z16" s="119">
        <v>0</v>
      </c>
      <c r="AA16" s="119">
        <v>0</v>
      </c>
      <c r="AB16" s="115">
        <v>0</v>
      </c>
    </row>
    <row r="17" spans="1:28" ht="12" hidden="1" customHeight="1" outlineLevel="1" collapsed="1" x14ac:dyDescent="0.25">
      <c r="A17" s="114" t="s">
        <v>47</v>
      </c>
      <c r="B17" s="120">
        <v>0</v>
      </c>
      <c r="C17" s="120">
        <v>0</v>
      </c>
      <c r="D17" s="115">
        <v>0</v>
      </c>
      <c r="E17" s="115">
        <v>0</v>
      </c>
      <c r="F17" s="116">
        <v>0</v>
      </c>
      <c r="G17" s="117">
        <v>0</v>
      </c>
      <c r="H17" s="112">
        <v>0</v>
      </c>
      <c r="I17" s="115">
        <v>0</v>
      </c>
      <c r="J17" s="115">
        <v>0</v>
      </c>
      <c r="K17" s="116">
        <v>0</v>
      </c>
      <c r="L17" s="117">
        <v>0</v>
      </c>
      <c r="M17" s="112">
        <v>0</v>
      </c>
      <c r="N17" s="115">
        <v>0</v>
      </c>
      <c r="O17" s="115">
        <v>0</v>
      </c>
      <c r="P17" s="116">
        <v>0</v>
      </c>
      <c r="Q17" s="117">
        <v>0</v>
      </c>
      <c r="R17" s="112">
        <v>0</v>
      </c>
      <c r="S17" s="115">
        <v>0</v>
      </c>
      <c r="T17" s="115">
        <v>0</v>
      </c>
      <c r="U17" s="116">
        <v>0</v>
      </c>
      <c r="V17" s="117">
        <v>0</v>
      </c>
      <c r="W17" s="112">
        <v>0</v>
      </c>
      <c r="X17" s="115">
        <v>0</v>
      </c>
      <c r="Y17" s="115">
        <v>0</v>
      </c>
      <c r="Z17" s="116">
        <v>0</v>
      </c>
      <c r="AA17" s="117">
        <v>0</v>
      </c>
      <c r="AB17" s="112">
        <v>0</v>
      </c>
    </row>
    <row r="18" spans="1:28" ht="12" hidden="1" customHeight="1" outlineLevel="1" collapsed="1" x14ac:dyDescent="0.25">
      <c r="A18" s="114" t="s">
        <v>48</v>
      </c>
      <c r="B18" s="120">
        <v>0</v>
      </c>
      <c r="C18" s="120">
        <v>0</v>
      </c>
      <c r="D18" s="115">
        <v>0</v>
      </c>
      <c r="E18" s="115">
        <v>0</v>
      </c>
      <c r="F18" s="116">
        <v>0</v>
      </c>
      <c r="G18" s="117">
        <v>0</v>
      </c>
      <c r="H18" s="112">
        <v>0</v>
      </c>
      <c r="I18" s="115">
        <v>0</v>
      </c>
      <c r="J18" s="115">
        <v>0</v>
      </c>
      <c r="K18" s="116">
        <v>0</v>
      </c>
      <c r="L18" s="117">
        <v>0</v>
      </c>
      <c r="M18" s="112">
        <v>0</v>
      </c>
      <c r="N18" s="115">
        <v>0</v>
      </c>
      <c r="O18" s="115">
        <v>0</v>
      </c>
      <c r="P18" s="116">
        <v>0</v>
      </c>
      <c r="Q18" s="117">
        <v>0</v>
      </c>
      <c r="R18" s="112">
        <v>0</v>
      </c>
      <c r="S18" s="115">
        <v>0</v>
      </c>
      <c r="T18" s="115">
        <v>0</v>
      </c>
      <c r="U18" s="116">
        <v>0</v>
      </c>
      <c r="V18" s="117">
        <v>0</v>
      </c>
      <c r="W18" s="112">
        <v>0</v>
      </c>
      <c r="X18" s="115">
        <v>0</v>
      </c>
      <c r="Y18" s="115">
        <v>0</v>
      </c>
      <c r="Z18" s="116">
        <v>0</v>
      </c>
      <c r="AA18" s="117">
        <v>0</v>
      </c>
      <c r="AB18" s="112">
        <v>0</v>
      </c>
    </row>
    <row r="19" spans="1:28" ht="12" hidden="1" customHeight="1" outlineLevel="1" collapsed="1" x14ac:dyDescent="0.25">
      <c r="A19" s="114" t="s">
        <v>49</v>
      </c>
      <c r="B19" s="120">
        <v>0</v>
      </c>
      <c r="C19" s="120">
        <v>0</v>
      </c>
      <c r="D19" s="115">
        <v>0</v>
      </c>
      <c r="E19" s="115">
        <v>0</v>
      </c>
      <c r="F19" s="116">
        <v>0</v>
      </c>
      <c r="G19" s="117">
        <v>0</v>
      </c>
      <c r="H19" s="112">
        <v>0</v>
      </c>
      <c r="I19" s="115">
        <v>0</v>
      </c>
      <c r="J19" s="115">
        <v>0</v>
      </c>
      <c r="K19" s="116">
        <v>0</v>
      </c>
      <c r="L19" s="117">
        <v>0</v>
      </c>
      <c r="M19" s="112">
        <v>0</v>
      </c>
      <c r="N19" s="115">
        <v>0</v>
      </c>
      <c r="O19" s="115">
        <v>0</v>
      </c>
      <c r="P19" s="116">
        <v>0</v>
      </c>
      <c r="Q19" s="117">
        <v>0</v>
      </c>
      <c r="R19" s="112">
        <v>0</v>
      </c>
      <c r="S19" s="115">
        <v>0</v>
      </c>
      <c r="T19" s="115">
        <v>0</v>
      </c>
      <c r="U19" s="116">
        <v>0</v>
      </c>
      <c r="V19" s="117">
        <v>0</v>
      </c>
      <c r="W19" s="112">
        <v>0</v>
      </c>
      <c r="X19" s="115">
        <v>0</v>
      </c>
      <c r="Y19" s="115">
        <v>0</v>
      </c>
      <c r="Z19" s="116">
        <v>0</v>
      </c>
      <c r="AA19" s="117">
        <v>0</v>
      </c>
      <c r="AB19" s="112">
        <v>0</v>
      </c>
    </row>
    <row r="20" spans="1:28" ht="12" hidden="1" customHeight="1" outlineLevel="1" collapsed="1" x14ac:dyDescent="0.25">
      <c r="A20" s="114" t="s">
        <v>50</v>
      </c>
      <c r="B20" s="120">
        <v>0</v>
      </c>
      <c r="C20" s="120">
        <v>0</v>
      </c>
      <c r="D20" s="115">
        <v>0</v>
      </c>
      <c r="E20" s="115">
        <v>0</v>
      </c>
      <c r="F20" s="116">
        <v>0</v>
      </c>
      <c r="G20" s="117">
        <v>0</v>
      </c>
      <c r="H20" s="112">
        <v>0</v>
      </c>
      <c r="I20" s="115">
        <v>0</v>
      </c>
      <c r="J20" s="115">
        <v>0</v>
      </c>
      <c r="K20" s="116">
        <v>0</v>
      </c>
      <c r="L20" s="117">
        <v>0</v>
      </c>
      <c r="M20" s="112">
        <v>0</v>
      </c>
      <c r="N20" s="115">
        <v>0</v>
      </c>
      <c r="O20" s="115">
        <v>0</v>
      </c>
      <c r="P20" s="116">
        <v>0</v>
      </c>
      <c r="Q20" s="117">
        <v>0</v>
      </c>
      <c r="R20" s="112">
        <v>0</v>
      </c>
      <c r="S20" s="115">
        <v>0</v>
      </c>
      <c r="T20" s="115">
        <v>0</v>
      </c>
      <c r="U20" s="116">
        <v>0</v>
      </c>
      <c r="V20" s="117">
        <v>0</v>
      </c>
      <c r="W20" s="112">
        <v>0</v>
      </c>
      <c r="X20" s="115">
        <v>0</v>
      </c>
      <c r="Y20" s="115">
        <v>0</v>
      </c>
      <c r="Z20" s="116">
        <v>0</v>
      </c>
      <c r="AA20" s="117">
        <v>0</v>
      </c>
      <c r="AB20" s="112">
        <v>0</v>
      </c>
    </row>
    <row r="21" spans="1:28" ht="12" hidden="1" customHeight="1" outlineLevel="1" collapsed="1" x14ac:dyDescent="0.25">
      <c r="A21" s="114" t="s">
        <v>51</v>
      </c>
      <c r="B21" s="120">
        <v>0</v>
      </c>
      <c r="C21" s="120">
        <v>0</v>
      </c>
      <c r="D21" s="115">
        <v>0</v>
      </c>
      <c r="E21" s="115">
        <v>0</v>
      </c>
      <c r="F21" s="116">
        <v>0</v>
      </c>
      <c r="G21" s="117">
        <v>0</v>
      </c>
      <c r="H21" s="112">
        <v>0</v>
      </c>
      <c r="I21" s="115">
        <v>0</v>
      </c>
      <c r="J21" s="115">
        <v>0</v>
      </c>
      <c r="K21" s="116">
        <v>0</v>
      </c>
      <c r="L21" s="117">
        <v>0</v>
      </c>
      <c r="M21" s="112">
        <v>0</v>
      </c>
      <c r="N21" s="115">
        <v>0</v>
      </c>
      <c r="O21" s="115">
        <v>0</v>
      </c>
      <c r="P21" s="116">
        <v>0</v>
      </c>
      <c r="Q21" s="117">
        <v>0</v>
      </c>
      <c r="R21" s="112">
        <v>0</v>
      </c>
      <c r="S21" s="115">
        <v>0</v>
      </c>
      <c r="T21" s="115">
        <v>0</v>
      </c>
      <c r="U21" s="116">
        <v>0</v>
      </c>
      <c r="V21" s="117">
        <v>0</v>
      </c>
      <c r="W21" s="112">
        <v>0</v>
      </c>
      <c r="X21" s="115">
        <v>0</v>
      </c>
      <c r="Y21" s="115">
        <v>0</v>
      </c>
      <c r="Z21" s="116">
        <v>0</v>
      </c>
      <c r="AA21" s="117">
        <v>0</v>
      </c>
      <c r="AB21" s="112">
        <v>0</v>
      </c>
    </row>
    <row r="22" spans="1:28" ht="12" hidden="1" customHeight="1" outlineLevel="1" collapsed="1" x14ac:dyDescent="0.25">
      <c r="A22" s="114" t="s">
        <v>52</v>
      </c>
      <c r="B22" s="120">
        <v>0</v>
      </c>
      <c r="C22" s="120">
        <v>0</v>
      </c>
      <c r="D22" s="115">
        <v>0</v>
      </c>
      <c r="E22" s="115">
        <v>0</v>
      </c>
      <c r="F22" s="116">
        <v>0</v>
      </c>
      <c r="G22" s="117">
        <v>0</v>
      </c>
      <c r="H22" s="112">
        <v>0</v>
      </c>
      <c r="I22" s="115">
        <v>0</v>
      </c>
      <c r="J22" s="115">
        <v>0</v>
      </c>
      <c r="K22" s="116">
        <v>0</v>
      </c>
      <c r="L22" s="117">
        <v>0</v>
      </c>
      <c r="M22" s="112">
        <v>0</v>
      </c>
      <c r="N22" s="115">
        <v>0</v>
      </c>
      <c r="O22" s="115">
        <v>0</v>
      </c>
      <c r="P22" s="116">
        <v>0</v>
      </c>
      <c r="Q22" s="117">
        <v>0</v>
      </c>
      <c r="R22" s="112">
        <v>0</v>
      </c>
      <c r="S22" s="115">
        <v>0</v>
      </c>
      <c r="T22" s="115">
        <v>0</v>
      </c>
      <c r="U22" s="116">
        <v>0</v>
      </c>
      <c r="V22" s="117">
        <v>0</v>
      </c>
      <c r="W22" s="112">
        <v>0</v>
      </c>
      <c r="X22" s="115">
        <v>0</v>
      </c>
      <c r="Y22" s="115">
        <v>0</v>
      </c>
      <c r="Z22" s="116">
        <v>0</v>
      </c>
      <c r="AA22" s="117">
        <v>0</v>
      </c>
      <c r="AB22" s="112">
        <v>0</v>
      </c>
    </row>
    <row r="23" spans="1:28" ht="12" customHeight="1" collapsed="1" x14ac:dyDescent="0.25">
      <c r="A23" s="121" t="s">
        <v>53</v>
      </c>
      <c r="B23" s="112"/>
      <c r="C23" s="112"/>
      <c r="D23" s="113">
        <v>87.447000000000003</v>
      </c>
      <c r="E23" s="113">
        <v>87.447000000000003</v>
      </c>
      <c r="F23" s="113">
        <v>88.906599999999997</v>
      </c>
      <c r="G23" s="113">
        <v>88.906599999999997</v>
      </c>
      <c r="H23" s="115"/>
      <c r="I23" s="113">
        <v>85.610200000000006</v>
      </c>
      <c r="J23" s="113">
        <v>85.610200000000006</v>
      </c>
      <c r="K23" s="113">
        <v>88.385599999999997</v>
      </c>
      <c r="L23" s="113">
        <v>88.385599999999997</v>
      </c>
      <c r="M23" s="115"/>
      <c r="N23" s="113">
        <v>88.276499999999999</v>
      </c>
      <c r="O23" s="113">
        <v>88.276499999999999</v>
      </c>
      <c r="P23" s="113">
        <v>87.747299999999996</v>
      </c>
      <c r="Q23" s="113">
        <v>87.747299999999996</v>
      </c>
      <c r="R23" s="115"/>
      <c r="S23" s="113">
        <v>85.488600000000005</v>
      </c>
      <c r="T23" s="113">
        <v>85.488600000000005</v>
      </c>
      <c r="U23" s="113">
        <v>88.130799999999994</v>
      </c>
      <c r="V23" s="113">
        <v>88.130799999999994</v>
      </c>
      <c r="W23" s="115"/>
      <c r="X23" s="113">
        <v>88.27</v>
      </c>
      <c r="Y23" s="113">
        <v>88.27</v>
      </c>
      <c r="Z23" s="113">
        <v>88.408600000000007</v>
      </c>
      <c r="AA23" s="113">
        <v>88.408600000000007</v>
      </c>
      <c r="AB23" s="115"/>
    </row>
    <row r="24" spans="1:28" ht="12" customHeight="1" x14ac:dyDescent="0.25">
      <c r="A24" s="114" t="s">
        <v>44</v>
      </c>
      <c r="B24" s="112"/>
      <c r="C24" s="112"/>
      <c r="D24" s="115">
        <v>3.7004000000000001</v>
      </c>
      <c r="E24" s="115">
        <v>3.7004000000000001</v>
      </c>
      <c r="F24" s="116">
        <v>3.6251000000000002</v>
      </c>
      <c r="G24" s="117">
        <v>3.6251000000000002</v>
      </c>
      <c r="H24" s="112">
        <v>0</v>
      </c>
      <c r="I24" s="115">
        <v>1.2157</v>
      </c>
      <c r="J24" s="115">
        <v>1.2157</v>
      </c>
      <c r="K24" s="116">
        <v>1.1938</v>
      </c>
      <c r="L24" s="117">
        <v>1.1938</v>
      </c>
      <c r="M24" s="112">
        <v>0</v>
      </c>
      <c r="N24" s="115">
        <v>1.9656</v>
      </c>
      <c r="O24" s="115">
        <v>1.9656</v>
      </c>
      <c r="P24" s="116">
        <v>0.4758</v>
      </c>
      <c r="Q24" s="117">
        <v>0.4758</v>
      </c>
      <c r="R24" s="112">
        <v>0</v>
      </c>
      <c r="S24" s="115">
        <v>1.1178999999999999</v>
      </c>
      <c r="T24" s="115">
        <v>1.1178999999999999</v>
      </c>
      <c r="U24" s="116">
        <v>0.47560000000000002</v>
      </c>
      <c r="V24" s="117">
        <v>0.47560000000000002</v>
      </c>
      <c r="W24" s="112">
        <v>0</v>
      </c>
      <c r="X24" s="115">
        <v>0</v>
      </c>
      <c r="Y24" s="115">
        <v>0</v>
      </c>
      <c r="Z24" s="116">
        <v>0</v>
      </c>
      <c r="AA24" s="117">
        <v>0</v>
      </c>
      <c r="AB24" s="112">
        <v>0</v>
      </c>
    </row>
    <row r="25" spans="1:28" ht="12" hidden="1" customHeight="1" outlineLevel="1" collapsed="1" x14ac:dyDescent="0.25">
      <c r="A25" s="114" t="s">
        <v>45</v>
      </c>
      <c r="B25" s="112"/>
      <c r="C25" s="112"/>
      <c r="D25" s="115">
        <v>0</v>
      </c>
      <c r="E25" s="115">
        <v>0</v>
      </c>
      <c r="F25" s="116">
        <v>0</v>
      </c>
      <c r="G25" s="117">
        <v>0</v>
      </c>
      <c r="H25" s="112">
        <v>0</v>
      </c>
      <c r="I25" s="115">
        <v>0</v>
      </c>
      <c r="J25" s="115">
        <v>0</v>
      </c>
      <c r="K25" s="116">
        <v>0</v>
      </c>
      <c r="L25" s="117">
        <v>0</v>
      </c>
      <c r="M25" s="112">
        <v>0</v>
      </c>
      <c r="N25" s="115">
        <v>0</v>
      </c>
      <c r="O25" s="115">
        <v>0</v>
      </c>
      <c r="P25" s="116">
        <v>0</v>
      </c>
      <c r="Q25" s="117">
        <v>0</v>
      </c>
      <c r="R25" s="112">
        <v>0</v>
      </c>
      <c r="S25" s="115">
        <v>0</v>
      </c>
      <c r="T25" s="115">
        <v>0</v>
      </c>
      <c r="U25" s="116">
        <v>0</v>
      </c>
      <c r="V25" s="117">
        <v>0</v>
      </c>
      <c r="W25" s="112">
        <v>0</v>
      </c>
      <c r="X25" s="115">
        <v>0</v>
      </c>
      <c r="Y25" s="115">
        <v>0</v>
      </c>
      <c r="Z25" s="116">
        <v>0</v>
      </c>
      <c r="AA25" s="117">
        <v>0</v>
      </c>
      <c r="AB25" s="112">
        <v>0</v>
      </c>
    </row>
    <row r="26" spans="1:28" ht="12" hidden="1" customHeight="1" outlineLevel="1" collapsed="1" x14ac:dyDescent="0.25">
      <c r="A26" s="114" t="s">
        <v>54</v>
      </c>
      <c r="B26" s="112"/>
      <c r="C26" s="112"/>
      <c r="D26" s="115">
        <v>0</v>
      </c>
      <c r="E26" s="115">
        <v>0</v>
      </c>
      <c r="F26" s="116">
        <v>0</v>
      </c>
      <c r="G26" s="117">
        <v>0</v>
      </c>
      <c r="H26" s="112">
        <v>0</v>
      </c>
      <c r="I26" s="115">
        <v>0</v>
      </c>
      <c r="J26" s="115">
        <v>0</v>
      </c>
      <c r="K26" s="116">
        <v>0</v>
      </c>
      <c r="L26" s="117">
        <v>0</v>
      </c>
      <c r="M26" s="112">
        <v>0</v>
      </c>
      <c r="N26" s="115">
        <v>0</v>
      </c>
      <c r="O26" s="115">
        <v>0</v>
      </c>
      <c r="P26" s="116">
        <v>0</v>
      </c>
      <c r="Q26" s="117">
        <v>0</v>
      </c>
      <c r="R26" s="112">
        <v>0</v>
      </c>
      <c r="S26" s="115">
        <v>0</v>
      </c>
      <c r="T26" s="115">
        <v>0</v>
      </c>
      <c r="U26" s="116">
        <v>0</v>
      </c>
      <c r="V26" s="117">
        <v>0</v>
      </c>
      <c r="W26" s="112">
        <v>0</v>
      </c>
      <c r="X26" s="115">
        <v>0</v>
      </c>
      <c r="Y26" s="115">
        <v>0</v>
      </c>
      <c r="Z26" s="116">
        <v>0</v>
      </c>
      <c r="AA26" s="117">
        <v>0</v>
      </c>
      <c r="AB26" s="112">
        <v>0</v>
      </c>
    </row>
    <row r="27" spans="1:28" ht="12" customHeight="1" collapsed="1" x14ac:dyDescent="0.25">
      <c r="A27" s="114" t="s">
        <v>55</v>
      </c>
      <c r="B27" s="112"/>
      <c r="C27" s="112"/>
      <c r="D27" s="115">
        <v>0.48230000000000001</v>
      </c>
      <c r="E27" s="115">
        <v>0.48230000000000001</v>
      </c>
      <c r="F27" s="116">
        <v>0.48230000000000001</v>
      </c>
      <c r="G27" s="117">
        <v>0.48230000000000001</v>
      </c>
      <c r="H27" s="112">
        <v>0</v>
      </c>
      <c r="I27" s="115">
        <v>0.48230000000000001</v>
      </c>
      <c r="J27" s="115">
        <v>0.48230000000000001</v>
      </c>
      <c r="K27" s="116">
        <v>0.48230000000000001</v>
      </c>
      <c r="L27" s="117">
        <v>0.48230000000000001</v>
      </c>
      <c r="M27" s="112">
        <v>0</v>
      </c>
      <c r="N27" s="115">
        <v>0.48230000000000001</v>
      </c>
      <c r="O27" s="115">
        <v>0.48230000000000001</v>
      </c>
      <c r="P27" s="116">
        <v>0.48230000000000001</v>
      </c>
      <c r="Q27" s="117">
        <v>0.48230000000000001</v>
      </c>
      <c r="R27" s="112">
        <v>0</v>
      </c>
      <c r="S27" s="115">
        <v>0.48230000000000001</v>
      </c>
      <c r="T27" s="115">
        <v>0.48230000000000001</v>
      </c>
      <c r="U27" s="116">
        <v>0.48230000000000001</v>
      </c>
      <c r="V27" s="117">
        <v>0.48230000000000001</v>
      </c>
      <c r="W27" s="112">
        <v>0</v>
      </c>
      <c r="X27" s="115">
        <v>0.48230000000000001</v>
      </c>
      <c r="Y27" s="115">
        <v>0.48230000000000001</v>
      </c>
      <c r="Z27" s="116">
        <v>0.48230000000000001</v>
      </c>
      <c r="AA27" s="117">
        <v>0.48230000000000001</v>
      </c>
      <c r="AB27" s="112">
        <v>0</v>
      </c>
    </row>
    <row r="28" spans="1:28" ht="12" customHeight="1" x14ac:dyDescent="0.25">
      <c r="A28" s="114" t="s">
        <v>46</v>
      </c>
      <c r="B28" s="120">
        <v>85.458200000000005</v>
      </c>
      <c r="C28" s="120">
        <v>67.618200000000002</v>
      </c>
      <c r="D28" s="119">
        <v>83.746600000000001</v>
      </c>
      <c r="E28" s="119">
        <v>83.746600000000001</v>
      </c>
      <c r="F28" s="119">
        <v>85.281599999999997</v>
      </c>
      <c r="G28" s="119">
        <v>85.281599999999997</v>
      </c>
      <c r="H28" s="115">
        <f>G28 - C28</f>
        <v>17.663399999999996</v>
      </c>
      <c r="I28" s="119">
        <v>84.394599999999997</v>
      </c>
      <c r="J28" s="119">
        <v>84.394599999999997</v>
      </c>
      <c r="K28" s="119">
        <v>87.191900000000004</v>
      </c>
      <c r="L28" s="119">
        <v>87.191900000000004</v>
      </c>
      <c r="M28" s="115">
        <f>L28 - C28</f>
        <v>19.573700000000002</v>
      </c>
      <c r="N28" s="119">
        <v>86.310900000000004</v>
      </c>
      <c r="O28" s="119">
        <v>86.310900000000004</v>
      </c>
      <c r="P28" s="119">
        <v>87.271500000000003</v>
      </c>
      <c r="Q28" s="119">
        <v>87.271500000000003</v>
      </c>
      <c r="R28" s="115">
        <f>Q28 - C28</f>
        <v>19.653300000000002</v>
      </c>
      <c r="S28" s="119">
        <v>84.370699999999999</v>
      </c>
      <c r="T28" s="119">
        <v>84.370699999999999</v>
      </c>
      <c r="U28" s="119">
        <v>87.655199999999994</v>
      </c>
      <c r="V28" s="119">
        <v>87.655199999999994</v>
      </c>
      <c r="W28" s="115">
        <f>V28 - C28</f>
        <v>20.036999999999992</v>
      </c>
      <c r="X28" s="119">
        <v>88.27</v>
      </c>
      <c r="Y28" s="119">
        <v>88.27</v>
      </c>
      <c r="Z28" s="119">
        <v>88.408600000000007</v>
      </c>
      <c r="AA28" s="119">
        <v>88.408600000000007</v>
      </c>
      <c r="AB28" s="115">
        <f>AA28 - C28</f>
        <v>20.790400000000005</v>
      </c>
    </row>
    <row r="29" spans="1:28" ht="12" customHeight="1" x14ac:dyDescent="0.25">
      <c r="A29" s="114" t="s">
        <v>56</v>
      </c>
      <c r="B29" s="120">
        <v>10.048500000000001</v>
      </c>
      <c r="C29" s="120">
        <v>10.0473</v>
      </c>
      <c r="D29" s="115">
        <v>9.9856999999999996</v>
      </c>
      <c r="E29" s="115">
        <v>9.9856999999999996</v>
      </c>
      <c r="F29" s="116">
        <v>9.9939999999999998</v>
      </c>
      <c r="G29" s="117">
        <v>9.9939999999999998</v>
      </c>
      <c r="H29" s="112">
        <v>0</v>
      </c>
      <c r="I29" s="115">
        <v>9.9376999999999995</v>
      </c>
      <c r="J29" s="115">
        <v>9.9376999999999995</v>
      </c>
      <c r="K29" s="116">
        <v>9.9671000000000003</v>
      </c>
      <c r="L29" s="117">
        <v>9.9671000000000003</v>
      </c>
      <c r="M29" s="112">
        <v>0</v>
      </c>
      <c r="N29" s="115">
        <v>9.9776000000000007</v>
      </c>
      <c r="O29" s="115">
        <v>9.9776000000000007</v>
      </c>
      <c r="P29" s="116">
        <v>9.9579000000000004</v>
      </c>
      <c r="Q29" s="117">
        <v>9.9579000000000004</v>
      </c>
      <c r="R29" s="112">
        <v>0</v>
      </c>
      <c r="S29" s="115">
        <v>9.9359999999999999</v>
      </c>
      <c r="T29" s="115">
        <v>9.9359999999999999</v>
      </c>
      <c r="U29" s="116">
        <v>9.9562000000000008</v>
      </c>
      <c r="V29" s="117">
        <v>9.9562000000000008</v>
      </c>
      <c r="W29" s="112">
        <v>0</v>
      </c>
      <c r="X29" s="115">
        <v>9.9611000000000001</v>
      </c>
      <c r="Y29" s="115">
        <v>9.9611000000000001</v>
      </c>
      <c r="Z29" s="116">
        <v>9.9468999999999994</v>
      </c>
      <c r="AA29" s="117">
        <v>9.9468999999999994</v>
      </c>
      <c r="AB29" s="112">
        <v>0</v>
      </c>
    </row>
    <row r="30" spans="1:28" ht="12" hidden="1" customHeight="1" outlineLevel="1" collapsed="1" x14ac:dyDescent="0.25">
      <c r="A30" s="114" t="s">
        <v>57</v>
      </c>
      <c r="B30" s="120">
        <v>0</v>
      </c>
      <c r="C30" s="120">
        <v>0</v>
      </c>
      <c r="D30" s="115">
        <v>0</v>
      </c>
      <c r="E30" s="115">
        <v>0</v>
      </c>
      <c r="F30" s="116">
        <v>0</v>
      </c>
      <c r="G30" s="117">
        <v>0</v>
      </c>
      <c r="H30" s="112">
        <v>0</v>
      </c>
      <c r="I30" s="115">
        <v>0</v>
      </c>
      <c r="J30" s="115">
        <v>0</v>
      </c>
      <c r="K30" s="116">
        <v>0</v>
      </c>
      <c r="L30" s="117">
        <v>0</v>
      </c>
      <c r="M30" s="112">
        <v>0</v>
      </c>
      <c r="N30" s="115">
        <v>0</v>
      </c>
      <c r="O30" s="115">
        <v>0</v>
      </c>
      <c r="P30" s="116">
        <v>0</v>
      </c>
      <c r="Q30" s="117">
        <v>0</v>
      </c>
      <c r="R30" s="112">
        <v>0</v>
      </c>
      <c r="S30" s="115">
        <v>0</v>
      </c>
      <c r="T30" s="115">
        <v>0</v>
      </c>
      <c r="U30" s="116">
        <v>0</v>
      </c>
      <c r="V30" s="117">
        <v>0</v>
      </c>
      <c r="W30" s="112">
        <v>0</v>
      </c>
      <c r="X30" s="115">
        <v>0</v>
      </c>
      <c r="Y30" s="115">
        <v>0</v>
      </c>
      <c r="Z30" s="116">
        <v>0</v>
      </c>
      <c r="AA30" s="117">
        <v>0</v>
      </c>
      <c r="AB30" s="112">
        <v>0</v>
      </c>
    </row>
    <row r="31" spans="1:28" ht="12" customHeight="1" collapsed="1" x14ac:dyDescent="0.25">
      <c r="A31" s="114" t="s">
        <v>52</v>
      </c>
      <c r="B31" s="120">
        <v>29.014500000000002</v>
      </c>
      <c r="C31" s="120">
        <v>28.818200000000001</v>
      </c>
      <c r="D31" s="115">
        <v>19.0169</v>
      </c>
      <c r="E31" s="115">
        <v>19.0169</v>
      </c>
      <c r="F31" s="116">
        <v>19.017800000000001</v>
      </c>
      <c r="G31" s="117">
        <v>19.017800000000001</v>
      </c>
      <c r="H31" s="112">
        <v>0</v>
      </c>
      <c r="I31" s="115">
        <v>19.0276</v>
      </c>
      <c r="J31" s="115">
        <v>19.0276</v>
      </c>
      <c r="K31" s="116">
        <v>19.028400000000001</v>
      </c>
      <c r="L31" s="117">
        <v>19.028400000000001</v>
      </c>
      <c r="M31" s="112">
        <v>0</v>
      </c>
      <c r="N31" s="115">
        <v>19.0366</v>
      </c>
      <c r="O31" s="115">
        <v>19.0366</v>
      </c>
      <c r="P31" s="116">
        <v>19.035900000000002</v>
      </c>
      <c r="Q31" s="117">
        <v>19.035900000000002</v>
      </c>
      <c r="R31" s="112">
        <v>0</v>
      </c>
      <c r="S31" s="115">
        <v>19.0276</v>
      </c>
      <c r="T31" s="115">
        <v>19.0276</v>
      </c>
      <c r="U31" s="116">
        <v>19.026299999999999</v>
      </c>
      <c r="V31" s="117">
        <v>19.026299999999999</v>
      </c>
      <c r="W31" s="112">
        <v>0</v>
      </c>
      <c r="X31" s="115">
        <v>19.011500000000002</v>
      </c>
      <c r="Y31" s="115">
        <v>19.011500000000002</v>
      </c>
      <c r="Z31" s="116">
        <v>19.0124</v>
      </c>
      <c r="AA31" s="117">
        <v>19.0124</v>
      </c>
      <c r="AB31" s="112">
        <v>0</v>
      </c>
    </row>
    <row r="32" spans="1:28" ht="12" customHeight="1" x14ac:dyDescent="0.25">
      <c r="A32" s="114" t="s">
        <v>47</v>
      </c>
      <c r="B32" s="120">
        <v>27.895</v>
      </c>
      <c r="C32" s="120">
        <v>14.619</v>
      </c>
      <c r="D32" s="115">
        <v>51.777500000000003</v>
      </c>
      <c r="E32" s="115">
        <v>51.777500000000003</v>
      </c>
      <c r="F32" s="116">
        <v>53.173099999999998</v>
      </c>
      <c r="G32" s="117">
        <v>53.173099999999998</v>
      </c>
      <c r="H32" s="112">
        <v>0</v>
      </c>
      <c r="I32" s="115">
        <v>52.449599999999997</v>
      </c>
      <c r="J32" s="115">
        <v>52.449599999999997</v>
      </c>
      <c r="K32" s="116">
        <v>55.122199999999999</v>
      </c>
      <c r="L32" s="117">
        <v>55.122199999999999</v>
      </c>
      <c r="M32" s="112">
        <v>0</v>
      </c>
      <c r="N32" s="115">
        <v>54.301099999999998</v>
      </c>
      <c r="O32" s="115">
        <v>54.301099999999998</v>
      </c>
      <c r="P32" s="116">
        <v>55.190899999999999</v>
      </c>
      <c r="Q32" s="117">
        <v>55.190899999999999</v>
      </c>
      <c r="R32" s="112">
        <v>0</v>
      </c>
      <c r="S32" s="115">
        <v>52.368000000000002</v>
      </c>
      <c r="T32" s="115">
        <v>52.368000000000002</v>
      </c>
      <c r="U32" s="116">
        <v>55.572600000000001</v>
      </c>
      <c r="V32" s="117">
        <v>55.572600000000001</v>
      </c>
      <c r="W32" s="112">
        <v>0</v>
      </c>
      <c r="X32" s="115">
        <v>56.231299999999997</v>
      </c>
      <c r="Y32" s="115">
        <v>56.231299999999997</v>
      </c>
      <c r="Z32" s="116">
        <v>56.376100000000001</v>
      </c>
      <c r="AA32" s="117">
        <v>56.376100000000001</v>
      </c>
      <c r="AB32" s="112">
        <v>0</v>
      </c>
    </row>
    <row r="33" spans="1:28" ht="12" hidden="1" customHeight="1" outlineLevel="1" collapsed="1" x14ac:dyDescent="0.25">
      <c r="A33" s="114" t="s">
        <v>58</v>
      </c>
      <c r="B33" s="120">
        <v>0</v>
      </c>
      <c r="C33" s="120">
        <v>0</v>
      </c>
      <c r="D33" s="115">
        <v>0</v>
      </c>
      <c r="E33" s="115">
        <v>0</v>
      </c>
      <c r="F33" s="116">
        <v>0</v>
      </c>
      <c r="G33" s="117">
        <v>0</v>
      </c>
      <c r="H33" s="112">
        <v>0</v>
      </c>
      <c r="I33" s="115">
        <v>0</v>
      </c>
      <c r="J33" s="115">
        <v>0</v>
      </c>
      <c r="K33" s="116">
        <v>0</v>
      </c>
      <c r="L33" s="117">
        <v>0</v>
      </c>
      <c r="M33" s="112">
        <v>0</v>
      </c>
      <c r="N33" s="115">
        <v>0</v>
      </c>
      <c r="O33" s="115">
        <v>0</v>
      </c>
      <c r="P33" s="116">
        <v>0</v>
      </c>
      <c r="Q33" s="117">
        <v>0</v>
      </c>
      <c r="R33" s="112">
        <v>0</v>
      </c>
      <c r="S33" s="115">
        <v>0</v>
      </c>
      <c r="T33" s="115">
        <v>0</v>
      </c>
      <c r="U33" s="116">
        <v>0</v>
      </c>
      <c r="V33" s="117">
        <v>0</v>
      </c>
      <c r="W33" s="112">
        <v>0</v>
      </c>
      <c r="X33" s="115">
        <v>0</v>
      </c>
      <c r="Y33" s="115">
        <v>0</v>
      </c>
      <c r="Z33" s="116">
        <v>0</v>
      </c>
      <c r="AA33" s="117">
        <v>0</v>
      </c>
      <c r="AB33" s="112">
        <v>0</v>
      </c>
    </row>
    <row r="34" spans="1:28" ht="12" customHeight="1" collapsed="1" x14ac:dyDescent="0.25">
      <c r="A34" s="114" t="s">
        <v>59</v>
      </c>
      <c r="B34" s="120">
        <v>17.225999999999999</v>
      </c>
      <c r="C34" s="120">
        <v>12.9</v>
      </c>
      <c r="D34" s="115">
        <v>1.0402</v>
      </c>
      <c r="E34" s="115">
        <v>1.0402</v>
      </c>
      <c r="F34" s="116">
        <v>1.1702999999999999</v>
      </c>
      <c r="G34" s="117">
        <v>1.1702999999999999</v>
      </c>
      <c r="H34" s="112">
        <v>0</v>
      </c>
      <c r="I34" s="115">
        <v>1.0523</v>
      </c>
      <c r="J34" s="115">
        <v>1.0523</v>
      </c>
      <c r="K34" s="116">
        <v>1.1468</v>
      </c>
      <c r="L34" s="117">
        <v>1.1468</v>
      </c>
      <c r="M34" s="112">
        <v>0</v>
      </c>
      <c r="N34" s="115">
        <v>1.0672999999999999</v>
      </c>
      <c r="O34" s="115">
        <v>1.0672999999999999</v>
      </c>
      <c r="P34" s="116">
        <v>1.1587000000000001</v>
      </c>
      <c r="Q34" s="117">
        <v>1.1587000000000001</v>
      </c>
      <c r="R34" s="112">
        <v>0</v>
      </c>
      <c r="S34" s="115">
        <v>1.1116999999999999</v>
      </c>
      <c r="T34" s="115">
        <v>1.1116999999999999</v>
      </c>
      <c r="U34" s="116">
        <v>1.1729000000000001</v>
      </c>
      <c r="V34" s="117">
        <v>1.1729000000000001</v>
      </c>
      <c r="W34" s="112">
        <v>0</v>
      </c>
      <c r="X34" s="115">
        <v>1.1405000000000001</v>
      </c>
      <c r="Y34" s="115">
        <v>1.1405000000000001</v>
      </c>
      <c r="Z34" s="116">
        <v>1.1473</v>
      </c>
      <c r="AA34" s="117">
        <v>1.1473</v>
      </c>
      <c r="AB34" s="112">
        <v>0</v>
      </c>
    </row>
    <row r="35" spans="1:28" ht="12" hidden="1" customHeight="1" outlineLevel="1" collapsed="1" x14ac:dyDescent="0.25">
      <c r="A35" s="114" t="s">
        <v>48</v>
      </c>
      <c r="B35" s="120">
        <v>0</v>
      </c>
      <c r="C35" s="120">
        <v>0</v>
      </c>
      <c r="D35" s="115">
        <v>0</v>
      </c>
      <c r="E35" s="115">
        <v>0</v>
      </c>
      <c r="F35" s="116">
        <v>0</v>
      </c>
      <c r="G35" s="117">
        <v>0</v>
      </c>
      <c r="H35" s="112">
        <v>0</v>
      </c>
      <c r="I35" s="115">
        <v>0</v>
      </c>
      <c r="J35" s="115">
        <v>0</v>
      </c>
      <c r="K35" s="116">
        <v>0</v>
      </c>
      <c r="L35" s="117">
        <v>0</v>
      </c>
      <c r="M35" s="112">
        <v>0</v>
      </c>
      <c r="N35" s="115">
        <v>0</v>
      </c>
      <c r="O35" s="115">
        <v>0</v>
      </c>
      <c r="P35" s="116">
        <v>0</v>
      </c>
      <c r="Q35" s="117">
        <v>0</v>
      </c>
      <c r="R35" s="112">
        <v>0</v>
      </c>
      <c r="S35" s="115">
        <v>0</v>
      </c>
      <c r="T35" s="115">
        <v>0</v>
      </c>
      <c r="U35" s="116">
        <v>0</v>
      </c>
      <c r="V35" s="117">
        <v>0</v>
      </c>
      <c r="W35" s="112">
        <v>0</v>
      </c>
      <c r="X35" s="115">
        <v>0</v>
      </c>
      <c r="Y35" s="115">
        <v>0</v>
      </c>
      <c r="Z35" s="116">
        <v>0</v>
      </c>
      <c r="AA35" s="117">
        <v>0</v>
      </c>
      <c r="AB35" s="112">
        <v>0</v>
      </c>
    </row>
    <row r="36" spans="1:28" ht="12" customHeight="1" collapsed="1" x14ac:dyDescent="0.25">
      <c r="A36" s="114" t="s">
        <v>60</v>
      </c>
      <c r="B36" s="120">
        <v>1.2742</v>
      </c>
      <c r="C36" s="120">
        <v>1.2337</v>
      </c>
      <c r="D36" s="115">
        <v>1.9261999999999999</v>
      </c>
      <c r="E36" s="115">
        <v>1.9261999999999999</v>
      </c>
      <c r="F36" s="116">
        <v>1.9262999999999999</v>
      </c>
      <c r="G36" s="117">
        <v>1.9262999999999999</v>
      </c>
      <c r="H36" s="112">
        <v>0</v>
      </c>
      <c r="I36" s="115">
        <v>1.9273</v>
      </c>
      <c r="J36" s="115">
        <v>1.9273</v>
      </c>
      <c r="K36" s="116">
        <v>1.9274</v>
      </c>
      <c r="L36" s="117">
        <v>1.9274</v>
      </c>
      <c r="M36" s="112">
        <v>0</v>
      </c>
      <c r="N36" s="115">
        <v>1.9281999999999999</v>
      </c>
      <c r="O36" s="115">
        <v>1.9281999999999999</v>
      </c>
      <c r="P36" s="116">
        <v>1.9281999999999999</v>
      </c>
      <c r="Q36" s="117">
        <v>1.9281999999999999</v>
      </c>
      <c r="R36" s="112">
        <v>0</v>
      </c>
      <c r="S36" s="115">
        <v>1.9273</v>
      </c>
      <c r="T36" s="115">
        <v>1.9273</v>
      </c>
      <c r="U36" s="116">
        <v>1.9272</v>
      </c>
      <c r="V36" s="117">
        <v>1.9272</v>
      </c>
      <c r="W36" s="112">
        <v>0</v>
      </c>
      <c r="X36" s="115">
        <v>1.9257</v>
      </c>
      <c r="Y36" s="115">
        <v>1.9257</v>
      </c>
      <c r="Z36" s="116">
        <v>1.9258</v>
      </c>
      <c r="AA36" s="117">
        <v>1.9258</v>
      </c>
      <c r="AB36" s="112">
        <v>0</v>
      </c>
    </row>
    <row r="37" spans="1:28" ht="12" hidden="1" customHeight="1" outlineLevel="1" collapsed="1" x14ac:dyDescent="0.25">
      <c r="A37" s="114" t="s">
        <v>61</v>
      </c>
      <c r="B37" s="120">
        <v>0</v>
      </c>
      <c r="C37" s="120">
        <v>0</v>
      </c>
      <c r="D37" s="115">
        <v>0</v>
      </c>
      <c r="E37" s="115">
        <v>0</v>
      </c>
      <c r="F37" s="116">
        <v>0</v>
      </c>
      <c r="G37" s="117">
        <v>0</v>
      </c>
      <c r="H37" s="112">
        <v>0</v>
      </c>
      <c r="I37" s="115">
        <v>0</v>
      </c>
      <c r="J37" s="115">
        <v>0</v>
      </c>
      <c r="K37" s="116">
        <v>0</v>
      </c>
      <c r="L37" s="117">
        <v>0</v>
      </c>
      <c r="M37" s="112">
        <v>0</v>
      </c>
      <c r="N37" s="115">
        <v>0</v>
      </c>
      <c r="O37" s="115">
        <v>0</v>
      </c>
      <c r="P37" s="116">
        <v>0</v>
      </c>
      <c r="Q37" s="117">
        <v>0</v>
      </c>
      <c r="R37" s="112">
        <v>0</v>
      </c>
      <c r="S37" s="115">
        <v>0</v>
      </c>
      <c r="T37" s="115">
        <v>0</v>
      </c>
      <c r="U37" s="116">
        <v>0</v>
      </c>
      <c r="V37" s="117">
        <v>0</v>
      </c>
      <c r="W37" s="112">
        <v>0</v>
      </c>
      <c r="X37" s="115">
        <v>0</v>
      </c>
      <c r="Y37" s="115">
        <v>0</v>
      </c>
      <c r="Z37" s="116">
        <v>0</v>
      </c>
      <c r="AA37" s="117">
        <v>0</v>
      </c>
      <c r="AB37" s="112">
        <v>0</v>
      </c>
    </row>
    <row r="38" spans="1:28" ht="12" customHeight="1" collapsed="1" x14ac:dyDescent="0.25">
      <c r="A38" s="121" t="s">
        <v>62</v>
      </c>
      <c r="B38" s="120">
        <v>32.258099999999999</v>
      </c>
      <c r="C38" s="120">
        <v>40</v>
      </c>
      <c r="D38" s="119">
        <v>34.7074</v>
      </c>
      <c r="E38" s="119">
        <v>34.7074</v>
      </c>
      <c r="F38" s="119">
        <v>34.7074</v>
      </c>
      <c r="G38" s="119">
        <v>34.740099999999998</v>
      </c>
      <c r="H38" s="115">
        <f>G38 - C38</f>
        <v>-5.2599000000000018</v>
      </c>
      <c r="I38" s="119">
        <v>47.773499999999999</v>
      </c>
      <c r="J38" s="119">
        <v>47.773499999999999</v>
      </c>
      <c r="K38" s="119">
        <v>47.773499999999999</v>
      </c>
      <c r="L38" s="119">
        <v>47.8001</v>
      </c>
      <c r="M38" s="115">
        <f>L38 - C38</f>
        <v>7.8001000000000005</v>
      </c>
      <c r="N38" s="119">
        <v>47.745399999999997</v>
      </c>
      <c r="O38" s="119">
        <v>47.745399999999997</v>
      </c>
      <c r="P38" s="119">
        <v>47.745399999999997</v>
      </c>
      <c r="Q38" s="119">
        <v>47.8977</v>
      </c>
      <c r="R38" s="115">
        <f>Q38 - C38</f>
        <v>7.8977000000000004</v>
      </c>
      <c r="S38" s="119">
        <v>47.766199999999998</v>
      </c>
      <c r="T38" s="119">
        <v>47.766199999999998</v>
      </c>
      <c r="U38" s="119">
        <v>47.766199999999998</v>
      </c>
      <c r="V38" s="119">
        <v>47.8521</v>
      </c>
      <c r="W38" s="115">
        <f>V38 - C38</f>
        <v>7.8521000000000001</v>
      </c>
      <c r="X38" s="119">
        <v>47.746400000000001</v>
      </c>
      <c r="Y38" s="119">
        <v>47.746400000000001</v>
      </c>
      <c r="Z38" s="119">
        <v>47.746400000000001</v>
      </c>
      <c r="AA38" s="119">
        <v>47.7836</v>
      </c>
      <c r="AB38" s="115">
        <f>AA38 - C38</f>
        <v>7.7835999999999999</v>
      </c>
    </row>
    <row r="39" spans="1:28" ht="12" customHeight="1" x14ac:dyDescent="0.25">
      <c r="A39" s="121" t="s">
        <v>63</v>
      </c>
      <c r="B39" s="120">
        <v>6.2484000000000002</v>
      </c>
      <c r="C39" s="120">
        <v>6.1707000000000001</v>
      </c>
      <c r="D39" s="119">
        <v>2.6</v>
      </c>
      <c r="E39" s="119">
        <v>2.6</v>
      </c>
      <c r="F39" s="119">
        <v>2.7</v>
      </c>
      <c r="G39" s="119">
        <v>2.4245000000000001</v>
      </c>
      <c r="H39" s="115">
        <f>G39 - C39</f>
        <v>-3.7462</v>
      </c>
      <c r="I39" s="119">
        <v>2.6</v>
      </c>
      <c r="J39" s="119">
        <v>2.6</v>
      </c>
      <c r="K39" s="119">
        <v>2.3618999999999999</v>
      </c>
      <c r="L39" s="119">
        <v>2.5752000000000002</v>
      </c>
      <c r="M39" s="115">
        <f>L39 - C39</f>
        <v>-3.5954999999999999</v>
      </c>
      <c r="N39" s="119">
        <v>2.4</v>
      </c>
      <c r="O39" s="119">
        <v>2.4</v>
      </c>
      <c r="P39" s="119">
        <v>2.6</v>
      </c>
      <c r="Q39" s="119">
        <v>2.6707999999999998</v>
      </c>
      <c r="R39" s="115">
        <f>Q39 - C39</f>
        <v>-3.4999000000000002</v>
      </c>
      <c r="S39" s="119">
        <v>2.6</v>
      </c>
      <c r="T39" s="119">
        <v>2.6</v>
      </c>
      <c r="U39" s="119">
        <v>2.6</v>
      </c>
      <c r="V39" s="119">
        <v>2.4112</v>
      </c>
      <c r="W39" s="115">
        <f>V39 - C39</f>
        <v>-3.7595000000000001</v>
      </c>
      <c r="X39" s="119">
        <v>2.6</v>
      </c>
      <c r="Y39" s="119">
        <v>2.6</v>
      </c>
      <c r="Z39" s="119">
        <v>2.5</v>
      </c>
      <c r="AA39" s="119">
        <v>2.1276999999999999</v>
      </c>
      <c r="AB39" s="115">
        <f>AA39 - C39</f>
        <v>-4.0430000000000001</v>
      </c>
    </row>
    <row r="40" spans="1:28" ht="12" customHeight="1" x14ac:dyDescent="0.25">
      <c r="A40" s="121" t="s">
        <v>64</v>
      </c>
      <c r="B40" s="112"/>
      <c r="C40" s="112"/>
      <c r="D40" s="113">
        <v>0</v>
      </c>
      <c r="E40" s="113">
        <v>0</v>
      </c>
      <c r="F40" s="113">
        <v>0</v>
      </c>
      <c r="G40" s="113">
        <v>0</v>
      </c>
      <c r="H40" s="115"/>
      <c r="I40" s="113">
        <v>0</v>
      </c>
      <c r="J40" s="113">
        <v>0</v>
      </c>
      <c r="K40" s="113">
        <v>0</v>
      </c>
      <c r="L40" s="113">
        <v>0</v>
      </c>
      <c r="M40" s="115"/>
      <c r="N40" s="113">
        <v>0</v>
      </c>
      <c r="O40" s="113">
        <v>0</v>
      </c>
      <c r="P40" s="113">
        <v>0</v>
      </c>
      <c r="Q40" s="113">
        <v>0</v>
      </c>
      <c r="R40" s="115"/>
      <c r="S40" s="113">
        <v>0</v>
      </c>
      <c r="T40" s="113">
        <v>0</v>
      </c>
      <c r="U40" s="113">
        <v>0</v>
      </c>
      <c r="V40" s="113">
        <v>0</v>
      </c>
      <c r="W40" s="115"/>
      <c r="X40" s="113">
        <v>0</v>
      </c>
      <c r="Y40" s="113">
        <v>0</v>
      </c>
      <c r="Z40" s="113">
        <v>0</v>
      </c>
      <c r="AA40" s="113">
        <v>0</v>
      </c>
      <c r="AB40" s="115"/>
    </row>
    <row r="41" spans="1:28" ht="12" hidden="1" customHeight="1" outlineLevel="1" collapsed="1" x14ac:dyDescent="0.25">
      <c r="A41" s="114" t="s">
        <v>46</v>
      </c>
      <c r="B41" s="120">
        <v>0</v>
      </c>
      <c r="C41" s="120">
        <v>0</v>
      </c>
      <c r="D41" s="119">
        <v>0</v>
      </c>
      <c r="E41" s="119">
        <v>0</v>
      </c>
      <c r="F41" s="119">
        <v>0</v>
      </c>
      <c r="G41" s="119">
        <v>0</v>
      </c>
      <c r="H41" s="115">
        <v>0</v>
      </c>
      <c r="I41" s="119">
        <v>0</v>
      </c>
      <c r="J41" s="119">
        <v>0</v>
      </c>
      <c r="K41" s="119">
        <v>0</v>
      </c>
      <c r="L41" s="119">
        <v>0</v>
      </c>
      <c r="M41" s="115">
        <v>0</v>
      </c>
      <c r="N41" s="119">
        <v>0</v>
      </c>
      <c r="O41" s="119">
        <v>0</v>
      </c>
      <c r="P41" s="119">
        <v>0</v>
      </c>
      <c r="Q41" s="119">
        <v>0</v>
      </c>
      <c r="R41" s="115">
        <v>0</v>
      </c>
      <c r="S41" s="119">
        <v>0</v>
      </c>
      <c r="T41" s="119">
        <v>0</v>
      </c>
      <c r="U41" s="119">
        <v>0</v>
      </c>
      <c r="V41" s="119">
        <v>0</v>
      </c>
      <c r="W41" s="115">
        <v>0</v>
      </c>
      <c r="X41" s="119">
        <v>0</v>
      </c>
      <c r="Y41" s="119">
        <v>0</v>
      </c>
      <c r="Z41" s="119">
        <v>0</v>
      </c>
      <c r="AA41" s="119">
        <v>0</v>
      </c>
      <c r="AB41" s="115">
        <v>0</v>
      </c>
    </row>
    <row r="42" spans="1:28" ht="12" hidden="1" customHeight="1" outlineLevel="1" collapsed="1" x14ac:dyDescent="0.25">
      <c r="A42" s="114" t="s">
        <v>65</v>
      </c>
      <c r="B42" s="120">
        <v>0</v>
      </c>
      <c r="C42" s="120">
        <v>0</v>
      </c>
      <c r="D42" s="115">
        <v>0</v>
      </c>
      <c r="E42" s="115">
        <v>0</v>
      </c>
      <c r="F42" s="116">
        <v>0</v>
      </c>
      <c r="G42" s="117">
        <v>0</v>
      </c>
      <c r="H42" s="112">
        <v>0</v>
      </c>
      <c r="I42" s="115">
        <v>0</v>
      </c>
      <c r="J42" s="115">
        <v>0</v>
      </c>
      <c r="K42" s="116">
        <v>0</v>
      </c>
      <c r="L42" s="117">
        <v>0</v>
      </c>
      <c r="M42" s="112">
        <v>0</v>
      </c>
      <c r="N42" s="115">
        <v>0</v>
      </c>
      <c r="O42" s="115">
        <v>0</v>
      </c>
      <c r="P42" s="116">
        <v>0</v>
      </c>
      <c r="Q42" s="117">
        <v>0</v>
      </c>
      <c r="R42" s="112">
        <v>0</v>
      </c>
      <c r="S42" s="115">
        <v>0</v>
      </c>
      <c r="T42" s="115">
        <v>0</v>
      </c>
      <c r="U42" s="116">
        <v>0</v>
      </c>
      <c r="V42" s="117">
        <v>0</v>
      </c>
      <c r="W42" s="112">
        <v>0</v>
      </c>
      <c r="X42" s="115">
        <v>0</v>
      </c>
      <c r="Y42" s="115">
        <v>0</v>
      </c>
      <c r="Z42" s="116">
        <v>0</v>
      </c>
      <c r="AA42" s="117">
        <v>0</v>
      </c>
      <c r="AB42" s="112">
        <v>0</v>
      </c>
    </row>
    <row r="43" spans="1:28" ht="12" hidden="1" customHeight="1" outlineLevel="1" collapsed="1" x14ac:dyDescent="0.25">
      <c r="A43" s="114" t="s">
        <v>66</v>
      </c>
      <c r="B43" s="120">
        <v>0</v>
      </c>
      <c r="C43" s="120">
        <v>0</v>
      </c>
      <c r="D43" s="115">
        <v>0</v>
      </c>
      <c r="E43" s="115">
        <v>0</v>
      </c>
      <c r="F43" s="116">
        <v>0</v>
      </c>
      <c r="G43" s="117">
        <v>0</v>
      </c>
      <c r="H43" s="112">
        <v>0</v>
      </c>
      <c r="I43" s="115">
        <v>0</v>
      </c>
      <c r="J43" s="115">
        <v>0</v>
      </c>
      <c r="K43" s="116">
        <v>0</v>
      </c>
      <c r="L43" s="117">
        <v>0</v>
      </c>
      <c r="M43" s="112">
        <v>0</v>
      </c>
      <c r="N43" s="115">
        <v>0</v>
      </c>
      <c r="O43" s="115">
        <v>0</v>
      </c>
      <c r="P43" s="116">
        <v>0</v>
      </c>
      <c r="Q43" s="117">
        <v>0</v>
      </c>
      <c r="R43" s="112">
        <v>0</v>
      </c>
      <c r="S43" s="115">
        <v>0</v>
      </c>
      <c r="T43" s="115">
        <v>0</v>
      </c>
      <c r="U43" s="116">
        <v>0</v>
      </c>
      <c r="V43" s="117">
        <v>0</v>
      </c>
      <c r="W43" s="112">
        <v>0</v>
      </c>
      <c r="X43" s="115">
        <v>0</v>
      </c>
      <c r="Y43" s="115">
        <v>0</v>
      </c>
      <c r="Z43" s="116">
        <v>0</v>
      </c>
      <c r="AA43" s="117">
        <v>0</v>
      </c>
      <c r="AB43" s="112">
        <v>0</v>
      </c>
    </row>
    <row r="44" spans="1:28" ht="12" customHeight="1" collapsed="1" x14ac:dyDescent="0.25">
      <c r="A44" s="121" t="s">
        <v>67</v>
      </c>
      <c r="B44" s="112"/>
      <c r="C44" s="112"/>
      <c r="D44" s="113">
        <v>39.5</v>
      </c>
      <c r="E44" s="113">
        <v>39.5</v>
      </c>
      <c r="F44" s="113">
        <v>39.433</v>
      </c>
      <c r="G44" s="113">
        <v>39.314500000000002</v>
      </c>
      <c r="H44" s="115"/>
      <c r="I44" s="113">
        <v>39.433999999999997</v>
      </c>
      <c r="J44" s="113">
        <v>39.433999999999997</v>
      </c>
      <c r="K44" s="113">
        <v>39.371000000000002</v>
      </c>
      <c r="L44" s="113">
        <v>39.331800000000001</v>
      </c>
      <c r="M44" s="115"/>
      <c r="N44" s="113">
        <v>39.0184</v>
      </c>
      <c r="O44" s="113">
        <v>39.0184</v>
      </c>
      <c r="P44" s="113">
        <v>39.533200000000001</v>
      </c>
      <c r="Q44" s="113">
        <v>39.597000000000001</v>
      </c>
      <c r="R44" s="115"/>
      <c r="S44" s="113">
        <v>39.533000000000001</v>
      </c>
      <c r="T44" s="113">
        <v>39.533000000000001</v>
      </c>
      <c r="U44" s="113">
        <v>39.532899999999998</v>
      </c>
      <c r="V44" s="113">
        <v>39.594900000000003</v>
      </c>
      <c r="W44" s="115"/>
      <c r="X44" s="113">
        <v>39.549999999999997</v>
      </c>
      <c r="Y44" s="113">
        <v>39.549999999999997</v>
      </c>
      <c r="Z44" s="113">
        <v>39.489899999999999</v>
      </c>
      <c r="AA44" s="113">
        <v>39.489899999999999</v>
      </c>
      <c r="AB44" s="115"/>
    </row>
    <row r="45" spans="1:28" ht="12" hidden="1" customHeight="1" outlineLevel="1" collapsed="1" x14ac:dyDescent="0.25">
      <c r="A45" s="114" t="s">
        <v>44</v>
      </c>
      <c r="B45" s="112"/>
      <c r="C45" s="112"/>
      <c r="D45" s="115">
        <v>0</v>
      </c>
      <c r="E45" s="115">
        <v>0</v>
      </c>
      <c r="F45" s="116">
        <v>0</v>
      </c>
      <c r="G45" s="117">
        <v>0</v>
      </c>
      <c r="H45" s="112">
        <v>0</v>
      </c>
      <c r="I45" s="115">
        <v>0</v>
      </c>
      <c r="J45" s="115">
        <v>0</v>
      </c>
      <c r="K45" s="116">
        <v>0</v>
      </c>
      <c r="L45" s="117">
        <v>0</v>
      </c>
      <c r="M45" s="112">
        <v>0</v>
      </c>
      <c r="N45" s="115">
        <v>0</v>
      </c>
      <c r="O45" s="115">
        <v>0</v>
      </c>
      <c r="P45" s="116">
        <v>0</v>
      </c>
      <c r="Q45" s="117">
        <v>0</v>
      </c>
      <c r="R45" s="112">
        <v>0</v>
      </c>
      <c r="S45" s="115">
        <v>0</v>
      </c>
      <c r="T45" s="115">
        <v>0</v>
      </c>
      <c r="U45" s="116">
        <v>0</v>
      </c>
      <c r="V45" s="117">
        <v>0</v>
      </c>
      <c r="W45" s="112">
        <v>0</v>
      </c>
      <c r="X45" s="115">
        <v>0</v>
      </c>
      <c r="Y45" s="115">
        <v>0</v>
      </c>
      <c r="Z45" s="116">
        <v>0</v>
      </c>
      <c r="AA45" s="117">
        <v>0</v>
      </c>
      <c r="AB45" s="112">
        <v>0</v>
      </c>
    </row>
    <row r="46" spans="1:28" ht="12" hidden="1" customHeight="1" outlineLevel="1" collapsed="1" x14ac:dyDescent="0.25">
      <c r="A46" s="114" t="s">
        <v>45</v>
      </c>
      <c r="B46" s="112"/>
      <c r="C46" s="112"/>
      <c r="D46" s="115">
        <v>0</v>
      </c>
      <c r="E46" s="115">
        <v>0</v>
      </c>
      <c r="F46" s="116">
        <v>0</v>
      </c>
      <c r="G46" s="117">
        <v>0</v>
      </c>
      <c r="H46" s="112">
        <v>0</v>
      </c>
      <c r="I46" s="115">
        <v>0</v>
      </c>
      <c r="J46" s="115">
        <v>0</v>
      </c>
      <c r="K46" s="116">
        <v>0</v>
      </c>
      <c r="L46" s="117">
        <v>0</v>
      </c>
      <c r="M46" s="112">
        <v>0</v>
      </c>
      <c r="N46" s="115">
        <v>0</v>
      </c>
      <c r="O46" s="115">
        <v>0</v>
      </c>
      <c r="P46" s="116">
        <v>0</v>
      </c>
      <c r="Q46" s="117">
        <v>0</v>
      </c>
      <c r="R46" s="112">
        <v>0</v>
      </c>
      <c r="S46" s="115">
        <v>0</v>
      </c>
      <c r="T46" s="115">
        <v>0</v>
      </c>
      <c r="U46" s="116">
        <v>0</v>
      </c>
      <c r="V46" s="117">
        <v>0</v>
      </c>
      <c r="W46" s="112">
        <v>0</v>
      </c>
      <c r="X46" s="115">
        <v>0</v>
      </c>
      <c r="Y46" s="115">
        <v>0</v>
      </c>
      <c r="Z46" s="116">
        <v>0</v>
      </c>
      <c r="AA46" s="117">
        <v>0</v>
      </c>
      <c r="AB46" s="112">
        <v>0</v>
      </c>
    </row>
    <row r="47" spans="1:28" ht="12" customHeight="1" collapsed="1" x14ac:dyDescent="0.25">
      <c r="A47" s="114" t="s">
        <v>46</v>
      </c>
      <c r="B47" s="120">
        <v>93.480599999999995</v>
      </c>
      <c r="C47" s="120">
        <v>74.707300000000004</v>
      </c>
      <c r="D47" s="119">
        <v>39.5</v>
      </c>
      <c r="E47" s="119">
        <v>39.5</v>
      </c>
      <c r="F47" s="119">
        <v>39.433</v>
      </c>
      <c r="G47" s="119">
        <v>39.314500000000002</v>
      </c>
      <c r="H47" s="115">
        <f>G47 - C47</f>
        <v>-35.392800000000001</v>
      </c>
      <c r="I47" s="119">
        <v>39.433999999999997</v>
      </c>
      <c r="J47" s="119">
        <v>39.433999999999997</v>
      </c>
      <c r="K47" s="119">
        <v>39.371000000000002</v>
      </c>
      <c r="L47" s="119">
        <v>39.331800000000001</v>
      </c>
      <c r="M47" s="115">
        <f>L47 - C47</f>
        <v>-35.375500000000002</v>
      </c>
      <c r="N47" s="119">
        <v>39.0184</v>
      </c>
      <c r="O47" s="119">
        <v>39.0184</v>
      </c>
      <c r="P47" s="119">
        <v>39.533200000000001</v>
      </c>
      <c r="Q47" s="119">
        <v>39.597000000000001</v>
      </c>
      <c r="R47" s="115">
        <f>Q47 - C47</f>
        <v>-35.110300000000002</v>
      </c>
      <c r="S47" s="119">
        <v>39.533000000000001</v>
      </c>
      <c r="T47" s="119">
        <v>39.533000000000001</v>
      </c>
      <c r="U47" s="119">
        <v>39.532899999999998</v>
      </c>
      <c r="V47" s="119">
        <v>39.594900000000003</v>
      </c>
      <c r="W47" s="115">
        <f>V47 - C47</f>
        <v>-35.112400000000001</v>
      </c>
      <c r="X47" s="119">
        <v>39.549999999999997</v>
      </c>
      <c r="Y47" s="119">
        <v>39.549999999999997</v>
      </c>
      <c r="Z47" s="119">
        <v>39.489899999999999</v>
      </c>
      <c r="AA47" s="119">
        <v>39.489899999999999</v>
      </c>
      <c r="AB47" s="115">
        <f>AA47 - C47</f>
        <v>-35.217400000000005</v>
      </c>
    </row>
    <row r="48" spans="1:28" ht="12" customHeight="1" x14ac:dyDescent="0.25">
      <c r="A48" s="114" t="s">
        <v>68</v>
      </c>
      <c r="B48" s="120">
        <v>5.0805999999999996</v>
      </c>
      <c r="C48" s="120">
        <v>5.1566999999999998</v>
      </c>
      <c r="D48" s="115">
        <v>8.7369000000000003</v>
      </c>
      <c r="E48" s="115">
        <v>8.7369000000000003</v>
      </c>
      <c r="F48" s="116">
        <v>8.7364999999999995</v>
      </c>
      <c r="G48" s="117">
        <v>8.6180000000000003</v>
      </c>
      <c r="H48" s="112">
        <v>0</v>
      </c>
      <c r="I48" s="115">
        <v>8.7322000000000006</v>
      </c>
      <c r="J48" s="115">
        <v>8.7322000000000006</v>
      </c>
      <c r="K48" s="116">
        <v>8.7353000000000005</v>
      </c>
      <c r="L48" s="117">
        <v>8.6961999999999993</v>
      </c>
      <c r="M48" s="112">
        <v>0</v>
      </c>
      <c r="N48" s="115">
        <v>8.7704000000000004</v>
      </c>
      <c r="O48" s="115">
        <v>8.7704000000000004</v>
      </c>
      <c r="P48" s="116">
        <v>8.7703000000000007</v>
      </c>
      <c r="Q48" s="117">
        <v>8.8340999999999994</v>
      </c>
      <c r="R48" s="112">
        <v>0</v>
      </c>
      <c r="S48" s="115">
        <v>8.7703000000000007</v>
      </c>
      <c r="T48" s="115">
        <v>8.7703000000000007</v>
      </c>
      <c r="U48" s="116">
        <v>8.7685999999999993</v>
      </c>
      <c r="V48" s="117">
        <v>8.8305000000000007</v>
      </c>
      <c r="W48" s="112">
        <v>0</v>
      </c>
      <c r="X48" s="115">
        <v>8.7494999999999994</v>
      </c>
      <c r="Y48" s="115">
        <v>8.7494999999999994</v>
      </c>
      <c r="Z48" s="116">
        <v>8.7494999999999994</v>
      </c>
      <c r="AA48" s="117">
        <v>8.7494999999999994</v>
      </c>
      <c r="AB48" s="112">
        <v>0</v>
      </c>
    </row>
    <row r="49" spans="1:28" ht="12" customHeight="1" x14ac:dyDescent="0.25">
      <c r="A49" s="114" t="s">
        <v>59</v>
      </c>
      <c r="B49" s="120">
        <v>34.301299999999998</v>
      </c>
      <c r="C49" s="120">
        <v>31.400300000000001</v>
      </c>
      <c r="D49" s="115">
        <v>11.634600000000001</v>
      </c>
      <c r="E49" s="115">
        <v>11.634600000000001</v>
      </c>
      <c r="F49" s="116">
        <v>11.5677</v>
      </c>
      <c r="G49" s="117">
        <v>11.5677</v>
      </c>
      <c r="H49" s="112">
        <v>0</v>
      </c>
      <c r="I49" s="115">
        <v>11.569699999999999</v>
      </c>
      <c r="J49" s="115">
        <v>11.569699999999999</v>
      </c>
      <c r="K49" s="116">
        <v>11.503</v>
      </c>
      <c r="L49" s="117">
        <v>11.503</v>
      </c>
      <c r="M49" s="112">
        <v>0</v>
      </c>
      <c r="N49" s="115">
        <v>9.2951999999999995</v>
      </c>
      <c r="O49" s="115">
        <v>9.2951999999999995</v>
      </c>
      <c r="P49" s="116">
        <v>10.076000000000001</v>
      </c>
      <c r="Q49" s="117">
        <v>10.076000000000001</v>
      </c>
      <c r="R49" s="112">
        <v>0</v>
      </c>
      <c r="S49" s="115">
        <v>9.1824999999999992</v>
      </c>
      <c r="T49" s="115">
        <v>9.1824999999999992</v>
      </c>
      <c r="U49" s="116">
        <v>11.109500000000001</v>
      </c>
      <c r="V49" s="117">
        <v>11.109500000000001</v>
      </c>
      <c r="W49" s="112">
        <v>0</v>
      </c>
      <c r="X49" s="115">
        <v>11.653700000000001</v>
      </c>
      <c r="Y49" s="115">
        <v>11.653700000000001</v>
      </c>
      <c r="Z49" s="116">
        <v>11.5754</v>
      </c>
      <c r="AA49" s="117">
        <v>11.5754</v>
      </c>
      <c r="AB49" s="112">
        <v>0</v>
      </c>
    </row>
    <row r="50" spans="1:28" ht="12" hidden="1" customHeight="1" outlineLevel="1" collapsed="1" x14ac:dyDescent="0.25">
      <c r="A50" s="114" t="s">
        <v>69</v>
      </c>
      <c r="B50" s="120">
        <v>0</v>
      </c>
      <c r="C50" s="120">
        <v>0</v>
      </c>
      <c r="D50" s="115">
        <v>0</v>
      </c>
      <c r="E50" s="115">
        <v>0</v>
      </c>
      <c r="F50" s="116">
        <v>0</v>
      </c>
      <c r="G50" s="117">
        <v>0</v>
      </c>
      <c r="H50" s="112">
        <v>0</v>
      </c>
      <c r="I50" s="115">
        <v>0</v>
      </c>
      <c r="J50" s="115">
        <v>0</v>
      </c>
      <c r="K50" s="116">
        <v>0</v>
      </c>
      <c r="L50" s="117">
        <v>0</v>
      </c>
      <c r="M50" s="112">
        <v>0</v>
      </c>
      <c r="N50" s="115">
        <v>0</v>
      </c>
      <c r="O50" s="115">
        <v>0</v>
      </c>
      <c r="P50" s="116">
        <v>0</v>
      </c>
      <c r="Q50" s="117">
        <v>0</v>
      </c>
      <c r="R50" s="112">
        <v>0</v>
      </c>
      <c r="S50" s="115">
        <v>0</v>
      </c>
      <c r="T50" s="115">
        <v>0</v>
      </c>
      <c r="U50" s="116">
        <v>0</v>
      </c>
      <c r="V50" s="117">
        <v>0</v>
      </c>
      <c r="W50" s="112">
        <v>0</v>
      </c>
      <c r="X50" s="115">
        <v>0</v>
      </c>
      <c r="Y50" s="115">
        <v>0</v>
      </c>
      <c r="Z50" s="116">
        <v>0</v>
      </c>
      <c r="AA50" s="117">
        <v>0</v>
      </c>
      <c r="AB50" s="112">
        <v>0</v>
      </c>
    </row>
    <row r="51" spans="1:28" ht="12" customHeight="1" collapsed="1" x14ac:dyDescent="0.25">
      <c r="A51" s="114" t="s">
        <v>61</v>
      </c>
      <c r="B51" s="120">
        <v>4.2252000000000001</v>
      </c>
      <c r="C51" s="120">
        <v>11.757</v>
      </c>
      <c r="D51" s="115">
        <v>11.658099999999999</v>
      </c>
      <c r="E51" s="115">
        <v>11.658099999999999</v>
      </c>
      <c r="F51" s="116">
        <v>11.658300000000001</v>
      </c>
      <c r="G51" s="117">
        <v>11.658300000000001</v>
      </c>
      <c r="H51" s="112">
        <v>0</v>
      </c>
      <c r="I51" s="115">
        <v>11.660399999999999</v>
      </c>
      <c r="J51" s="115">
        <v>11.660399999999999</v>
      </c>
      <c r="K51" s="116">
        <v>11.660600000000001</v>
      </c>
      <c r="L51" s="117">
        <v>11.660600000000001</v>
      </c>
      <c r="M51" s="112">
        <v>0</v>
      </c>
      <c r="N51" s="115">
        <v>11.6637</v>
      </c>
      <c r="O51" s="115">
        <v>11.6637</v>
      </c>
      <c r="P51" s="116">
        <v>11.664400000000001</v>
      </c>
      <c r="Q51" s="117">
        <v>11.664400000000001</v>
      </c>
      <c r="R51" s="112">
        <v>0</v>
      </c>
      <c r="S51" s="115">
        <v>11.6715</v>
      </c>
      <c r="T51" s="115">
        <v>11.6715</v>
      </c>
      <c r="U51" s="116">
        <v>11.6714</v>
      </c>
      <c r="V51" s="117">
        <v>11.6714</v>
      </c>
      <c r="W51" s="112">
        <v>0</v>
      </c>
      <c r="X51" s="115">
        <v>11.6693</v>
      </c>
      <c r="Y51" s="115">
        <v>11.6693</v>
      </c>
      <c r="Z51" s="116">
        <v>11.669</v>
      </c>
      <c r="AA51" s="117">
        <v>11.669</v>
      </c>
      <c r="AB51" s="112">
        <v>0</v>
      </c>
    </row>
    <row r="52" spans="1:28" ht="12" hidden="1" customHeight="1" outlineLevel="1" collapsed="1" x14ac:dyDescent="0.25">
      <c r="A52" s="114" t="s">
        <v>70</v>
      </c>
      <c r="B52" s="120">
        <v>12.086399999999999</v>
      </c>
      <c r="C52" s="120">
        <v>16.687000000000001</v>
      </c>
      <c r="D52" s="115">
        <v>0</v>
      </c>
      <c r="E52" s="115">
        <v>0</v>
      </c>
      <c r="F52" s="116">
        <v>0</v>
      </c>
      <c r="G52" s="117">
        <v>0</v>
      </c>
      <c r="H52" s="112">
        <v>0</v>
      </c>
      <c r="I52" s="115">
        <v>0</v>
      </c>
      <c r="J52" s="115">
        <v>0</v>
      </c>
      <c r="K52" s="116">
        <v>0</v>
      </c>
      <c r="L52" s="117">
        <v>0</v>
      </c>
      <c r="M52" s="112">
        <v>0</v>
      </c>
      <c r="N52" s="115">
        <v>0</v>
      </c>
      <c r="O52" s="115">
        <v>0</v>
      </c>
      <c r="P52" s="116">
        <v>0</v>
      </c>
      <c r="Q52" s="117">
        <v>0</v>
      </c>
      <c r="R52" s="112">
        <v>0</v>
      </c>
      <c r="S52" s="115">
        <v>0</v>
      </c>
      <c r="T52" s="115">
        <v>0</v>
      </c>
      <c r="U52" s="116">
        <v>0</v>
      </c>
      <c r="V52" s="117">
        <v>0</v>
      </c>
      <c r="W52" s="112">
        <v>0</v>
      </c>
      <c r="X52" s="115">
        <v>0</v>
      </c>
      <c r="Y52" s="115">
        <v>0</v>
      </c>
      <c r="Z52" s="116">
        <v>0</v>
      </c>
      <c r="AA52" s="117">
        <v>0</v>
      </c>
      <c r="AB52" s="112">
        <v>0</v>
      </c>
    </row>
    <row r="53" spans="1:28" ht="12" hidden="1" customHeight="1" outlineLevel="1" collapsed="1" x14ac:dyDescent="0.25">
      <c r="A53" s="114" t="s">
        <v>71</v>
      </c>
      <c r="B53" s="120">
        <v>0</v>
      </c>
      <c r="C53" s="120">
        <v>0</v>
      </c>
      <c r="D53" s="115">
        <v>0</v>
      </c>
      <c r="E53" s="115">
        <v>0</v>
      </c>
      <c r="F53" s="116">
        <v>0</v>
      </c>
      <c r="G53" s="117">
        <v>0</v>
      </c>
      <c r="H53" s="112">
        <v>0</v>
      </c>
      <c r="I53" s="115">
        <v>0</v>
      </c>
      <c r="J53" s="115">
        <v>0</v>
      </c>
      <c r="K53" s="116">
        <v>0</v>
      </c>
      <c r="L53" s="117">
        <v>0</v>
      </c>
      <c r="M53" s="112">
        <v>0</v>
      </c>
      <c r="N53" s="115">
        <v>0</v>
      </c>
      <c r="O53" s="115">
        <v>0</v>
      </c>
      <c r="P53" s="116">
        <v>0</v>
      </c>
      <c r="Q53" s="117">
        <v>0</v>
      </c>
      <c r="R53" s="112">
        <v>0</v>
      </c>
      <c r="S53" s="115">
        <v>0</v>
      </c>
      <c r="T53" s="115">
        <v>0</v>
      </c>
      <c r="U53" s="116">
        <v>0</v>
      </c>
      <c r="V53" s="117">
        <v>0</v>
      </c>
      <c r="W53" s="112">
        <v>0</v>
      </c>
      <c r="X53" s="115">
        <v>0</v>
      </c>
      <c r="Y53" s="115">
        <v>0</v>
      </c>
      <c r="Z53" s="116">
        <v>0</v>
      </c>
      <c r="AA53" s="117">
        <v>0</v>
      </c>
      <c r="AB53" s="112">
        <v>0</v>
      </c>
    </row>
    <row r="54" spans="1:28" ht="12" hidden="1" customHeight="1" outlineLevel="1" collapsed="1" x14ac:dyDescent="0.25">
      <c r="A54" s="114" t="s">
        <v>72</v>
      </c>
      <c r="B54" s="120">
        <v>0</v>
      </c>
      <c r="C54" s="120">
        <v>0</v>
      </c>
      <c r="D54" s="115">
        <v>0</v>
      </c>
      <c r="E54" s="115">
        <v>0</v>
      </c>
      <c r="F54" s="116">
        <v>0</v>
      </c>
      <c r="G54" s="117">
        <v>0</v>
      </c>
      <c r="H54" s="112">
        <v>0</v>
      </c>
      <c r="I54" s="115">
        <v>0</v>
      </c>
      <c r="J54" s="115">
        <v>0</v>
      </c>
      <c r="K54" s="116">
        <v>0</v>
      </c>
      <c r="L54" s="117">
        <v>0</v>
      </c>
      <c r="M54" s="112">
        <v>0</v>
      </c>
      <c r="N54" s="115">
        <v>0</v>
      </c>
      <c r="O54" s="115">
        <v>0</v>
      </c>
      <c r="P54" s="116">
        <v>0</v>
      </c>
      <c r="Q54" s="117">
        <v>0</v>
      </c>
      <c r="R54" s="112">
        <v>0</v>
      </c>
      <c r="S54" s="115">
        <v>0</v>
      </c>
      <c r="T54" s="115">
        <v>0</v>
      </c>
      <c r="U54" s="116">
        <v>0</v>
      </c>
      <c r="V54" s="117">
        <v>0</v>
      </c>
      <c r="W54" s="112">
        <v>0</v>
      </c>
      <c r="X54" s="115">
        <v>0</v>
      </c>
      <c r="Y54" s="115">
        <v>0</v>
      </c>
      <c r="Z54" s="116">
        <v>0</v>
      </c>
      <c r="AA54" s="117">
        <v>0</v>
      </c>
      <c r="AB54" s="112">
        <v>0</v>
      </c>
    </row>
    <row r="55" spans="1:28" ht="12" hidden="1" customHeight="1" outlineLevel="1" collapsed="1" x14ac:dyDescent="0.25">
      <c r="A55" s="114" t="s">
        <v>58</v>
      </c>
      <c r="B55" s="120">
        <v>0</v>
      </c>
      <c r="C55" s="120">
        <v>0</v>
      </c>
      <c r="D55" s="115">
        <v>0</v>
      </c>
      <c r="E55" s="115">
        <v>0</v>
      </c>
      <c r="F55" s="116">
        <v>0</v>
      </c>
      <c r="G55" s="117">
        <v>0</v>
      </c>
      <c r="H55" s="112">
        <v>0</v>
      </c>
      <c r="I55" s="115">
        <v>0</v>
      </c>
      <c r="J55" s="115">
        <v>0</v>
      </c>
      <c r="K55" s="116">
        <v>0</v>
      </c>
      <c r="L55" s="117">
        <v>0</v>
      </c>
      <c r="M55" s="112">
        <v>0</v>
      </c>
      <c r="N55" s="115">
        <v>0</v>
      </c>
      <c r="O55" s="115">
        <v>0</v>
      </c>
      <c r="P55" s="116">
        <v>0</v>
      </c>
      <c r="Q55" s="117">
        <v>0</v>
      </c>
      <c r="R55" s="112">
        <v>0</v>
      </c>
      <c r="S55" s="115">
        <v>0</v>
      </c>
      <c r="T55" s="115">
        <v>0</v>
      </c>
      <c r="U55" s="116">
        <v>0</v>
      </c>
      <c r="V55" s="117">
        <v>0</v>
      </c>
      <c r="W55" s="112">
        <v>0</v>
      </c>
      <c r="X55" s="115">
        <v>0</v>
      </c>
      <c r="Y55" s="115">
        <v>0</v>
      </c>
      <c r="Z55" s="116">
        <v>0</v>
      </c>
      <c r="AA55" s="117">
        <v>0</v>
      </c>
      <c r="AB55" s="112">
        <v>0</v>
      </c>
    </row>
    <row r="56" spans="1:28" ht="12" customHeight="1" collapsed="1" x14ac:dyDescent="0.25">
      <c r="A56" s="114" t="s">
        <v>47</v>
      </c>
      <c r="B56" s="120">
        <v>28.08</v>
      </c>
      <c r="C56" s="120">
        <v>0</v>
      </c>
      <c r="D56" s="115">
        <v>4.1398999999999999</v>
      </c>
      <c r="E56" s="115">
        <v>4.1398999999999999</v>
      </c>
      <c r="F56" s="116">
        <v>4.1399999999999997</v>
      </c>
      <c r="G56" s="117">
        <v>4.1399999999999997</v>
      </c>
      <c r="H56" s="112">
        <v>0</v>
      </c>
      <c r="I56" s="115">
        <v>4.1406999999999998</v>
      </c>
      <c r="J56" s="115">
        <v>4.1406999999999998</v>
      </c>
      <c r="K56" s="116">
        <v>4.1407999999999996</v>
      </c>
      <c r="L56" s="117">
        <v>4.1407999999999996</v>
      </c>
      <c r="M56" s="112">
        <v>0</v>
      </c>
      <c r="N56" s="115">
        <v>5.9569999999999999</v>
      </c>
      <c r="O56" s="115">
        <v>5.9569999999999999</v>
      </c>
      <c r="P56" s="116">
        <v>5.6901999999999999</v>
      </c>
      <c r="Q56" s="117">
        <v>5.6901999999999999</v>
      </c>
      <c r="R56" s="112">
        <v>0</v>
      </c>
      <c r="S56" s="115">
        <v>6.5743999999999998</v>
      </c>
      <c r="T56" s="115">
        <v>6.5743999999999998</v>
      </c>
      <c r="U56" s="116">
        <v>4.6493000000000002</v>
      </c>
      <c r="V56" s="117">
        <v>4.6493000000000002</v>
      </c>
      <c r="W56" s="112">
        <v>0</v>
      </c>
      <c r="X56" s="115">
        <v>4.1439000000000004</v>
      </c>
      <c r="Y56" s="115">
        <v>4.1439000000000004</v>
      </c>
      <c r="Z56" s="116">
        <v>4.1623999999999999</v>
      </c>
      <c r="AA56" s="117">
        <v>4.1623999999999999</v>
      </c>
      <c r="AB56" s="112">
        <v>0</v>
      </c>
    </row>
    <row r="57" spans="1:28" ht="12" customHeight="1" x14ac:dyDescent="0.25">
      <c r="A57" s="114" t="s">
        <v>57</v>
      </c>
      <c r="B57" s="120">
        <v>9.7072000000000003</v>
      </c>
      <c r="C57" s="120">
        <v>9.7063000000000006</v>
      </c>
      <c r="D57" s="115">
        <v>3.3304999999999998</v>
      </c>
      <c r="E57" s="115">
        <v>3.3304999999999998</v>
      </c>
      <c r="F57" s="116">
        <v>3.3304999999999998</v>
      </c>
      <c r="G57" s="117">
        <v>3.3304999999999998</v>
      </c>
      <c r="H57" s="112">
        <v>0</v>
      </c>
      <c r="I57" s="115">
        <v>3.3311000000000002</v>
      </c>
      <c r="J57" s="115">
        <v>3.3311000000000002</v>
      </c>
      <c r="K57" s="116">
        <v>3.3311999999999999</v>
      </c>
      <c r="L57" s="117">
        <v>3.3311999999999999</v>
      </c>
      <c r="M57" s="112">
        <v>0</v>
      </c>
      <c r="N57" s="115">
        <v>3.3321000000000001</v>
      </c>
      <c r="O57" s="115">
        <v>3.3321000000000001</v>
      </c>
      <c r="P57" s="116">
        <v>3.3321999999999998</v>
      </c>
      <c r="Q57" s="117">
        <v>3.3321999999999998</v>
      </c>
      <c r="R57" s="112">
        <v>0</v>
      </c>
      <c r="S57" s="115">
        <v>3.3342999999999998</v>
      </c>
      <c r="T57" s="115">
        <v>3.3342999999999998</v>
      </c>
      <c r="U57" s="116">
        <v>3.3342000000000001</v>
      </c>
      <c r="V57" s="117">
        <v>3.3342000000000001</v>
      </c>
      <c r="W57" s="112">
        <v>0</v>
      </c>
      <c r="X57" s="115">
        <v>3.3336999999999999</v>
      </c>
      <c r="Y57" s="115">
        <v>3.3336999999999999</v>
      </c>
      <c r="Z57" s="116">
        <v>3.3336000000000001</v>
      </c>
      <c r="AA57" s="117">
        <v>3.3336000000000001</v>
      </c>
      <c r="AB57" s="112">
        <v>0</v>
      </c>
    </row>
    <row r="58" spans="1:28" ht="12" hidden="1" customHeight="1" outlineLevel="1" collapsed="1" x14ac:dyDescent="0.25">
      <c r="A58" s="114" t="s">
        <v>52</v>
      </c>
      <c r="B58" s="120">
        <v>0</v>
      </c>
      <c r="C58" s="120">
        <v>0</v>
      </c>
      <c r="D58" s="115">
        <v>0</v>
      </c>
      <c r="E58" s="115">
        <v>0</v>
      </c>
      <c r="F58" s="116">
        <v>0</v>
      </c>
      <c r="G58" s="117">
        <v>0</v>
      </c>
      <c r="H58" s="112">
        <v>0</v>
      </c>
      <c r="I58" s="115">
        <v>0</v>
      </c>
      <c r="J58" s="115">
        <v>0</v>
      </c>
      <c r="K58" s="116">
        <v>0</v>
      </c>
      <c r="L58" s="117">
        <v>0</v>
      </c>
      <c r="M58" s="112">
        <v>0</v>
      </c>
      <c r="N58" s="115">
        <v>0</v>
      </c>
      <c r="O58" s="115">
        <v>0</v>
      </c>
      <c r="P58" s="116">
        <v>0</v>
      </c>
      <c r="Q58" s="117">
        <v>0</v>
      </c>
      <c r="R58" s="112">
        <v>0</v>
      </c>
      <c r="S58" s="115">
        <v>0</v>
      </c>
      <c r="T58" s="115">
        <v>0</v>
      </c>
      <c r="U58" s="116">
        <v>0</v>
      </c>
      <c r="V58" s="117">
        <v>0</v>
      </c>
      <c r="W58" s="112">
        <v>0</v>
      </c>
      <c r="X58" s="115">
        <v>0</v>
      </c>
      <c r="Y58" s="115">
        <v>0</v>
      </c>
      <c r="Z58" s="116">
        <v>0</v>
      </c>
      <c r="AA58" s="117">
        <v>0</v>
      </c>
      <c r="AB58" s="112">
        <v>0</v>
      </c>
    </row>
    <row r="59" spans="1:28" ht="12" hidden="1" customHeight="1" outlineLevel="1" collapsed="1" x14ac:dyDescent="0.25">
      <c r="A59" s="114" t="s">
        <v>48</v>
      </c>
      <c r="B59" s="120">
        <v>0</v>
      </c>
      <c r="C59" s="120">
        <v>0</v>
      </c>
      <c r="D59" s="115">
        <v>0</v>
      </c>
      <c r="E59" s="115">
        <v>0</v>
      </c>
      <c r="F59" s="116">
        <v>0</v>
      </c>
      <c r="G59" s="117">
        <v>0</v>
      </c>
      <c r="H59" s="112">
        <v>0</v>
      </c>
      <c r="I59" s="115">
        <v>0</v>
      </c>
      <c r="J59" s="115">
        <v>0</v>
      </c>
      <c r="K59" s="116">
        <v>0</v>
      </c>
      <c r="L59" s="117">
        <v>0</v>
      </c>
      <c r="M59" s="112">
        <v>0</v>
      </c>
      <c r="N59" s="115">
        <v>0</v>
      </c>
      <c r="O59" s="115">
        <v>0</v>
      </c>
      <c r="P59" s="116">
        <v>0</v>
      </c>
      <c r="Q59" s="117">
        <v>0</v>
      </c>
      <c r="R59" s="112">
        <v>0</v>
      </c>
      <c r="S59" s="115">
        <v>0</v>
      </c>
      <c r="T59" s="115">
        <v>0</v>
      </c>
      <c r="U59" s="116">
        <v>0</v>
      </c>
      <c r="V59" s="117">
        <v>0</v>
      </c>
      <c r="W59" s="112">
        <v>0</v>
      </c>
      <c r="X59" s="115">
        <v>0</v>
      </c>
      <c r="Y59" s="115">
        <v>0</v>
      </c>
      <c r="Z59" s="116">
        <v>0</v>
      </c>
      <c r="AA59" s="117">
        <v>0</v>
      </c>
      <c r="AB59" s="112">
        <v>0</v>
      </c>
    </row>
    <row r="60" spans="1:28" ht="12" hidden="1" customHeight="1" outlineLevel="1" collapsed="1" x14ac:dyDescent="0.25">
      <c r="A60" s="114" t="s">
        <v>60</v>
      </c>
      <c r="B60" s="120">
        <v>0</v>
      </c>
      <c r="C60" s="120">
        <v>0</v>
      </c>
      <c r="D60" s="115">
        <v>0</v>
      </c>
      <c r="E60" s="115">
        <v>0</v>
      </c>
      <c r="F60" s="116">
        <v>0</v>
      </c>
      <c r="G60" s="117">
        <v>0</v>
      </c>
      <c r="H60" s="112">
        <v>0</v>
      </c>
      <c r="I60" s="115">
        <v>0</v>
      </c>
      <c r="J60" s="115">
        <v>0</v>
      </c>
      <c r="K60" s="116">
        <v>0</v>
      </c>
      <c r="L60" s="117">
        <v>0</v>
      </c>
      <c r="M60" s="112">
        <v>0</v>
      </c>
      <c r="N60" s="115">
        <v>0</v>
      </c>
      <c r="O60" s="115">
        <v>0</v>
      </c>
      <c r="P60" s="116">
        <v>0</v>
      </c>
      <c r="Q60" s="117">
        <v>0</v>
      </c>
      <c r="R60" s="112">
        <v>0</v>
      </c>
      <c r="S60" s="115">
        <v>0</v>
      </c>
      <c r="T60" s="115">
        <v>0</v>
      </c>
      <c r="U60" s="116">
        <v>0</v>
      </c>
      <c r="V60" s="117">
        <v>0</v>
      </c>
      <c r="W60" s="112">
        <v>0</v>
      </c>
      <c r="X60" s="115">
        <v>0</v>
      </c>
      <c r="Y60" s="115">
        <v>0</v>
      </c>
      <c r="Z60" s="116">
        <v>0</v>
      </c>
      <c r="AA60" s="117">
        <v>0</v>
      </c>
      <c r="AB60" s="112">
        <v>0</v>
      </c>
    </row>
    <row r="61" spans="1:28" ht="12" hidden="1" customHeight="1" outlineLevel="1" collapsed="1" x14ac:dyDescent="0.25">
      <c r="A61" s="114" t="s">
        <v>56</v>
      </c>
      <c r="B61" s="120">
        <v>0</v>
      </c>
      <c r="C61" s="120">
        <v>0</v>
      </c>
      <c r="D61" s="115">
        <v>0</v>
      </c>
      <c r="E61" s="115">
        <v>0</v>
      </c>
      <c r="F61" s="116">
        <v>0</v>
      </c>
      <c r="G61" s="117">
        <v>0</v>
      </c>
      <c r="H61" s="112">
        <v>0</v>
      </c>
      <c r="I61" s="115">
        <v>0</v>
      </c>
      <c r="J61" s="115">
        <v>0</v>
      </c>
      <c r="K61" s="116">
        <v>0</v>
      </c>
      <c r="L61" s="117">
        <v>0</v>
      </c>
      <c r="M61" s="112">
        <v>0</v>
      </c>
      <c r="N61" s="115">
        <v>0</v>
      </c>
      <c r="O61" s="115">
        <v>0</v>
      </c>
      <c r="P61" s="116">
        <v>0</v>
      </c>
      <c r="Q61" s="117">
        <v>0</v>
      </c>
      <c r="R61" s="112">
        <v>0</v>
      </c>
      <c r="S61" s="115">
        <v>0</v>
      </c>
      <c r="T61" s="115">
        <v>0</v>
      </c>
      <c r="U61" s="116">
        <v>0</v>
      </c>
      <c r="V61" s="117">
        <v>0</v>
      </c>
      <c r="W61" s="112">
        <v>0</v>
      </c>
      <c r="X61" s="115">
        <v>0</v>
      </c>
      <c r="Y61" s="115">
        <v>0</v>
      </c>
      <c r="Z61" s="116">
        <v>0</v>
      </c>
      <c r="AA61" s="117">
        <v>0</v>
      </c>
      <c r="AB61" s="112">
        <v>0</v>
      </c>
    </row>
    <row r="62" spans="1:28" ht="12" customHeight="1" collapsed="1" x14ac:dyDescent="0.25">
      <c r="A62" s="121" t="s">
        <v>73</v>
      </c>
      <c r="B62" s="112"/>
      <c r="C62" s="112"/>
      <c r="D62" s="113">
        <v>167.4</v>
      </c>
      <c r="E62" s="113">
        <v>167.4</v>
      </c>
      <c r="F62" s="113">
        <v>167.4</v>
      </c>
      <c r="G62" s="113">
        <v>167.4</v>
      </c>
      <c r="H62" s="115"/>
      <c r="I62" s="113">
        <v>167.4</v>
      </c>
      <c r="J62" s="113">
        <v>167.4</v>
      </c>
      <c r="K62" s="113">
        <v>167.4</v>
      </c>
      <c r="L62" s="113">
        <v>167.4</v>
      </c>
      <c r="M62" s="115"/>
      <c r="N62" s="113">
        <v>167.4</v>
      </c>
      <c r="O62" s="113">
        <v>167.4</v>
      </c>
      <c r="P62" s="113">
        <v>167.4</v>
      </c>
      <c r="Q62" s="113">
        <v>167.4</v>
      </c>
      <c r="R62" s="115"/>
      <c r="S62" s="113">
        <v>167.4</v>
      </c>
      <c r="T62" s="113">
        <v>167.4</v>
      </c>
      <c r="U62" s="113">
        <v>167.4</v>
      </c>
      <c r="V62" s="113">
        <v>167.4</v>
      </c>
      <c r="W62" s="115"/>
      <c r="X62" s="113">
        <v>167.4</v>
      </c>
      <c r="Y62" s="113">
        <v>167.4</v>
      </c>
      <c r="Z62" s="113">
        <v>167.4</v>
      </c>
      <c r="AA62" s="113">
        <v>167.4</v>
      </c>
      <c r="AB62" s="115"/>
    </row>
    <row r="63" spans="1:28" ht="12" customHeight="1" x14ac:dyDescent="0.25">
      <c r="A63" s="114" t="s">
        <v>44</v>
      </c>
      <c r="B63" s="112"/>
      <c r="C63" s="112"/>
      <c r="D63" s="115">
        <v>11.493600000000001</v>
      </c>
      <c r="E63" s="115">
        <v>11.493600000000001</v>
      </c>
      <c r="F63" s="116">
        <v>11.376300000000001</v>
      </c>
      <c r="G63" s="117">
        <v>11.376300000000001</v>
      </c>
      <c r="H63" s="112">
        <v>0</v>
      </c>
      <c r="I63" s="115">
        <v>10.6401</v>
      </c>
      <c r="J63" s="115">
        <v>10.6401</v>
      </c>
      <c r="K63" s="116">
        <v>10.5733</v>
      </c>
      <c r="L63" s="117">
        <v>10.5733</v>
      </c>
      <c r="M63" s="112">
        <v>0</v>
      </c>
      <c r="N63" s="115">
        <v>10.0427</v>
      </c>
      <c r="O63" s="115">
        <v>10.0427</v>
      </c>
      <c r="P63" s="116">
        <v>9.7216000000000005</v>
      </c>
      <c r="Q63" s="117">
        <v>9.7216000000000005</v>
      </c>
      <c r="R63" s="112">
        <v>0</v>
      </c>
      <c r="S63" s="115">
        <v>6.8437999999999999</v>
      </c>
      <c r="T63" s="115">
        <v>6.8437999999999999</v>
      </c>
      <c r="U63" s="116">
        <v>7.1147</v>
      </c>
      <c r="V63" s="117">
        <v>7.1147</v>
      </c>
      <c r="W63" s="112">
        <v>0</v>
      </c>
      <c r="X63" s="115">
        <v>7.9635999999999996</v>
      </c>
      <c r="Y63" s="115">
        <v>7.9635999999999996</v>
      </c>
      <c r="Z63" s="116">
        <v>8.2003000000000004</v>
      </c>
      <c r="AA63" s="117">
        <v>8.2003000000000004</v>
      </c>
      <c r="AB63" s="112">
        <v>0</v>
      </c>
    </row>
    <row r="64" spans="1:28" ht="12" hidden="1" customHeight="1" outlineLevel="1" collapsed="1" x14ac:dyDescent="0.25">
      <c r="A64" s="114" t="s">
        <v>45</v>
      </c>
      <c r="B64" s="112"/>
      <c r="C64" s="112"/>
      <c r="D64" s="115">
        <v>0</v>
      </c>
      <c r="E64" s="115">
        <v>0</v>
      </c>
      <c r="F64" s="116">
        <v>0</v>
      </c>
      <c r="G64" s="117">
        <v>0</v>
      </c>
      <c r="H64" s="112">
        <v>0</v>
      </c>
      <c r="I64" s="115">
        <v>0</v>
      </c>
      <c r="J64" s="115">
        <v>0</v>
      </c>
      <c r="K64" s="116">
        <v>0</v>
      </c>
      <c r="L64" s="117">
        <v>0</v>
      </c>
      <c r="M64" s="112">
        <v>0</v>
      </c>
      <c r="N64" s="115">
        <v>0</v>
      </c>
      <c r="O64" s="115">
        <v>0</v>
      </c>
      <c r="P64" s="116">
        <v>0</v>
      </c>
      <c r="Q64" s="117">
        <v>0</v>
      </c>
      <c r="R64" s="112">
        <v>0</v>
      </c>
      <c r="S64" s="115">
        <v>0</v>
      </c>
      <c r="T64" s="115">
        <v>0</v>
      </c>
      <c r="U64" s="116">
        <v>0</v>
      </c>
      <c r="V64" s="117">
        <v>0</v>
      </c>
      <c r="W64" s="112">
        <v>0</v>
      </c>
      <c r="X64" s="115">
        <v>0</v>
      </c>
      <c r="Y64" s="115">
        <v>0</v>
      </c>
      <c r="Z64" s="116">
        <v>0</v>
      </c>
      <c r="AA64" s="117">
        <v>0</v>
      </c>
      <c r="AB64" s="112">
        <v>0</v>
      </c>
    </row>
    <row r="65" spans="1:28" ht="12" customHeight="1" collapsed="1" x14ac:dyDescent="0.25">
      <c r="A65" s="114" t="s">
        <v>46</v>
      </c>
      <c r="B65" s="120">
        <v>167.3578</v>
      </c>
      <c r="C65" s="120">
        <v>130.126</v>
      </c>
      <c r="D65" s="119">
        <v>155.90639999999999</v>
      </c>
      <c r="E65" s="119">
        <v>155.90639999999999</v>
      </c>
      <c r="F65" s="119">
        <v>156.02369999999999</v>
      </c>
      <c r="G65" s="119">
        <v>156.02369999999999</v>
      </c>
      <c r="H65" s="115">
        <f>G65 - C65</f>
        <v>25.897699999999986</v>
      </c>
      <c r="I65" s="119">
        <v>156.75989999999999</v>
      </c>
      <c r="J65" s="119">
        <v>156.75989999999999</v>
      </c>
      <c r="K65" s="119">
        <v>156.82669999999999</v>
      </c>
      <c r="L65" s="119">
        <v>156.82669999999999</v>
      </c>
      <c r="M65" s="115">
        <f>L65 - C65</f>
        <v>26.700699999999983</v>
      </c>
      <c r="N65" s="119">
        <v>157.35730000000001</v>
      </c>
      <c r="O65" s="119">
        <v>157.35730000000001</v>
      </c>
      <c r="P65" s="119">
        <v>157.67840000000001</v>
      </c>
      <c r="Q65" s="119">
        <v>157.67840000000001</v>
      </c>
      <c r="R65" s="115">
        <f>Q65 - C65</f>
        <v>27.552400000000006</v>
      </c>
      <c r="S65" s="119">
        <v>160.55619999999999</v>
      </c>
      <c r="T65" s="119">
        <v>160.55619999999999</v>
      </c>
      <c r="U65" s="119">
        <v>160.28530000000001</v>
      </c>
      <c r="V65" s="119">
        <v>160.28530000000001</v>
      </c>
      <c r="W65" s="115">
        <f>V65 - C65</f>
        <v>30.159300000000002</v>
      </c>
      <c r="X65" s="119">
        <v>159.43639999999999</v>
      </c>
      <c r="Y65" s="119">
        <v>159.43639999999999</v>
      </c>
      <c r="Z65" s="119">
        <v>159.19970000000001</v>
      </c>
      <c r="AA65" s="119">
        <v>159.19970000000001</v>
      </c>
      <c r="AB65" s="115">
        <f>AA65 - C65</f>
        <v>29.073700000000002</v>
      </c>
    </row>
    <row r="66" spans="1:28" ht="12" customHeight="1" x14ac:dyDescent="0.25">
      <c r="A66" s="114" t="s">
        <v>71</v>
      </c>
      <c r="B66" s="120">
        <v>5.6452</v>
      </c>
      <c r="C66" s="120">
        <v>5.6333000000000002</v>
      </c>
      <c r="D66" s="115">
        <v>5.6546000000000003</v>
      </c>
      <c r="E66" s="115">
        <v>5.6546000000000003</v>
      </c>
      <c r="F66" s="116">
        <v>5.6546000000000003</v>
      </c>
      <c r="G66" s="117">
        <v>5.6546000000000003</v>
      </c>
      <c r="H66" s="112">
        <v>0</v>
      </c>
      <c r="I66" s="115">
        <v>5.6546000000000003</v>
      </c>
      <c r="J66" s="115">
        <v>5.6546000000000003</v>
      </c>
      <c r="K66" s="116">
        <v>5.6546000000000003</v>
      </c>
      <c r="L66" s="117">
        <v>5.6546000000000003</v>
      </c>
      <c r="M66" s="112">
        <v>0</v>
      </c>
      <c r="N66" s="115">
        <v>5.6492000000000004</v>
      </c>
      <c r="O66" s="115">
        <v>5.6492000000000004</v>
      </c>
      <c r="P66" s="116">
        <v>5.6492000000000004</v>
      </c>
      <c r="Q66" s="117">
        <v>5.6492000000000004</v>
      </c>
      <c r="R66" s="112">
        <v>0</v>
      </c>
      <c r="S66" s="115">
        <v>5.6492000000000004</v>
      </c>
      <c r="T66" s="115">
        <v>5.6492000000000004</v>
      </c>
      <c r="U66" s="116">
        <v>5.6492000000000004</v>
      </c>
      <c r="V66" s="117">
        <v>5.6492000000000004</v>
      </c>
      <c r="W66" s="112">
        <v>0</v>
      </c>
      <c r="X66" s="115">
        <v>5.6492000000000004</v>
      </c>
      <c r="Y66" s="115">
        <v>5.6492000000000004</v>
      </c>
      <c r="Z66" s="116">
        <v>5.6492000000000004</v>
      </c>
      <c r="AA66" s="117">
        <v>5.6492000000000004</v>
      </c>
      <c r="AB66" s="112">
        <v>0</v>
      </c>
    </row>
    <row r="67" spans="1:28" ht="12" hidden="1" customHeight="1" outlineLevel="1" collapsed="1" x14ac:dyDescent="0.25">
      <c r="A67" s="114" t="s">
        <v>69</v>
      </c>
      <c r="B67" s="120">
        <v>7.173</v>
      </c>
      <c r="C67" s="120">
        <v>7.173</v>
      </c>
      <c r="D67" s="115">
        <v>0</v>
      </c>
      <c r="E67" s="115">
        <v>0</v>
      </c>
      <c r="F67" s="116">
        <v>0</v>
      </c>
      <c r="G67" s="117">
        <v>0</v>
      </c>
      <c r="H67" s="112">
        <v>0</v>
      </c>
      <c r="I67" s="115">
        <v>0</v>
      </c>
      <c r="J67" s="115">
        <v>0</v>
      </c>
      <c r="K67" s="116">
        <v>0</v>
      </c>
      <c r="L67" s="117">
        <v>0</v>
      </c>
      <c r="M67" s="112">
        <v>0</v>
      </c>
      <c r="N67" s="115">
        <v>0</v>
      </c>
      <c r="O67" s="115">
        <v>0</v>
      </c>
      <c r="P67" s="116">
        <v>0</v>
      </c>
      <c r="Q67" s="117">
        <v>0</v>
      </c>
      <c r="R67" s="112">
        <v>0</v>
      </c>
      <c r="S67" s="115">
        <v>0</v>
      </c>
      <c r="T67" s="115">
        <v>0</v>
      </c>
      <c r="U67" s="116">
        <v>0</v>
      </c>
      <c r="V67" s="117">
        <v>0</v>
      </c>
      <c r="W67" s="112">
        <v>0</v>
      </c>
      <c r="X67" s="115">
        <v>0</v>
      </c>
      <c r="Y67" s="115">
        <v>0</v>
      </c>
      <c r="Z67" s="116">
        <v>0</v>
      </c>
      <c r="AA67" s="117">
        <v>0</v>
      </c>
      <c r="AB67" s="112">
        <v>0</v>
      </c>
    </row>
    <row r="68" spans="1:28" ht="12" customHeight="1" collapsed="1" x14ac:dyDescent="0.25">
      <c r="A68" s="114" t="s">
        <v>59</v>
      </c>
      <c r="B68" s="120">
        <v>109.1743</v>
      </c>
      <c r="C68" s="120">
        <v>87.585700000000003</v>
      </c>
      <c r="D68" s="115">
        <v>89.752200000000002</v>
      </c>
      <c r="E68" s="115">
        <v>89.752200000000002</v>
      </c>
      <c r="F68" s="116">
        <v>91.008600000000001</v>
      </c>
      <c r="G68" s="117">
        <v>91.008600000000001</v>
      </c>
      <c r="H68" s="112">
        <v>0</v>
      </c>
      <c r="I68" s="115">
        <v>91.965800000000002</v>
      </c>
      <c r="J68" s="115">
        <v>91.965800000000002</v>
      </c>
      <c r="K68" s="116">
        <v>93.494600000000005</v>
      </c>
      <c r="L68" s="117">
        <v>93.494600000000005</v>
      </c>
      <c r="M68" s="112">
        <v>0</v>
      </c>
      <c r="N68" s="115">
        <v>94.779600000000002</v>
      </c>
      <c r="O68" s="115">
        <v>94.779600000000002</v>
      </c>
      <c r="P68" s="116">
        <v>95.735500000000002</v>
      </c>
      <c r="Q68" s="117">
        <v>95.735500000000002</v>
      </c>
      <c r="R68" s="112">
        <v>0</v>
      </c>
      <c r="S68" s="115">
        <v>97.890600000000006</v>
      </c>
      <c r="T68" s="115">
        <v>97.890600000000006</v>
      </c>
      <c r="U68" s="116">
        <v>97.7059</v>
      </c>
      <c r="V68" s="117">
        <v>97.7059</v>
      </c>
      <c r="W68" s="112">
        <v>0</v>
      </c>
      <c r="X68" s="115">
        <v>95.701700000000002</v>
      </c>
      <c r="Y68" s="115">
        <v>95.701700000000002</v>
      </c>
      <c r="Z68" s="116">
        <v>96.9679</v>
      </c>
      <c r="AA68" s="117">
        <v>96.9679</v>
      </c>
      <c r="AB68" s="112">
        <v>0</v>
      </c>
    </row>
    <row r="69" spans="1:28" ht="12" hidden="1" customHeight="1" outlineLevel="1" collapsed="1" x14ac:dyDescent="0.25">
      <c r="A69" s="114" t="s">
        <v>70</v>
      </c>
      <c r="B69" s="120">
        <v>4.5999999999999996</v>
      </c>
      <c r="C69" s="120">
        <v>0</v>
      </c>
      <c r="D69" s="115">
        <v>0</v>
      </c>
      <c r="E69" s="115">
        <v>0</v>
      </c>
      <c r="F69" s="116">
        <v>0</v>
      </c>
      <c r="G69" s="117">
        <v>0</v>
      </c>
      <c r="H69" s="112">
        <v>0</v>
      </c>
      <c r="I69" s="115">
        <v>0</v>
      </c>
      <c r="J69" s="115">
        <v>0</v>
      </c>
      <c r="K69" s="116">
        <v>0</v>
      </c>
      <c r="L69" s="117">
        <v>0</v>
      </c>
      <c r="M69" s="112">
        <v>0</v>
      </c>
      <c r="N69" s="115">
        <v>0</v>
      </c>
      <c r="O69" s="115">
        <v>0</v>
      </c>
      <c r="P69" s="116">
        <v>0</v>
      </c>
      <c r="Q69" s="117">
        <v>0</v>
      </c>
      <c r="R69" s="112">
        <v>0</v>
      </c>
      <c r="S69" s="115">
        <v>0</v>
      </c>
      <c r="T69" s="115">
        <v>0</v>
      </c>
      <c r="U69" s="116">
        <v>0</v>
      </c>
      <c r="V69" s="117">
        <v>0</v>
      </c>
      <c r="W69" s="112">
        <v>0</v>
      </c>
      <c r="X69" s="115">
        <v>0</v>
      </c>
      <c r="Y69" s="115">
        <v>0</v>
      </c>
      <c r="Z69" s="116">
        <v>0</v>
      </c>
      <c r="AA69" s="117">
        <v>0</v>
      </c>
      <c r="AB69" s="112">
        <v>0</v>
      </c>
    </row>
    <row r="70" spans="1:28" ht="12" customHeight="1" collapsed="1" x14ac:dyDescent="0.25">
      <c r="A70" s="114" t="s">
        <v>58</v>
      </c>
      <c r="B70" s="120">
        <v>7.1612999999999998</v>
      </c>
      <c r="C70" s="120">
        <v>7.1666999999999996</v>
      </c>
      <c r="D70" s="115">
        <v>36.744799999999998</v>
      </c>
      <c r="E70" s="115">
        <v>36.744799999999998</v>
      </c>
      <c r="F70" s="116">
        <v>36.744799999999998</v>
      </c>
      <c r="G70" s="117">
        <v>36.744799999999998</v>
      </c>
      <c r="H70" s="112">
        <v>0</v>
      </c>
      <c r="I70" s="115">
        <v>36.744799999999998</v>
      </c>
      <c r="J70" s="115">
        <v>36.744799999999998</v>
      </c>
      <c r="K70" s="116">
        <v>36.744799999999998</v>
      </c>
      <c r="L70" s="117">
        <v>36.744799999999998</v>
      </c>
      <c r="M70" s="112">
        <v>0</v>
      </c>
      <c r="N70" s="115">
        <v>36.709699999999998</v>
      </c>
      <c r="O70" s="115">
        <v>36.709699999999998</v>
      </c>
      <c r="P70" s="116">
        <v>36.709699999999998</v>
      </c>
      <c r="Q70" s="117">
        <v>36.709699999999998</v>
      </c>
      <c r="R70" s="112">
        <v>0</v>
      </c>
      <c r="S70" s="115">
        <v>36.709699999999998</v>
      </c>
      <c r="T70" s="115">
        <v>36.709699999999998</v>
      </c>
      <c r="U70" s="116">
        <v>36.709699999999998</v>
      </c>
      <c r="V70" s="117">
        <v>36.709699999999998</v>
      </c>
      <c r="W70" s="112">
        <v>0</v>
      </c>
      <c r="X70" s="115">
        <v>36.709699999999998</v>
      </c>
      <c r="Y70" s="115">
        <v>36.709699999999998</v>
      </c>
      <c r="Z70" s="116">
        <v>36.709699999999998</v>
      </c>
      <c r="AA70" s="117">
        <v>36.709699999999998</v>
      </c>
      <c r="AB70" s="112">
        <v>0</v>
      </c>
    </row>
    <row r="71" spans="1:28" ht="12" customHeight="1" x14ac:dyDescent="0.25">
      <c r="A71" s="114" t="s">
        <v>61</v>
      </c>
      <c r="B71" s="120">
        <v>20.603999999999999</v>
      </c>
      <c r="C71" s="120">
        <v>20.603999999999999</v>
      </c>
      <c r="D71" s="115">
        <v>4.3346</v>
      </c>
      <c r="E71" s="115">
        <v>4.3346</v>
      </c>
      <c r="F71" s="116">
        <v>4.3346</v>
      </c>
      <c r="G71" s="117">
        <v>4.3346</v>
      </c>
      <c r="H71" s="112">
        <v>0</v>
      </c>
      <c r="I71" s="115">
        <v>4.3346</v>
      </c>
      <c r="J71" s="115">
        <v>4.3346</v>
      </c>
      <c r="K71" s="116">
        <v>4.3346</v>
      </c>
      <c r="L71" s="117">
        <v>4.3346</v>
      </c>
      <c r="M71" s="112">
        <v>0</v>
      </c>
      <c r="N71" s="115">
        <v>4.3304</v>
      </c>
      <c r="O71" s="115">
        <v>4.3304</v>
      </c>
      <c r="P71" s="116">
        <v>4.3304</v>
      </c>
      <c r="Q71" s="117">
        <v>4.3304</v>
      </c>
      <c r="R71" s="112">
        <v>0</v>
      </c>
      <c r="S71" s="115">
        <v>4.3304</v>
      </c>
      <c r="T71" s="115">
        <v>4.3304</v>
      </c>
      <c r="U71" s="116">
        <v>4.3304</v>
      </c>
      <c r="V71" s="117">
        <v>4.3304</v>
      </c>
      <c r="W71" s="112">
        <v>0</v>
      </c>
      <c r="X71" s="115">
        <v>4.3304</v>
      </c>
      <c r="Y71" s="115">
        <v>4.3304</v>
      </c>
      <c r="Z71" s="116">
        <v>4.3304</v>
      </c>
      <c r="AA71" s="117">
        <v>4.3304</v>
      </c>
      <c r="AB71" s="112">
        <v>0</v>
      </c>
    </row>
    <row r="72" spans="1:28" ht="12" customHeight="1" x14ac:dyDescent="0.25">
      <c r="A72" s="114" t="s">
        <v>57</v>
      </c>
      <c r="B72" s="120">
        <v>0</v>
      </c>
      <c r="C72" s="120">
        <v>0</v>
      </c>
      <c r="D72" s="115">
        <v>0.14199999999999999</v>
      </c>
      <c r="E72" s="115">
        <v>0.14199999999999999</v>
      </c>
      <c r="F72" s="116">
        <v>0.14199999999999999</v>
      </c>
      <c r="G72" s="117">
        <v>0.14199999999999999</v>
      </c>
      <c r="H72" s="112">
        <v>0</v>
      </c>
      <c r="I72" s="115">
        <v>0.14380000000000001</v>
      </c>
      <c r="J72" s="115">
        <v>0.14380000000000001</v>
      </c>
      <c r="K72" s="116">
        <v>0.14380000000000001</v>
      </c>
      <c r="L72" s="117">
        <v>0.14380000000000001</v>
      </c>
      <c r="M72" s="112">
        <v>0</v>
      </c>
      <c r="N72" s="115">
        <v>0.14549999999999999</v>
      </c>
      <c r="O72" s="115">
        <v>0.14549999999999999</v>
      </c>
      <c r="P72" s="116">
        <v>0.14549999999999999</v>
      </c>
      <c r="Q72" s="117">
        <v>0.14549999999999999</v>
      </c>
      <c r="R72" s="112">
        <v>0</v>
      </c>
      <c r="S72" s="115">
        <v>0.14549999999999999</v>
      </c>
      <c r="T72" s="115">
        <v>0.14549999999999999</v>
      </c>
      <c r="U72" s="116">
        <v>0.14549999999999999</v>
      </c>
      <c r="V72" s="117">
        <v>0.14549999999999999</v>
      </c>
      <c r="W72" s="112">
        <v>0</v>
      </c>
      <c r="X72" s="115">
        <v>0.14549999999999999</v>
      </c>
      <c r="Y72" s="115">
        <v>0.14549999999999999</v>
      </c>
      <c r="Z72" s="116">
        <v>0.14549999999999999</v>
      </c>
      <c r="AA72" s="117">
        <v>0.14549999999999999</v>
      </c>
      <c r="AB72" s="112">
        <v>0</v>
      </c>
    </row>
    <row r="73" spans="1:28" ht="12" customHeight="1" x14ac:dyDescent="0.25">
      <c r="A73" s="114" t="s">
        <v>72</v>
      </c>
      <c r="B73" s="120">
        <v>0</v>
      </c>
      <c r="C73" s="120">
        <v>0</v>
      </c>
      <c r="D73" s="115">
        <v>0.29770000000000002</v>
      </c>
      <c r="E73" s="115">
        <v>0.29770000000000002</v>
      </c>
      <c r="F73" s="116">
        <v>0.57030000000000003</v>
      </c>
      <c r="G73" s="117">
        <v>0.57030000000000003</v>
      </c>
      <c r="H73" s="112">
        <v>0</v>
      </c>
      <c r="I73" s="115">
        <v>0.82299999999999995</v>
      </c>
      <c r="J73" s="115">
        <v>0.82299999999999995</v>
      </c>
      <c r="K73" s="116">
        <v>0.82299999999999995</v>
      </c>
      <c r="L73" s="117">
        <v>0.82299999999999995</v>
      </c>
      <c r="M73" s="112">
        <v>0</v>
      </c>
      <c r="N73" s="115">
        <v>1.0958000000000001</v>
      </c>
      <c r="O73" s="115">
        <v>1.0958000000000001</v>
      </c>
      <c r="P73" s="116">
        <v>1.0958000000000001</v>
      </c>
      <c r="Q73" s="117">
        <v>1.0958000000000001</v>
      </c>
      <c r="R73" s="112">
        <v>0</v>
      </c>
      <c r="S73" s="115">
        <v>1.0958000000000001</v>
      </c>
      <c r="T73" s="115">
        <v>1.0958000000000001</v>
      </c>
      <c r="U73" s="116">
        <v>1.0958000000000001</v>
      </c>
      <c r="V73" s="117">
        <v>1.0958000000000001</v>
      </c>
      <c r="W73" s="112">
        <v>0</v>
      </c>
      <c r="X73" s="115">
        <v>1.0958000000000001</v>
      </c>
      <c r="Y73" s="115">
        <v>1.0958000000000001</v>
      </c>
      <c r="Z73" s="116">
        <v>1.0958000000000001</v>
      </c>
      <c r="AA73" s="117">
        <v>1.0958000000000001</v>
      </c>
      <c r="AB73" s="112">
        <v>0</v>
      </c>
    </row>
    <row r="74" spans="1:28" ht="12" hidden="1" customHeight="1" outlineLevel="1" collapsed="1" x14ac:dyDescent="0.25">
      <c r="A74" s="114" t="s">
        <v>52</v>
      </c>
      <c r="B74" s="120">
        <v>0</v>
      </c>
      <c r="C74" s="120">
        <v>0</v>
      </c>
      <c r="D74" s="115">
        <v>0</v>
      </c>
      <c r="E74" s="115">
        <v>0</v>
      </c>
      <c r="F74" s="116">
        <v>0</v>
      </c>
      <c r="G74" s="117">
        <v>0</v>
      </c>
      <c r="H74" s="112">
        <v>0</v>
      </c>
      <c r="I74" s="115">
        <v>0</v>
      </c>
      <c r="J74" s="115">
        <v>0</v>
      </c>
      <c r="K74" s="116">
        <v>0</v>
      </c>
      <c r="L74" s="117">
        <v>0</v>
      </c>
      <c r="M74" s="112">
        <v>0</v>
      </c>
      <c r="N74" s="115">
        <v>0</v>
      </c>
      <c r="O74" s="115">
        <v>0</v>
      </c>
      <c r="P74" s="116">
        <v>0</v>
      </c>
      <c r="Q74" s="117">
        <v>0</v>
      </c>
      <c r="R74" s="112">
        <v>0</v>
      </c>
      <c r="S74" s="115">
        <v>0</v>
      </c>
      <c r="T74" s="115">
        <v>0</v>
      </c>
      <c r="U74" s="116">
        <v>0</v>
      </c>
      <c r="V74" s="117">
        <v>0</v>
      </c>
      <c r="W74" s="112">
        <v>0</v>
      </c>
      <c r="X74" s="115">
        <v>0</v>
      </c>
      <c r="Y74" s="115">
        <v>0</v>
      </c>
      <c r="Z74" s="116">
        <v>0</v>
      </c>
      <c r="AA74" s="117">
        <v>0</v>
      </c>
      <c r="AB74" s="112">
        <v>0</v>
      </c>
    </row>
    <row r="75" spans="1:28" ht="12" hidden="1" customHeight="1" outlineLevel="1" collapsed="1" x14ac:dyDescent="0.25">
      <c r="A75" s="114" t="s">
        <v>48</v>
      </c>
      <c r="B75" s="120">
        <v>0</v>
      </c>
      <c r="C75" s="120">
        <v>0</v>
      </c>
      <c r="D75" s="115">
        <v>0</v>
      </c>
      <c r="E75" s="115">
        <v>0</v>
      </c>
      <c r="F75" s="116">
        <v>0</v>
      </c>
      <c r="G75" s="117">
        <v>0</v>
      </c>
      <c r="H75" s="112">
        <v>0</v>
      </c>
      <c r="I75" s="115">
        <v>0</v>
      </c>
      <c r="J75" s="115">
        <v>0</v>
      </c>
      <c r="K75" s="116">
        <v>0</v>
      </c>
      <c r="L75" s="117">
        <v>0</v>
      </c>
      <c r="M75" s="112">
        <v>0</v>
      </c>
      <c r="N75" s="115">
        <v>0</v>
      </c>
      <c r="O75" s="115">
        <v>0</v>
      </c>
      <c r="P75" s="116">
        <v>0</v>
      </c>
      <c r="Q75" s="117">
        <v>0</v>
      </c>
      <c r="R75" s="112">
        <v>0</v>
      </c>
      <c r="S75" s="115">
        <v>0</v>
      </c>
      <c r="T75" s="115">
        <v>0</v>
      </c>
      <c r="U75" s="116">
        <v>0</v>
      </c>
      <c r="V75" s="117">
        <v>0</v>
      </c>
      <c r="W75" s="112">
        <v>0</v>
      </c>
      <c r="X75" s="115">
        <v>0</v>
      </c>
      <c r="Y75" s="115">
        <v>0</v>
      </c>
      <c r="Z75" s="116">
        <v>0</v>
      </c>
      <c r="AA75" s="117">
        <v>0</v>
      </c>
      <c r="AB75" s="112">
        <v>0</v>
      </c>
    </row>
    <row r="76" spans="1:28" ht="12" customHeight="1" collapsed="1" x14ac:dyDescent="0.25">
      <c r="A76" s="114" t="s">
        <v>47</v>
      </c>
      <c r="B76" s="120">
        <v>13</v>
      </c>
      <c r="C76" s="120">
        <v>1.9633</v>
      </c>
      <c r="D76" s="115">
        <v>18.980599999999999</v>
      </c>
      <c r="E76" s="115">
        <v>18.980599999999999</v>
      </c>
      <c r="F76" s="116">
        <v>17.568899999999999</v>
      </c>
      <c r="G76" s="117">
        <v>17.568899999999999</v>
      </c>
      <c r="H76" s="112">
        <v>0</v>
      </c>
      <c r="I76" s="115">
        <v>17.093399999999999</v>
      </c>
      <c r="J76" s="115">
        <v>17.093399999999999</v>
      </c>
      <c r="K76" s="116">
        <v>15.631399999999999</v>
      </c>
      <c r="L76" s="117">
        <v>15.631399999999999</v>
      </c>
      <c r="M76" s="112">
        <v>0</v>
      </c>
      <c r="N76" s="115">
        <v>14.6469</v>
      </c>
      <c r="O76" s="115">
        <v>14.6469</v>
      </c>
      <c r="P76" s="116">
        <v>14.0121</v>
      </c>
      <c r="Q76" s="117">
        <v>14.0121</v>
      </c>
      <c r="R76" s="112">
        <v>0</v>
      </c>
      <c r="S76" s="115">
        <v>14.7349</v>
      </c>
      <c r="T76" s="115">
        <v>14.7349</v>
      </c>
      <c r="U76" s="116">
        <v>14.6487</v>
      </c>
      <c r="V76" s="117">
        <v>14.6487</v>
      </c>
      <c r="W76" s="112">
        <v>0</v>
      </c>
      <c r="X76" s="115">
        <v>15.804</v>
      </c>
      <c r="Y76" s="115">
        <v>15.804</v>
      </c>
      <c r="Z76" s="116">
        <v>14.3011</v>
      </c>
      <c r="AA76" s="117">
        <v>14.3011</v>
      </c>
      <c r="AB76" s="112">
        <v>0</v>
      </c>
    </row>
    <row r="77" spans="1:28" ht="12" customHeight="1" x14ac:dyDescent="0.25">
      <c r="A77" s="121" t="s">
        <v>74</v>
      </c>
      <c r="B77" s="112"/>
      <c r="C77" s="112"/>
      <c r="D77" s="113">
        <v>0</v>
      </c>
      <c r="E77" s="113">
        <v>0</v>
      </c>
      <c r="F77" s="113">
        <v>0</v>
      </c>
      <c r="G77" s="113">
        <v>0</v>
      </c>
      <c r="H77" s="115"/>
      <c r="I77" s="113">
        <v>0</v>
      </c>
      <c r="J77" s="113">
        <v>0</v>
      </c>
      <c r="K77" s="113">
        <v>0</v>
      </c>
      <c r="L77" s="113">
        <v>0</v>
      </c>
      <c r="M77" s="115"/>
      <c r="N77" s="113">
        <v>0</v>
      </c>
      <c r="O77" s="113">
        <v>0</v>
      </c>
      <c r="P77" s="113">
        <v>0</v>
      </c>
      <c r="Q77" s="113">
        <v>0</v>
      </c>
      <c r="R77" s="115"/>
      <c r="S77" s="113">
        <v>0</v>
      </c>
      <c r="T77" s="113">
        <v>0</v>
      </c>
      <c r="U77" s="113">
        <v>0</v>
      </c>
      <c r="V77" s="113">
        <v>0</v>
      </c>
      <c r="W77" s="115"/>
      <c r="X77" s="113">
        <v>0</v>
      </c>
      <c r="Y77" s="113">
        <v>0</v>
      </c>
      <c r="Z77" s="113">
        <v>0</v>
      </c>
      <c r="AA77" s="113">
        <v>0</v>
      </c>
      <c r="AB77" s="115"/>
    </row>
    <row r="78" spans="1:28" ht="12" hidden="1" customHeight="1" outlineLevel="1" collapsed="1" x14ac:dyDescent="0.25">
      <c r="A78" s="114" t="s">
        <v>44</v>
      </c>
      <c r="B78" s="112"/>
      <c r="C78" s="112"/>
      <c r="D78" s="115">
        <v>0</v>
      </c>
      <c r="E78" s="115">
        <v>0</v>
      </c>
      <c r="F78" s="116">
        <v>0</v>
      </c>
      <c r="G78" s="117">
        <v>0</v>
      </c>
      <c r="H78" s="112">
        <v>0</v>
      </c>
      <c r="I78" s="115">
        <v>0</v>
      </c>
      <c r="J78" s="115">
        <v>0</v>
      </c>
      <c r="K78" s="116">
        <v>0</v>
      </c>
      <c r="L78" s="117">
        <v>0</v>
      </c>
      <c r="M78" s="112">
        <v>0</v>
      </c>
      <c r="N78" s="115">
        <v>0</v>
      </c>
      <c r="O78" s="115">
        <v>0</v>
      </c>
      <c r="P78" s="116">
        <v>0</v>
      </c>
      <c r="Q78" s="117">
        <v>0</v>
      </c>
      <c r="R78" s="112">
        <v>0</v>
      </c>
      <c r="S78" s="115">
        <v>0</v>
      </c>
      <c r="T78" s="115">
        <v>0</v>
      </c>
      <c r="U78" s="116">
        <v>0</v>
      </c>
      <c r="V78" s="117">
        <v>0</v>
      </c>
      <c r="W78" s="112">
        <v>0</v>
      </c>
      <c r="X78" s="115">
        <v>0</v>
      </c>
      <c r="Y78" s="115">
        <v>0</v>
      </c>
      <c r="Z78" s="116">
        <v>0</v>
      </c>
      <c r="AA78" s="117">
        <v>0</v>
      </c>
      <c r="AB78" s="112">
        <v>0</v>
      </c>
    </row>
    <row r="79" spans="1:28" ht="12" hidden="1" customHeight="1" outlineLevel="1" collapsed="1" x14ac:dyDescent="0.25">
      <c r="A79" s="114" t="s">
        <v>45</v>
      </c>
      <c r="B79" s="112"/>
      <c r="C79" s="112"/>
      <c r="D79" s="115">
        <v>0</v>
      </c>
      <c r="E79" s="115">
        <v>0</v>
      </c>
      <c r="F79" s="116">
        <v>0</v>
      </c>
      <c r="G79" s="117">
        <v>0</v>
      </c>
      <c r="H79" s="112">
        <v>0</v>
      </c>
      <c r="I79" s="115">
        <v>0</v>
      </c>
      <c r="J79" s="115">
        <v>0</v>
      </c>
      <c r="K79" s="116">
        <v>0</v>
      </c>
      <c r="L79" s="117">
        <v>0</v>
      </c>
      <c r="M79" s="112">
        <v>0</v>
      </c>
      <c r="N79" s="115">
        <v>0</v>
      </c>
      <c r="O79" s="115">
        <v>0</v>
      </c>
      <c r="P79" s="116">
        <v>0</v>
      </c>
      <c r="Q79" s="117">
        <v>0</v>
      </c>
      <c r="R79" s="112">
        <v>0</v>
      </c>
      <c r="S79" s="115">
        <v>0</v>
      </c>
      <c r="T79" s="115">
        <v>0</v>
      </c>
      <c r="U79" s="116">
        <v>0</v>
      </c>
      <c r="V79" s="117">
        <v>0</v>
      </c>
      <c r="W79" s="112">
        <v>0</v>
      </c>
      <c r="X79" s="115">
        <v>0</v>
      </c>
      <c r="Y79" s="115">
        <v>0</v>
      </c>
      <c r="Z79" s="116">
        <v>0</v>
      </c>
      <c r="AA79" s="117">
        <v>0</v>
      </c>
      <c r="AB79" s="112">
        <v>0</v>
      </c>
    </row>
    <row r="80" spans="1:28" ht="12" hidden="1" customHeight="1" outlineLevel="1" collapsed="1" x14ac:dyDescent="0.25">
      <c r="A80" s="114" t="s">
        <v>75</v>
      </c>
      <c r="B80" s="112"/>
      <c r="C80" s="112"/>
      <c r="D80" s="115">
        <v>0</v>
      </c>
      <c r="E80" s="115">
        <v>0</v>
      </c>
      <c r="F80" s="116">
        <v>0</v>
      </c>
      <c r="G80" s="117">
        <v>0</v>
      </c>
      <c r="H80" s="112">
        <v>0</v>
      </c>
      <c r="I80" s="115">
        <v>0</v>
      </c>
      <c r="J80" s="115">
        <v>0</v>
      </c>
      <c r="K80" s="116">
        <v>0</v>
      </c>
      <c r="L80" s="117">
        <v>0</v>
      </c>
      <c r="M80" s="112">
        <v>0</v>
      </c>
      <c r="N80" s="115">
        <v>0</v>
      </c>
      <c r="O80" s="115">
        <v>0</v>
      </c>
      <c r="P80" s="116">
        <v>0</v>
      </c>
      <c r="Q80" s="117">
        <v>0</v>
      </c>
      <c r="R80" s="112">
        <v>0</v>
      </c>
      <c r="S80" s="115">
        <v>0</v>
      </c>
      <c r="T80" s="115">
        <v>0</v>
      </c>
      <c r="U80" s="116">
        <v>0</v>
      </c>
      <c r="V80" s="117">
        <v>0</v>
      </c>
      <c r="W80" s="112">
        <v>0</v>
      </c>
      <c r="X80" s="115">
        <v>0</v>
      </c>
      <c r="Y80" s="115">
        <v>0</v>
      </c>
      <c r="Z80" s="116">
        <v>0</v>
      </c>
      <c r="AA80" s="117">
        <v>0</v>
      </c>
      <c r="AB80" s="112">
        <v>0</v>
      </c>
    </row>
    <row r="81" spans="1:28" ht="12" hidden="1" customHeight="1" outlineLevel="1" collapsed="1" x14ac:dyDescent="0.25">
      <c r="A81" s="114" t="s">
        <v>46</v>
      </c>
      <c r="B81" s="120">
        <v>42.348599999999998</v>
      </c>
      <c r="C81" s="120">
        <v>83.681899999999999</v>
      </c>
      <c r="D81" s="119">
        <v>0</v>
      </c>
      <c r="E81" s="119">
        <v>0</v>
      </c>
      <c r="F81" s="119">
        <v>0</v>
      </c>
      <c r="G81" s="119">
        <v>0</v>
      </c>
      <c r="H81" s="115">
        <v>0</v>
      </c>
      <c r="I81" s="119">
        <v>0</v>
      </c>
      <c r="J81" s="119">
        <v>0</v>
      </c>
      <c r="K81" s="119">
        <v>0</v>
      </c>
      <c r="L81" s="119">
        <v>0</v>
      </c>
      <c r="M81" s="115">
        <v>0</v>
      </c>
      <c r="N81" s="119">
        <v>0</v>
      </c>
      <c r="O81" s="119">
        <v>0</v>
      </c>
      <c r="P81" s="119">
        <v>0</v>
      </c>
      <c r="Q81" s="119">
        <v>0</v>
      </c>
      <c r="R81" s="115">
        <v>0</v>
      </c>
      <c r="S81" s="119">
        <v>0</v>
      </c>
      <c r="T81" s="119">
        <v>0</v>
      </c>
      <c r="U81" s="119">
        <v>0</v>
      </c>
      <c r="V81" s="119">
        <v>0</v>
      </c>
      <c r="W81" s="115">
        <v>0</v>
      </c>
      <c r="X81" s="119">
        <v>0</v>
      </c>
      <c r="Y81" s="119">
        <v>0</v>
      </c>
      <c r="Z81" s="119">
        <v>0</v>
      </c>
      <c r="AA81" s="119">
        <v>0</v>
      </c>
      <c r="AB81" s="115">
        <v>0</v>
      </c>
    </row>
    <row r="82" spans="1:28" ht="12" hidden="1" customHeight="1" outlineLevel="1" collapsed="1" x14ac:dyDescent="0.25">
      <c r="A82" s="114" t="s">
        <v>71</v>
      </c>
      <c r="B82" s="120">
        <v>0</v>
      </c>
      <c r="C82" s="120">
        <v>0</v>
      </c>
      <c r="D82" s="115">
        <v>0</v>
      </c>
      <c r="E82" s="115">
        <v>0</v>
      </c>
      <c r="F82" s="116">
        <v>0</v>
      </c>
      <c r="G82" s="117">
        <v>0</v>
      </c>
      <c r="H82" s="112">
        <v>0</v>
      </c>
      <c r="I82" s="115">
        <v>0</v>
      </c>
      <c r="J82" s="115">
        <v>0</v>
      </c>
      <c r="K82" s="116">
        <v>0</v>
      </c>
      <c r="L82" s="117">
        <v>0</v>
      </c>
      <c r="M82" s="112">
        <v>0</v>
      </c>
      <c r="N82" s="115">
        <v>0</v>
      </c>
      <c r="O82" s="115">
        <v>0</v>
      </c>
      <c r="P82" s="116">
        <v>0</v>
      </c>
      <c r="Q82" s="117">
        <v>0</v>
      </c>
      <c r="R82" s="112">
        <v>0</v>
      </c>
      <c r="S82" s="115">
        <v>0</v>
      </c>
      <c r="T82" s="115">
        <v>0</v>
      </c>
      <c r="U82" s="116">
        <v>0</v>
      </c>
      <c r="V82" s="117">
        <v>0</v>
      </c>
      <c r="W82" s="112">
        <v>0</v>
      </c>
      <c r="X82" s="115">
        <v>0</v>
      </c>
      <c r="Y82" s="115">
        <v>0</v>
      </c>
      <c r="Z82" s="116">
        <v>0</v>
      </c>
      <c r="AA82" s="117">
        <v>0</v>
      </c>
      <c r="AB82" s="112">
        <v>0</v>
      </c>
    </row>
    <row r="83" spans="1:28" ht="12" hidden="1" customHeight="1" outlineLevel="1" collapsed="1" x14ac:dyDescent="0.25">
      <c r="A83" s="114" t="s">
        <v>69</v>
      </c>
      <c r="B83" s="120">
        <v>0</v>
      </c>
      <c r="C83" s="120">
        <v>0</v>
      </c>
      <c r="D83" s="115">
        <v>0</v>
      </c>
      <c r="E83" s="115">
        <v>0</v>
      </c>
      <c r="F83" s="116">
        <v>0</v>
      </c>
      <c r="G83" s="117">
        <v>0</v>
      </c>
      <c r="H83" s="112">
        <v>0</v>
      </c>
      <c r="I83" s="115">
        <v>0</v>
      </c>
      <c r="J83" s="115">
        <v>0</v>
      </c>
      <c r="K83" s="116">
        <v>0</v>
      </c>
      <c r="L83" s="117">
        <v>0</v>
      </c>
      <c r="M83" s="112">
        <v>0</v>
      </c>
      <c r="N83" s="115">
        <v>0</v>
      </c>
      <c r="O83" s="115">
        <v>0</v>
      </c>
      <c r="P83" s="116">
        <v>0</v>
      </c>
      <c r="Q83" s="117">
        <v>0</v>
      </c>
      <c r="R83" s="112">
        <v>0</v>
      </c>
      <c r="S83" s="115">
        <v>0</v>
      </c>
      <c r="T83" s="115">
        <v>0</v>
      </c>
      <c r="U83" s="116">
        <v>0</v>
      </c>
      <c r="V83" s="117">
        <v>0</v>
      </c>
      <c r="W83" s="112">
        <v>0</v>
      </c>
      <c r="X83" s="115">
        <v>0</v>
      </c>
      <c r="Y83" s="115">
        <v>0</v>
      </c>
      <c r="Z83" s="116">
        <v>0</v>
      </c>
      <c r="AA83" s="117">
        <v>0</v>
      </c>
      <c r="AB83" s="112">
        <v>0</v>
      </c>
    </row>
    <row r="84" spans="1:28" ht="12" hidden="1" customHeight="1" outlineLevel="1" collapsed="1" x14ac:dyDescent="0.25">
      <c r="A84" s="114" t="s">
        <v>59</v>
      </c>
      <c r="B84" s="120">
        <v>6.5</v>
      </c>
      <c r="C84" s="120">
        <v>18.055399999999999</v>
      </c>
      <c r="D84" s="115">
        <v>0</v>
      </c>
      <c r="E84" s="115">
        <v>0</v>
      </c>
      <c r="F84" s="116">
        <v>0</v>
      </c>
      <c r="G84" s="117">
        <v>0</v>
      </c>
      <c r="H84" s="112">
        <v>0</v>
      </c>
      <c r="I84" s="115">
        <v>0</v>
      </c>
      <c r="J84" s="115">
        <v>0</v>
      </c>
      <c r="K84" s="116">
        <v>0</v>
      </c>
      <c r="L84" s="117">
        <v>0</v>
      </c>
      <c r="M84" s="112">
        <v>0</v>
      </c>
      <c r="N84" s="115">
        <v>0</v>
      </c>
      <c r="O84" s="115">
        <v>0</v>
      </c>
      <c r="P84" s="116">
        <v>0</v>
      </c>
      <c r="Q84" s="117">
        <v>0</v>
      </c>
      <c r="R84" s="112">
        <v>0</v>
      </c>
      <c r="S84" s="115">
        <v>0</v>
      </c>
      <c r="T84" s="115">
        <v>0</v>
      </c>
      <c r="U84" s="116">
        <v>0</v>
      </c>
      <c r="V84" s="117">
        <v>0</v>
      </c>
      <c r="W84" s="112">
        <v>0</v>
      </c>
      <c r="X84" s="115">
        <v>0</v>
      </c>
      <c r="Y84" s="115">
        <v>0</v>
      </c>
      <c r="Z84" s="116">
        <v>0</v>
      </c>
      <c r="AA84" s="117">
        <v>0</v>
      </c>
      <c r="AB84" s="112">
        <v>0</v>
      </c>
    </row>
    <row r="85" spans="1:28" ht="12" hidden="1" customHeight="1" outlineLevel="1" collapsed="1" x14ac:dyDescent="0.25">
      <c r="A85" s="114" t="s">
        <v>70</v>
      </c>
      <c r="B85" s="120">
        <v>0</v>
      </c>
      <c r="C85" s="120">
        <v>0</v>
      </c>
      <c r="D85" s="115">
        <v>0</v>
      </c>
      <c r="E85" s="115">
        <v>0</v>
      </c>
      <c r="F85" s="116">
        <v>0</v>
      </c>
      <c r="G85" s="117">
        <v>0</v>
      </c>
      <c r="H85" s="112">
        <v>0</v>
      </c>
      <c r="I85" s="115">
        <v>0</v>
      </c>
      <c r="J85" s="115">
        <v>0</v>
      </c>
      <c r="K85" s="116">
        <v>0</v>
      </c>
      <c r="L85" s="117">
        <v>0</v>
      </c>
      <c r="M85" s="112">
        <v>0</v>
      </c>
      <c r="N85" s="115">
        <v>0</v>
      </c>
      <c r="O85" s="115">
        <v>0</v>
      </c>
      <c r="P85" s="116">
        <v>0</v>
      </c>
      <c r="Q85" s="117">
        <v>0</v>
      </c>
      <c r="R85" s="112">
        <v>0</v>
      </c>
      <c r="S85" s="115">
        <v>0</v>
      </c>
      <c r="T85" s="115">
        <v>0</v>
      </c>
      <c r="U85" s="116">
        <v>0</v>
      </c>
      <c r="V85" s="117">
        <v>0</v>
      </c>
      <c r="W85" s="112">
        <v>0</v>
      </c>
      <c r="X85" s="115">
        <v>0</v>
      </c>
      <c r="Y85" s="115">
        <v>0</v>
      </c>
      <c r="Z85" s="116">
        <v>0</v>
      </c>
      <c r="AA85" s="117">
        <v>0</v>
      </c>
      <c r="AB85" s="112">
        <v>0</v>
      </c>
    </row>
    <row r="86" spans="1:28" ht="12" hidden="1" customHeight="1" outlineLevel="1" collapsed="1" x14ac:dyDescent="0.25">
      <c r="A86" s="114" t="s">
        <v>58</v>
      </c>
      <c r="B86" s="120">
        <v>29.016400000000001</v>
      </c>
      <c r="C86" s="120">
        <v>24.909700000000001</v>
      </c>
      <c r="D86" s="115">
        <v>0</v>
      </c>
      <c r="E86" s="115">
        <v>0</v>
      </c>
      <c r="F86" s="116">
        <v>0</v>
      </c>
      <c r="G86" s="117">
        <v>0</v>
      </c>
      <c r="H86" s="112">
        <v>0</v>
      </c>
      <c r="I86" s="115">
        <v>0</v>
      </c>
      <c r="J86" s="115">
        <v>0</v>
      </c>
      <c r="K86" s="116">
        <v>0</v>
      </c>
      <c r="L86" s="117">
        <v>0</v>
      </c>
      <c r="M86" s="112">
        <v>0</v>
      </c>
      <c r="N86" s="115">
        <v>0</v>
      </c>
      <c r="O86" s="115">
        <v>0</v>
      </c>
      <c r="P86" s="116">
        <v>0</v>
      </c>
      <c r="Q86" s="117">
        <v>0</v>
      </c>
      <c r="R86" s="112">
        <v>0</v>
      </c>
      <c r="S86" s="115">
        <v>0</v>
      </c>
      <c r="T86" s="115">
        <v>0</v>
      </c>
      <c r="U86" s="116">
        <v>0</v>
      </c>
      <c r="V86" s="117">
        <v>0</v>
      </c>
      <c r="W86" s="112">
        <v>0</v>
      </c>
      <c r="X86" s="115">
        <v>0</v>
      </c>
      <c r="Y86" s="115">
        <v>0</v>
      </c>
      <c r="Z86" s="116">
        <v>0</v>
      </c>
      <c r="AA86" s="117">
        <v>0</v>
      </c>
      <c r="AB86" s="112">
        <v>0</v>
      </c>
    </row>
    <row r="87" spans="1:28" ht="12" hidden="1" customHeight="1" outlineLevel="1" collapsed="1" x14ac:dyDescent="0.25">
      <c r="A87" s="114" t="s">
        <v>61</v>
      </c>
      <c r="B87" s="120">
        <v>0</v>
      </c>
      <c r="C87" s="120">
        <v>0</v>
      </c>
      <c r="D87" s="115">
        <v>0</v>
      </c>
      <c r="E87" s="115">
        <v>0</v>
      </c>
      <c r="F87" s="116">
        <v>0</v>
      </c>
      <c r="G87" s="117">
        <v>0</v>
      </c>
      <c r="H87" s="112">
        <v>0</v>
      </c>
      <c r="I87" s="115">
        <v>0</v>
      </c>
      <c r="J87" s="115">
        <v>0</v>
      </c>
      <c r="K87" s="116">
        <v>0</v>
      </c>
      <c r="L87" s="117">
        <v>0</v>
      </c>
      <c r="M87" s="112">
        <v>0</v>
      </c>
      <c r="N87" s="115">
        <v>0</v>
      </c>
      <c r="O87" s="115">
        <v>0</v>
      </c>
      <c r="P87" s="116">
        <v>0</v>
      </c>
      <c r="Q87" s="117">
        <v>0</v>
      </c>
      <c r="R87" s="112">
        <v>0</v>
      </c>
      <c r="S87" s="115">
        <v>0</v>
      </c>
      <c r="T87" s="115">
        <v>0</v>
      </c>
      <c r="U87" s="116">
        <v>0</v>
      </c>
      <c r="V87" s="117">
        <v>0</v>
      </c>
      <c r="W87" s="112">
        <v>0</v>
      </c>
      <c r="X87" s="115">
        <v>0</v>
      </c>
      <c r="Y87" s="115">
        <v>0</v>
      </c>
      <c r="Z87" s="116">
        <v>0</v>
      </c>
      <c r="AA87" s="117">
        <v>0</v>
      </c>
      <c r="AB87" s="112">
        <v>0</v>
      </c>
    </row>
    <row r="88" spans="1:28" ht="12" hidden="1" customHeight="1" outlineLevel="1" collapsed="1" x14ac:dyDescent="0.25">
      <c r="A88" s="114" t="s">
        <v>57</v>
      </c>
      <c r="B88" s="120">
        <v>0</v>
      </c>
      <c r="C88" s="120">
        <v>0</v>
      </c>
      <c r="D88" s="115">
        <v>0</v>
      </c>
      <c r="E88" s="115">
        <v>0</v>
      </c>
      <c r="F88" s="116">
        <v>0</v>
      </c>
      <c r="G88" s="117">
        <v>0</v>
      </c>
      <c r="H88" s="112">
        <v>0</v>
      </c>
      <c r="I88" s="115">
        <v>0</v>
      </c>
      <c r="J88" s="115">
        <v>0</v>
      </c>
      <c r="K88" s="116">
        <v>0</v>
      </c>
      <c r="L88" s="117">
        <v>0</v>
      </c>
      <c r="M88" s="112">
        <v>0</v>
      </c>
      <c r="N88" s="115">
        <v>0</v>
      </c>
      <c r="O88" s="115">
        <v>0</v>
      </c>
      <c r="P88" s="116">
        <v>0</v>
      </c>
      <c r="Q88" s="117">
        <v>0</v>
      </c>
      <c r="R88" s="112">
        <v>0</v>
      </c>
      <c r="S88" s="115">
        <v>0</v>
      </c>
      <c r="T88" s="115">
        <v>0</v>
      </c>
      <c r="U88" s="116">
        <v>0</v>
      </c>
      <c r="V88" s="117">
        <v>0</v>
      </c>
      <c r="W88" s="112">
        <v>0</v>
      </c>
      <c r="X88" s="115">
        <v>0</v>
      </c>
      <c r="Y88" s="115">
        <v>0</v>
      </c>
      <c r="Z88" s="116">
        <v>0</v>
      </c>
      <c r="AA88" s="117">
        <v>0</v>
      </c>
      <c r="AB88" s="112">
        <v>0</v>
      </c>
    </row>
    <row r="89" spans="1:28" ht="12" hidden="1" customHeight="1" outlineLevel="1" collapsed="1" x14ac:dyDescent="0.25">
      <c r="A89" s="114" t="s">
        <v>72</v>
      </c>
      <c r="B89" s="120">
        <v>0.83230000000000004</v>
      </c>
      <c r="C89" s="120">
        <v>0.83330000000000004</v>
      </c>
      <c r="D89" s="115">
        <v>0</v>
      </c>
      <c r="E89" s="115">
        <v>0</v>
      </c>
      <c r="F89" s="116">
        <v>0</v>
      </c>
      <c r="G89" s="117">
        <v>0</v>
      </c>
      <c r="H89" s="112">
        <v>0</v>
      </c>
      <c r="I89" s="115">
        <v>0</v>
      </c>
      <c r="J89" s="115">
        <v>0</v>
      </c>
      <c r="K89" s="116">
        <v>0</v>
      </c>
      <c r="L89" s="117">
        <v>0</v>
      </c>
      <c r="M89" s="112">
        <v>0</v>
      </c>
      <c r="N89" s="115">
        <v>0</v>
      </c>
      <c r="O89" s="115">
        <v>0</v>
      </c>
      <c r="P89" s="116">
        <v>0</v>
      </c>
      <c r="Q89" s="117">
        <v>0</v>
      </c>
      <c r="R89" s="112">
        <v>0</v>
      </c>
      <c r="S89" s="115">
        <v>0</v>
      </c>
      <c r="T89" s="115">
        <v>0</v>
      </c>
      <c r="U89" s="116">
        <v>0</v>
      </c>
      <c r="V89" s="117">
        <v>0</v>
      </c>
      <c r="W89" s="112">
        <v>0</v>
      </c>
      <c r="X89" s="115">
        <v>0</v>
      </c>
      <c r="Y89" s="115">
        <v>0</v>
      </c>
      <c r="Z89" s="116">
        <v>0</v>
      </c>
      <c r="AA89" s="117">
        <v>0</v>
      </c>
      <c r="AB89" s="112">
        <v>0</v>
      </c>
    </row>
    <row r="90" spans="1:28" ht="12" hidden="1" customHeight="1" outlineLevel="1" collapsed="1" x14ac:dyDescent="0.25">
      <c r="A90" s="114" t="s">
        <v>52</v>
      </c>
      <c r="B90" s="120">
        <v>0</v>
      </c>
      <c r="C90" s="120">
        <v>0</v>
      </c>
      <c r="D90" s="115">
        <v>0</v>
      </c>
      <c r="E90" s="115">
        <v>0</v>
      </c>
      <c r="F90" s="116">
        <v>0</v>
      </c>
      <c r="G90" s="117">
        <v>0</v>
      </c>
      <c r="H90" s="112">
        <v>0</v>
      </c>
      <c r="I90" s="115">
        <v>0</v>
      </c>
      <c r="J90" s="115">
        <v>0</v>
      </c>
      <c r="K90" s="116">
        <v>0</v>
      </c>
      <c r="L90" s="117">
        <v>0</v>
      </c>
      <c r="M90" s="112">
        <v>0</v>
      </c>
      <c r="N90" s="115">
        <v>0</v>
      </c>
      <c r="O90" s="115">
        <v>0</v>
      </c>
      <c r="P90" s="116">
        <v>0</v>
      </c>
      <c r="Q90" s="117">
        <v>0</v>
      </c>
      <c r="R90" s="112">
        <v>0</v>
      </c>
      <c r="S90" s="115">
        <v>0</v>
      </c>
      <c r="T90" s="115">
        <v>0</v>
      </c>
      <c r="U90" s="116">
        <v>0</v>
      </c>
      <c r="V90" s="117">
        <v>0</v>
      </c>
      <c r="W90" s="112">
        <v>0</v>
      </c>
      <c r="X90" s="115">
        <v>0</v>
      </c>
      <c r="Y90" s="115">
        <v>0</v>
      </c>
      <c r="Z90" s="116">
        <v>0</v>
      </c>
      <c r="AA90" s="117">
        <v>0</v>
      </c>
      <c r="AB90" s="112">
        <v>0</v>
      </c>
    </row>
    <row r="91" spans="1:28" ht="12" hidden="1" customHeight="1" outlineLevel="1" collapsed="1" x14ac:dyDescent="0.25">
      <c r="A91" s="114" t="s">
        <v>48</v>
      </c>
      <c r="B91" s="120">
        <v>0</v>
      </c>
      <c r="C91" s="120">
        <v>0</v>
      </c>
      <c r="D91" s="115">
        <v>0</v>
      </c>
      <c r="E91" s="115">
        <v>0</v>
      </c>
      <c r="F91" s="116">
        <v>0</v>
      </c>
      <c r="G91" s="117">
        <v>0</v>
      </c>
      <c r="H91" s="112">
        <v>0</v>
      </c>
      <c r="I91" s="115">
        <v>0</v>
      </c>
      <c r="J91" s="115">
        <v>0</v>
      </c>
      <c r="K91" s="116">
        <v>0</v>
      </c>
      <c r="L91" s="117">
        <v>0</v>
      </c>
      <c r="M91" s="112">
        <v>0</v>
      </c>
      <c r="N91" s="115">
        <v>0</v>
      </c>
      <c r="O91" s="115">
        <v>0</v>
      </c>
      <c r="P91" s="116">
        <v>0</v>
      </c>
      <c r="Q91" s="117">
        <v>0</v>
      </c>
      <c r="R91" s="112">
        <v>0</v>
      </c>
      <c r="S91" s="115">
        <v>0</v>
      </c>
      <c r="T91" s="115">
        <v>0</v>
      </c>
      <c r="U91" s="116">
        <v>0</v>
      </c>
      <c r="V91" s="117">
        <v>0</v>
      </c>
      <c r="W91" s="112">
        <v>0</v>
      </c>
      <c r="X91" s="115">
        <v>0</v>
      </c>
      <c r="Y91" s="115">
        <v>0</v>
      </c>
      <c r="Z91" s="116">
        <v>0</v>
      </c>
      <c r="AA91" s="117">
        <v>0</v>
      </c>
      <c r="AB91" s="112">
        <v>0</v>
      </c>
    </row>
    <row r="92" spans="1:28" ht="12" hidden="1" customHeight="1" outlineLevel="1" collapsed="1" x14ac:dyDescent="0.25">
      <c r="A92" s="114" t="s">
        <v>47</v>
      </c>
      <c r="B92" s="120">
        <v>6</v>
      </c>
      <c r="C92" s="120">
        <v>39.883400000000002</v>
      </c>
      <c r="D92" s="115">
        <v>0</v>
      </c>
      <c r="E92" s="115">
        <v>0</v>
      </c>
      <c r="F92" s="116">
        <v>0</v>
      </c>
      <c r="G92" s="117">
        <v>0</v>
      </c>
      <c r="H92" s="112">
        <v>0</v>
      </c>
      <c r="I92" s="115">
        <v>0</v>
      </c>
      <c r="J92" s="115">
        <v>0</v>
      </c>
      <c r="K92" s="116">
        <v>0</v>
      </c>
      <c r="L92" s="117">
        <v>0</v>
      </c>
      <c r="M92" s="112">
        <v>0</v>
      </c>
      <c r="N92" s="115">
        <v>0</v>
      </c>
      <c r="O92" s="115">
        <v>0</v>
      </c>
      <c r="P92" s="116">
        <v>0</v>
      </c>
      <c r="Q92" s="117">
        <v>0</v>
      </c>
      <c r="R92" s="112">
        <v>0</v>
      </c>
      <c r="S92" s="115">
        <v>0</v>
      </c>
      <c r="T92" s="115">
        <v>0</v>
      </c>
      <c r="U92" s="116">
        <v>0</v>
      </c>
      <c r="V92" s="117">
        <v>0</v>
      </c>
      <c r="W92" s="112">
        <v>0</v>
      </c>
      <c r="X92" s="115">
        <v>0</v>
      </c>
      <c r="Y92" s="115">
        <v>0</v>
      </c>
      <c r="Z92" s="116">
        <v>0</v>
      </c>
      <c r="AA92" s="117">
        <v>0</v>
      </c>
      <c r="AB92" s="112">
        <v>0</v>
      </c>
    </row>
    <row r="93" spans="1:28" ht="12" hidden="1" customHeight="1" outlineLevel="1" collapsed="1" x14ac:dyDescent="0.25">
      <c r="A93" s="114" t="s">
        <v>60</v>
      </c>
      <c r="B93" s="120">
        <v>0</v>
      </c>
      <c r="C93" s="120">
        <v>0</v>
      </c>
      <c r="D93" s="115">
        <v>0</v>
      </c>
      <c r="E93" s="115">
        <v>0</v>
      </c>
      <c r="F93" s="116">
        <v>0</v>
      </c>
      <c r="G93" s="117">
        <v>0</v>
      </c>
      <c r="H93" s="112">
        <v>0</v>
      </c>
      <c r="I93" s="115">
        <v>0</v>
      </c>
      <c r="J93" s="115">
        <v>0</v>
      </c>
      <c r="K93" s="116">
        <v>0</v>
      </c>
      <c r="L93" s="117">
        <v>0</v>
      </c>
      <c r="M93" s="112">
        <v>0</v>
      </c>
      <c r="N93" s="115">
        <v>0</v>
      </c>
      <c r="O93" s="115">
        <v>0</v>
      </c>
      <c r="P93" s="116">
        <v>0</v>
      </c>
      <c r="Q93" s="117">
        <v>0</v>
      </c>
      <c r="R93" s="112">
        <v>0</v>
      </c>
      <c r="S93" s="115">
        <v>0</v>
      </c>
      <c r="T93" s="115">
        <v>0</v>
      </c>
      <c r="U93" s="116">
        <v>0</v>
      </c>
      <c r="V93" s="117">
        <v>0</v>
      </c>
      <c r="W93" s="112">
        <v>0</v>
      </c>
      <c r="X93" s="115">
        <v>0</v>
      </c>
      <c r="Y93" s="115">
        <v>0</v>
      </c>
      <c r="Z93" s="116">
        <v>0</v>
      </c>
      <c r="AA93" s="117">
        <v>0</v>
      </c>
      <c r="AB93" s="112">
        <v>0</v>
      </c>
    </row>
    <row r="94" spans="1:28" ht="12" hidden="1" customHeight="1" outlineLevel="1" collapsed="1" x14ac:dyDescent="0.25">
      <c r="A94" s="114" t="s">
        <v>56</v>
      </c>
      <c r="B94" s="120">
        <v>0</v>
      </c>
      <c r="C94" s="120">
        <v>0</v>
      </c>
      <c r="D94" s="115">
        <v>0</v>
      </c>
      <c r="E94" s="115">
        <v>0</v>
      </c>
      <c r="F94" s="116">
        <v>0</v>
      </c>
      <c r="G94" s="117">
        <v>0</v>
      </c>
      <c r="H94" s="112">
        <v>0</v>
      </c>
      <c r="I94" s="115">
        <v>0</v>
      </c>
      <c r="J94" s="115">
        <v>0</v>
      </c>
      <c r="K94" s="116">
        <v>0</v>
      </c>
      <c r="L94" s="117">
        <v>0</v>
      </c>
      <c r="M94" s="112">
        <v>0</v>
      </c>
      <c r="N94" s="115">
        <v>0</v>
      </c>
      <c r="O94" s="115">
        <v>0</v>
      </c>
      <c r="P94" s="116">
        <v>0</v>
      </c>
      <c r="Q94" s="117">
        <v>0</v>
      </c>
      <c r="R94" s="112">
        <v>0</v>
      </c>
      <c r="S94" s="115">
        <v>0</v>
      </c>
      <c r="T94" s="115">
        <v>0</v>
      </c>
      <c r="U94" s="116">
        <v>0</v>
      </c>
      <c r="V94" s="117">
        <v>0</v>
      </c>
      <c r="W94" s="112">
        <v>0</v>
      </c>
      <c r="X94" s="115">
        <v>0</v>
      </c>
      <c r="Y94" s="115">
        <v>0</v>
      </c>
      <c r="Z94" s="116">
        <v>0</v>
      </c>
      <c r="AA94" s="117">
        <v>0</v>
      </c>
      <c r="AB94" s="112">
        <v>0</v>
      </c>
    </row>
    <row r="95" spans="1:28" ht="12" customHeight="1" collapsed="1" x14ac:dyDescent="0.25">
      <c r="A95" s="121" t="s">
        <v>76</v>
      </c>
      <c r="B95" s="120">
        <v>5.7409999999999997</v>
      </c>
      <c r="C95" s="120">
        <v>5.7256999999999998</v>
      </c>
      <c r="D95" s="119">
        <v>9.4</v>
      </c>
      <c r="E95" s="119">
        <v>9.4</v>
      </c>
      <c r="F95" s="119">
        <v>9.4</v>
      </c>
      <c r="G95" s="119">
        <v>9.3806999999999992</v>
      </c>
      <c r="H95" s="115">
        <f>G95 - C95</f>
        <v>3.6549999999999994</v>
      </c>
      <c r="I95" s="119">
        <v>9.4</v>
      </c>
      <c r="J95" s="119">
        <v>9.4</v>
      </c>
      <c r="K95" s="119">
        <v>9.4</v>
      </c>
      <c r="L95" s="119">
        <v>9.4214000000000002</v>
      </c>
      <c r="M95" s="115">
        <f>L95 - C95</f>
        <v>3.6957000000000004</v>
      </c>
      <c r="N95" s="119">
        <v>9.4</v>
      </c>
      <c r="O95" s="119">
        <v>9.4</v>
      </c>
      <c r="P95" s="119">
        <v>9.4</v>
      </c>
      <c r="Q95" s="119">
        <v>9.4234000000000009</v>
      </c>
      <c r="R95" s="115">
        <f>Q95 - C95</f>
        <v>3.6977000000000011</v>
      </c>
      <c r="S95" s="119">
        <v>9.4</v>
      </c>
      <c r="T95" s="119">
        <v>9.4</v>
      </c>
      <c r="U95" s="119">
        <v>14.15</v>
      </c>
      <c r="V95" s="119">
        <v>14.0928</v>
      </c>
      <c r="W95" s="115">
        <f>V95 - C95</f>
        <v>8.3671000000000006</v>
      </c>
      <c r="X95" s="119">
        <v>14.15</v>
      </c>
      <c r="Y95" s="119">
        <v>14.15</v>
      </c>
      <c r="Z95" s="119">
        <v>14.15</v>
      </c>
      <c r="AA95" s="119">
        <v>14.1029</v>
      </c>
      <c r="AB95" s="115">
        <f>AA95 - C95</f>
        <v>8.3772000000000002</v>
      </c>
    </row>
    <row r="96" spans="1:28" ht="12" customHeight="1" x14ac:dyDescent="0.25">
      <c r="A96" s="121" t="s">
        <v>77</v>
      </c>
      <c r="B96" s="112"/>
      <c r="C96" s="112"/>
      <c r="D96" s="113">
        <v>62.281500000000001</v>
      </c>
      <c r="E96" s="113">
        <v>54.19</v>
      </c>
      <c r="F96" s="113">
        <v>55.4236</v>
      </c>
      <c r="G96" s="113">
        <v>55.594999999999999</v>
      </c>
      <c r="H96" s="115"/>
      <c r="I96" s="113">
        <v>63.717300000000002</v>
      </c>
      <c r="J96" s="113">
        <v>55.63</v>
      </c>
      <c r="K96" s="113">
        <v>57.724800000000002</v>
      </c>
      <c r="L96" s="113">
        <v>57.880600000000001</v>
      </c>
      <c r="M96" s="115"/>
      <c r="N96" s="113">
        <v>67.204099999999997</v>
      </c>
      <c r="O96" s="113">
        <v>59.118200000000002</v>
      </c>
      <c r="P96" s="113">
        <v>59.723500000000001</v>
      </c>
      <c r="Q96" s="113">
        <v>59.784500000000001</v>
      </c>
      <c r="R96" s="115"/>
      <c r="S96" s="113">
        <v>73.566900000000004</v>
      </c>
      <c r="T96" s="113">
        <v>65.420299999999997</v>
      </c>
      <c r="U96" s="113">
        <v>65.195599999999999</v>
      </c>
      <c r="V96" s="113">
        <v>65.295000000000002</v>
      </c>
      <c r="W96" s="115"/>
      <c r="X96" s="113">
        <v>68.356099999999998</v>
      </c>
      <c r="Y96" s="113">
        <v>60.182400000000001</v>
      </c>
      <c r="Z96" s="113">
        <v>60.566499999999998</v>
      </c>
      <c r="AA96" s="113">
        <v>60.648699999999998</v>
      </c>
      <c r="AB96" s="115"/>
    </row>
    <row r="97" spans="1:28" ht="12" hidden="1" customHeight="1" outlineLevel="1" collapsed="1" x14ac:dyDescent="0.25">
      <c r="A97" s="114" t="s">
        <v>44</v>
      </c>
      <c r="B97" s="112"/>
      <c r="C97" s="112"/>
      <c r="D97" s="115">
        <v>0</v>
      </c>
      <c r="E97" s="115">
        <v>0</v>
      </c>
      <c r="F97" s="116">
        <v>0</v>
      </c>
      <c r="G97" s="117">
        <v>0</v>
      </c>
      <c r="H97" s="112">
        <v>0</v>
      </c>
      <c r="I97" s="115">
        <v>0</v>
      </c>
      <c r="J97" s="115">
        <v>0</v>
      </c>
      <c r="K97" s="116">
        <v>0</v>
      </c>
      <c r="L97" s="117">
        <v>0</v>
      </c>
      <c r="M97" s="112">
        <v>0</v>
      </c>
      <c r="N97" s="115">
        <v>0</v>
      </c>
      <c r="O97" s="115">
        <v>0</v>
      </c>
      <c r="P97" s="116">
        <v>0</v>
      </c>
      <c r="Q97" s="117">
        <v>0</v>
      </c>
      <c r="R97" s="112">
        <v>0</v>
      </c>
      <c r="S97" s="115">
        <v>0</v>
      </c>
      <c r="T97" s="115">
        <v>0</v>
      </c>
      <c r="U97" s="116">
        <v>0</v>
      </c>
      <c r="V97" s="117">
        <v>0</v>
      </c>
      <c r="W97" s="112">
        <v>0</v>
      </c>
      <c r="X97" s="115">
        <v>0</v>
      </c>
      <c r="Y97" s="115">
        <v>0</v>
      </c>
      <c r="Z97" s="116">
        <v>0</v>
      </c>
      <c r="AA97" s="117">
        <v>0</v>
      </c>
      <c r="AB97" s="112">
        <v>0</v>
      </c>
    </row>
    <row r="98" spans="1:28" ht="12" hidden="1" customHeight="1" outlineLevel="1" collapsed="1" x14ac:dyDescent="0.25">
      <c r="A98" s="114" t="s">
        <v>45</v>
      </c>
      <c r="B98" s="112"/>
      <c r="C98" s="112"/>
      <c r="D98" s="115">
        <v>0</v>
      </c>
      <c r="E98" s="115">
        <v>0</v>
      </c>
      <c r="F98" s="116">
        <v>0</v>
      </c>
      <c r="G98" s="117">
        <v>0</v>
      </c>
      <c r="H98" s="112">
        <v>0</v>
      </c>
      <c r="I98" s="115">
        <v>0</v>
      </c>
      <c r="J98" s="115">
        <v>0</v>
      </c>
      <c r="K98" s="116">
        <v>0</v>
      </c>
      <c r="L98" s="117">
        <v>0</v>
      </c>
      <c r="M98" s="112">
        <v>0</v>
      </c>
      <c r="N98" s="115">
        <v>0</v>
      </c>
      <c r="O98" s="115">
        <v>0</v>
      </c>
      <c r="P98" s="116">
        <v>0</v>
      </c>
      <c r="Q98" s="117">
        <v>0</v>
      </c>
      <c r="R98" s="112">
        <v>0</v>
      </c>
      <c r="S98" s="115">
        <v>0</v>
      </c>
      <c r="T98" s="115">
        <v>0</v>
      </c>
      <c r="U98" s="116">
        <v>0</v>
      </c>
      <c r="V98" s="117">
        <v>0</v>
      </c>
      <c r="W98" s="112">
        <v>0</v>
      </c>
      <c r="X98" s="115">
        <v>0</v>
      </c>
      <c r="Y98" s="115">
        <v>0</v>
      </c>
      <c r="Z98" s="116">
        <v>0</v>
      </c>
      <c r="AA98" s="117">
        <v>0</v>
      </c>
      <c r="AB98" s="112">
        <v>0</v>
      </c>
    </row>
    <row r="99" spans="1:28" ht="12" customHeight="1" collapsed="1" x14ac:dyDescent="0.25">
      <c r="A99" s="114" t="s">
        <v>78</v>
      </c>
      <c r="B99" s="112"/>
      <c r="C99" s="112"/>
      <c r="D99" s="115">
        <v>0</v>
      </c>
      <c r="E99" s="115">
        <v>0</v>
      </c>
      <c r="F99" s="116">
        <v>0</v>
      </c>
      <c r="G99" s="117">
        <v>0</v>
      </c>
      <c r="H99" s="112">
        <v>0</v>
      </c>
      <c r="I99" s="115">
        <v>0.1459</v>
      </c>
      <c r="J99" s="115">
        <v>0.1459</v>
      </c>
      <c r="K99" s="116">
        <v>0.15049999999999999</v>
      </c>
      <c r="L99" s="117">
        <v>0.15049999999999999</v>
      </c>
      <c r="M99" s="112">
        <v>0</v>
      </c>
      <c r="N99" s="115">
        <v>0.14149999999999999</v>
      </c>
      <c r="O99" s="115">
        <v>0.14149999999999999</v>
      </c>
      <c r="P99" s="116">
        <v>0.14149999999999999</v>
      </c>
      <c r="Q99" s="117">
        <v>0.14149999999999999</v>
      </c>
      <c r="R99" s="112">
        <v>0</v>
      </c>
      <c r="S99" s="115">
        <v>0.13020000000000001</v>
      </c>
      <c r="T99" s="115">
        <v>0.13020000000000001</v>
      </c>
      <c r="U99" s="116">
        <v>0.13020000000000001</v>
      </c>
      <c r="V99" s="117">
        <v>0.13020000000000001</v>
      </c>
      <c r="W99" s="112">
        <v>0</v>
      </c>
      <c r="X99" s="115">
        <v>0.12509999999999999</v>
      </c>
      <c r="Y99" s="115">
        <v>0.12509999999999999</v>
      </c>
      <c r="Z99" s="116">
        <v>0.12509999999999999</v>
      </c>
      <c r="AA99" s="117">
        <v>0.12509999999999999</v>
      </c>
      <c r="AB99" s="112">
        <v>0</v>
      </c>
    </row>
    <row r="100" spans="1:28" ht="12" customHeight="1" x14ac:dyDescent="0.25">
      <c r="A100" s="114" t="s">
        <v>46</v>
      </c>
      <c r="B100" s="120">
        <v>67.488799999999998</v>
      </c>
      <c r="C100" s="120">
        <v>67.712199999999996</v>
      </c>
      <c r="D100" s="119">
        <v>62.281500000000001</v>
      </c>
      <c r="E100" s="119">
        <v>54.19</v>
      </c>
      <c r="F100" s="119">
        <v>55.4236</v>
      </c>
      <c r="G100" s="119">
        <v>55.594999999999999</v>
      </c>
      <c r="H100" s="115">
        <f>G100 - C100</f>
        <v>-12.117199999999997</v>
      </c>
      <c r="I100" s="119">
        <v>63.571399999999997</v>
      </c>
      <c r="J100" s="119">
        <v>55.484099999999998</v>
      </c>
      <c r="K100" s="119">
        <v>57.574300000000001</v>
      </c>
      <c r="L100" s="119">
        <v>57.7301</v>
      </c>
      <c r="M100" s="115">
        <f>L100 - C100</f>
        <v>-9.9820999999999955</v>
      </c>
      <c r="N100" s="119">
        <v>67.062600000000003</v>
      </c>
      <c r="O100" s="119">
        <v>58.976700000000001</v>
      </c>
      <c r="P100" s="119">
        <v>59.582000000000001</v>
      </c>
      <c r="Q100" s="119">
        <v>59.643000000000001</v>
      </c>
      <c r="R100" s="115">
        <f>Q100 - C100</f>
        <v>-8.069199999999995</v>
      </c>
      <c r="S100" s="119">
        <v>73.436700000000002</v>
      </c>
      <c r="T100" s="119">
        <v>65.290099999999995</v>
      </c>
      <c r="U100" s="119">
        <v>65.065299999999993</v>
      </c>
      <c r="V100" s="119">
        <v>65.164699999999996</v>
      </c>
      <c r="W100" s="115">
        <f>V100 - C100</f>
        <v>-2.5474999999999994</v>
      </c>
      <c r="X100" s="119">
        <v>68.231099999999998</v>
      </c>
      <c r="Y100" s="119">
        <v>60.057299999999998</v>
      </c>
      <c r="Z100" s="119">
        <v>60.441400000000002</v>
      </c>
      <c r="AA100" s="119">
        <v>60.523600000000002</v>
      </c>
      <c r="AB100" s="115">
        <f>AA100 - C100</f>
        <v>-7.1885999999999939</v>
      </c>
    </row>
    <row r="101" spans="1:28" ht="12" customHeight="1" x14ac:dyDescent="0.25">
      <c r="A101" s="114" t="s">
        <v>65</v>
      </c>
      <c r="B101" s="120">
        <v>10.073499999999999</v>
      </c>
      <c r="C101" s="120">
        <v>10.360300000000001</v>
      </c>
      <c r="D101" s="115">
        <v>7.5408999999999997</v>
      </c>
      <c r="E101" s="115">
        <v>7.5408999999999997</v>
      </c>
      <c r="F101" s="116">
        <v>7.3272000000000004</v>
      </c>
      <c r="G101" s="117">
        <v>7.3272000000000004</v>
      </c>
      <c r="H101" s="112">
        <v>0</v>
      </c>
      <c r="I101" s="115">
        <v>7.6517999999999997</v>
      </c>
      <c r="J101" s="115">
        <v>7.6517999999999997</v>
      </c>
      <c r="K101" s="116">
        <v>7.5354999999999999</v>
      </c>
      <c r="L101" s="117">
        <v>7.5354999999999999</v>
      </c>
      <c r="M101" s="112">
        <v>0</v>
      </c>
      <c r="N101" s="115">
        <v>7.8910999999999998</v>
      </c>
      <c r="O101" s="115">
        <v>7.8910999999999998</v>
      </c>
      <c r="P101" s="116">
        <v>7.8987999999999996</v>
      </c>
      <c r="Q101" s="117">
        <v>7.8987999999999996</v>
      </c>
      <c r="R101" s="112">
        <v>0</v>
      </c>
      <c r="S101" s="115">
        <v>8.0359999999999996</v>
      </c>
      <c r="T101" s="115">
        <v>8.0359999999999996</v>
      </c>
      <c r="U101" s="116">
        <v>7.8112000000000004</v>
      </c>
      <c r="V101" s="117">
        <v>7.8112000000000004</v>
      </c>
      <c r="W101" s="112">
        <v>0</v>
      </c>
      <c r="X101" s="115">
        <v>7.6863999999999999</v>
      </c>
      <c r="Y101" s="115">
        <v>7.5917000000000003</v>
      </c>
      <c r="Z101" s="116">
        <v>7.5965999999999996</v>
      </c>
      <c r="AA101" s="117">
        <v>7.5965999999999996</v>
      </c>
      <c r="AB101" s="112">
        <v>0</v>
      </c>
    </row>
    <row r="102" spans="1:28" ht="12" customHeight="1" x14ac:dyDescent="0.25">
      <c r="A102" s="114" t="s">
        <v>79</v>
      </c>
      <c r="B102" s="120">
        <v>19.9968</v>
      </c>
      <c r="C102" s="120">
        <v>19.9833</v>
      </c>
      <c r="D102" s="115">
        <v>30.159099999999999</v>
      </c>
      <c r="E102" s="115">
        <v>22.067599999999999</v>
      </c>
      <c r="F102" s="116">
        <v>22.067599999999999</v>
      </c>
      <c r="G102" s="117">
        <v>22.203700000000001</v>
      </c>
      <c r="H102" s="112">
        <v>0</v>
      </c>
      <c r="I102" s="115">
        <v>30.143599999999999</v>
      </c>
      <c r="J102" s="115">
        <v>22.0563</v>
      </c>
      <c r="K102" s="116">
        <v>22.0563</v>
      </c>
      <c r="L102" s="117">
        <v>22.146999999999998</v>
      </c>
      <c r="M102" s="112">
        <v>0</v>
      </c>
      <c r="N102" s="115">
        <v>30.1386</v>
      </c>
      <c r="O102" s="115">
        <v>22.052600000000002</v>
      </c>
      <c r="P102" s="116">
        <v>22.052600000000002</v>
      </c>
      <c r="Q102" s="117">
        <v>22.132899999999999</v>
      </c>
      <c r="R102" s="112">
        <v>0</v>
      </c>
      <c r="S102" s="115">
        <v>30.1248</v>
      </c>
      <c r="T102" s="115">
        <v>22.0425</v>
      </c>
      <c r="U102" s="116">
        <v>22.0425</v>
      </c>
      <c r="V102" s="117">
        <v>22.1661</v>
      </c>
      <c r="W102" s="112">
        <v>0</v>
      </c>
      <c r="X102" s="115">
        <v>30.112500000000001</v>
      </c>
      <c r="Y102" s="115">
        <v>22.0335</v>
      </c>
      <c r="Z102" s="116">
        <v>22.0335</v>
      </c>
      <c r="AA102" s="117">
        <v>22.146799999999999</v>
      </c>
      <c r="AB102" s="112">
        <v>0</v>
      </c>
    </row>
    <row r="103" spans="1:28" ht="12" customHeight="1" x14ac:dyDescent="0.25">
      <c r="A103" s="114" t="s">
        <v>80</v>
      </c>
      <c r="B103" s="120">
        <v>10.6074</v>
      </c>
      <c r="C103" s="120">
        <v>10.659000000000001</v>
      </c>
      <c r="D103" s="115">
        <v>5.5061999999999998</v>
      </c>
      <c r="E103" s="115">
        <v>5.5061999999999998</v>
      </c>
      <c r="F103" s="116">
        <v>6.9535999999999998</v>
      </c>
      <c r="G103" s="117">
        <v>6.9535999999999998</v>
      </c>
      <c r="H103" s="112">
        <v>0</v>
      </c>
      <c r="I103" s="115">
        <v>6.5324999999999998</v>
      </c>
      <c r="J103" s="115">
        <v>6.5324999999999998</v>
      </c>
      <c r="K103" s="116">
        <v>8.7390000000000008</v>
      </c>
      <c r="L103" s="117">
        <v>8.7390000000000008</v>
      </c>
      <c r="M103" s="112">
        <v>0</v>
      </c>
      <c r="N103" s="115">
        <v>9.8262999999999998</v>
      </c>
      <c r="O103" s="115">
        <v>9.8262999999999998</v>
      </c>
      <c r="P103" s="116">
        <v>10.4239</v>
      </c>
      <c r="Q103" s="117">
        <v>10.4239</v>
      </c>
      <c r="R103" s="112">
        <v>0</v>
      </c>
      <c r="S103" s="115">
        <v>11.1188</v>
      </c>
      <c r="T103" s="115">
        <v>11.054500000000001</v>
      </c>
      <c r="U103" s="116">
        <v>11.054500000000001</v>
      </c>
      <c r="V103" s="117">
        <v>11.054500000000001</v>
      </c>
      <c r="W103" s="112">
        <v>0</v>
      </c>
      <c r="X103" s="115">
        <v>6.399</v>
      </c>
      <c r="Y103" s="115">
        <v>6.399</v>
      </c>
      <c r="Z103" s="116">
        <v>6.7781000000000002</v>
      </c>
      <c r="AA103" s="117">
        <v>6.7781000000000002</v>
      </c>
      <c r="AB103" s="112">
        <v>0</v>
      </c>
    </row>
    <row r="104" spans="1:28" ht="12" customHeight="1" x14ac:dyDescent="0.25">
      <c r="A104" s="114" t="s">
        <v>81</v>
      </c>
      <c r="B104" s="120">
        <v>0.21609999999999999</v>
      </c>
      <c r="C104" s="120">
        <v>0.22</v>
      </c>
      <c r="D104" s="115">
        <v>0.27400000000000002</v>
      </c>
      <c r="E104" s="115">
        <v>0.27400000000000002</v>
      </c>
      <c r="F104" s="116">
        <v>0.27400000000000002</v>
      </c>
      <c r="G104" s="117">
        <v>0.32679999999999998</v>
      </c>
      <c r="H104" s="112">
        <v>0</v>
      </c>
      <c r="I104" s="115">
        <v>0.27400000000000002</v>
      </c>
      <c r="J104" s="115">
        <v>0.27400000000000002</v>
      </c>
      <c r="K104" s="116">
        <v>0.27400000000000002</v>
      </c>
      <c r="L104" s="117">
        <v>0.38840000000000002</v>
      </c>
      <c r="M104" s="112">
        <v>0</v>
      </c>
      <c r="N104" s="115">
        <v>0.27400000000000002</v>
      </c>
      <c r="O104" s="115">
        <v>0.27400000000000002</v>
      </c>
      <c r="P104" s="116">
        <v>0.27400000000000002</v>
      </c>
      <c r="Q104" s="117">
        <v>0.30790000000000001</v>
      </c>
      <c r="R104" s="112">
        <v>0</v>
      </c>
      <c r="S104" s="115">
        <v>0.27400000000000002</v>
      </c>
      <c r="T104" s="115">
        <v>0.27400000000000002</v>
      </c>
      <c r="U104" s="116">
        <v>0.27400000000000002</v>
      </c>
      <c r="V104" s="117">
        <v>0.2762</v>
      </c>
      <c r="W104" s="112">
        <v>0</v>
      </c>
      <c r="X104" s="115">
        <v>0.27400000000000002</v>
      </c>
      <c r="Y104" s="115">
        <v>0.27400000000000002</v>
      </c>
      <c r="Z104" s="116">
        <v>0.27400000000000002</v>
      </c>
      <c r="AA104" s="117">
        <v>0.2671</v>
      </c>
      <c r="AB104" s="112">
        <v>0</v>
      </c>
    </row>
    <row r="105" spans="1:28" ht="12" customHeight="1" x14ac:dyDescent="0.25">
      <c r="A105" s="114" t="s">
        <v>82</v>
      </c>
      <c r="B105" s="112"/>
      <c r="C105" s="112"/>
      <c r="D105" s="115">
        <v>1.3260000000000001</v>
      </c>
      <c r="E105" s="115">
        <v>1.3260000000000001</v>
      </c>
      <c r="F105" s="116">
        <v>1.3260000000000001</v>
      </c>
      <c r="G105" s="117">
        <v>1.3085</v>
      </c>
      <c r="H105" s="112">
        <v>0</v>
      </c>
      <c r="I105" s="115">
        <v>1.34</v>
      </c>
      <c r="J105" s="115">
        <v>1.34</v>
      </c>
      <c r="K105" s="116">
        <v>1.34</v>
      </c>
      <c r="L105" s="117">
        <v>1.2906</v>
      </c>
      <c r="M105" s="112">
        <v>0</v>
      </c>
      <c r="N105" s="115">
        <v>1.347</v>
      </c>
      <c r="O105" s="115">
        <v>1.347</v>
      </c>
      <c r="P105" s="116">
        <v>1.347</v>
      </c>
      <c r="Q105" s="117">
        <v>1.2938000000000001</v>
      </c>
      <c r="R105" s="112">
        <v>0</v>
      </c>
      <c r="S105" s="115">
        <v>1.32</v>
      </c>
      <c r="T105" s="115">
        <v>1.32</v>
      </c>
      <c r="U105" s="116">
        <v>1.32</v>
      </c>
      <c r="V105" s="117">
        <v>1.2936000000000001</v>
      </c>
      <c r="W105" s="112">
        <v>0</v>
      </c>
      <c r="X105" s="115">
        <v>1.34</v>
      </c>
      <c r="Y105" s="115">
        <v>1.34</v>
      </c>
      <c r="Z105" s="116">
        <v>1.34</v>
      </c>
      <c r="AA105" s="117">
        <v>1.3159000000000001</v>
      </c>
      <c r="AB105" s="112">
        <v>0</v>
      </c>
    </row>
    <row r="106" spans="1:28" ht="12" customHeight="1" x14ac:dyDescent="0.25">
      <c r="A106" s="114" t="s">
        <v>66</v>
      </c>
      <c r="B106" s="120">
        <v>10.0755</v>
      </c>
      <c r="C106" s="120">
        <v>9.7754999999999992</v>
      </c>
      <c r="D106" s="115">
        <v>8.9146000000000001</v>
      </c>
      <c r="E106" s="115">
        <v>8.9146000000000001</v>
      </c>
      <c r="F106" s="116">
        <v>8.9146000000000001</v>
      </c>
      <c r="G106" s="117">
        <v>8.9146000000000001</v>
      </c>
      <c r="H106" s="112">
        <v>0</v>
      </c>
      <c r="I106" s="115">
        <v>8.9155999999999995</v>
      </c>
      <c r="J106" s="115">
        <v>8.9155999999999995</v>
      </c>
      <c r="K106" s="116">
        <v>8.9155999999999995</v>
      </c>
      <c r="L106" s="117">
        <v>8.9155999999999995</v>
      </c>
      <c r="M106" s="112">
        <v>0</v>
      </c>
      <c r="N106" s="115">
        <v>8.9138999999999999</v>
      </c>
      <c r="O106" s="115">
        <v>8.9138999999999999</v>
      </c>
      <c r="P106" s="116">
        <v>8.9138999999999999</v>
      </c>
      <c r="Q106" s="117">
        <v>8.9138999999999999</v>
      </c>
      <c r="R106" s="112">
        <v>0</v>
      </c>
      <c r="S106" s="115">
        <v>8.9101999999999997</v>
      </c>
      <c r="T106" s="115">
        <v>8.9101999999999997</v>
      </c>
      <c r="U106" s="116">
        <v>8.9101999999999997</v>
      </c>
      <c r="V106" s="117">
        <v>8.9101999999999997</v>
      </c>
      <c r="W106" s="112">
        <v>0</v>
      </c>
      <c r="X106" s="115">
        <v>8.9071999999999996</v>
      </c>
      <c r="Y106" s="115">
        <v>8.9071999999999996</v>
      </c>
      <c r="Z106" s="116">
        <v>8.9071999999999996</v>
      </c>
      <c r="AA106" s="117">
        <v>8.9071999999999996</v>
      </c>
      <c r="AB106" s="112">
        <v>0</v>
      </c>
    </row>
    <row r="107" spans="1:28" ht="12" customHeight="1" x14ac:dyDescent="0.25">
      <c r="A107" s="114" t="s">
        <v>51</v>
      </c>
      <c r="B107" s="120">
        <v>7.5871000000000004</v>
      </c>
      <c r="C107" s="120">
        <v>7.5867000000000004</v>
      </c>
      <c r="D107" s="115">
        <v>6.0911999999999997</v>
      </c>
      <c r="E107" s="115">
        <v>6.0911999999999997</v>
      </c>
      <c r="F107" s="116">
        <v>6.0911999999999997</v>
      </c>
      <c r="G107" s="117">
        <v>6.0911999999999997</v>
      </c>
      <c r="H107" s="112">
        <v>0</v>
      </c>
      <c r="I107" s="115">
        <v>6.0918000000000001</v>
      </c>
      <c r="J107" s="115">
        <v>6.0918000000000001</v>
      </c>
      <c r="K107" s="116">
        <v>6.0918000000000001</v>
      </c>
      <c r="L107" s="117">
        <v>6.0918000000000001</v>
      </c>
      <c r="M107" s="112">
        <v>0</v>
      </c>
      <c r="N107" s="115">
        <v>6.0907</v>
      </c>
      <c r="O107" s="115">
        <v>6.0907</v>
      </c>
      <c r="P107" s="116">
        <v>6.0907</v>
      </c>
      <c r="Q107" s="117">
        <v>6.0907</v>
      </c>
      <c r="R107" s="112">
        <v>0</v>
      </c>
      <c r="S107" s="115">
        <v>6.0881999999999996</v>
      </c>
      <c r="T107" s="115">
        <v>6.0881999999999996</v>
      </c>
      <c r="U107" s="116">
        <v>6.0881999999999996</v>
      </c>
      <c r="V107" s="117">
        <v>6.0881999999999996</v>
      </c>
      <c r="W107" s="112">
        <v>0</v>
      </c>
      <c r="X107" s="115">
        <v>6.0861000000000001</v>
      </c>
      <c r="Y107" s="115">
        <v>6.0861000000000001</v>
      </c>
      <c r="Z107" s="116">
        <v>6.0861000000000001</v>
      </c>
      <c r="AA107" s="117">
        <v>6.0861000000000001</v>
      </c>
      <c r="AB107" s="112">
        <v>0</v>
      </c>
    </row>
    <row r="108" spans="1:28" ht="12" customHeight="1" x14ac:dyDescent="0.25">
      <c r="A108" s="114" t="s">
        <v>49</v>
      </c>
      <c r="B108" s="120">
        <v>0.63549999999999995</v>
      </c>
      <c r="C108" s="120">
        <v>0.82</v>
      </c>
      <c r="D108" s="115">
        <v>0.89349999999999996</v>
      </c>
      <c r="E108" s="115">
        <v>0.89349999999999996</v>
      </c>
      <c r="F108" s="116">
        <v>0.89349999999999996</v>
      </c>
      <c r="G108" s="117">
        <v>0.89349999999999996</v>
      </c>
      <c r="H108" s="112">
        <v>0</v>
      </c>
      <c r="I108" s="115">
        <v>1.046</v>
      </c>
      <c r="J108" s="115">
        <v>1.046</v>
      </c>
      <c r="K108" s="116">
        <v>1.046</v>
      </c>
      <c r="L108" s="117">
        <v>1.046</v>
      </c>
      <c r="M108" s="112">
        <v>0</v>
      </c>
      <c r="N108" s="115">
        <v>1.0052000000000001</v>
      </c>
      <c r="O108" s="115">
        <v>1.0052000000000001</v>
      </c>
      <c r="P108" s="116">
        <v>1.0052000000000001</v>
      </c>
      <c r="Q108" s="117">
        <v>1.0052000000000001</v>
      </c>
      <c r="R108" s="112">
        <v>0</v>
      </c>
      <c r="S108" s="115">
        <v>1.0555000000000001</v>
      </c>
      <c r="T108" s="115">
        <v>1.0555000000000001</v>
      </c>
      <c r="U108" s="116">
        <v>1.0555000000000001</v>
      </c>
      <c r="V108" s="117">
        <v>1.0555000000000001</v>
      </c>
      <c r="W108" s="112">
        <v>0</v>
      </c>
      <c r="X108" s="115">
        <v>1.0550999999999999</v>
      </c>
      <c r="Y108" s="115">
        <v>1.0550999999999999</v>
      </c>
      <c r="Z108" s="116">
        <v>1.0550999999999999</v>
      </c>
      <c r="AA108" s="117">
        <v>1.0550999999999999</v>
      </c>
      <c r="AB108" s="112">
        <v>0</v>
      </c>
    </row>
    <row r="109" spans="1:28" ht="12" customHeight="1" x14ac:dyDescent="0.25">
      <c r="A109" s="114" t="s">
        <v>48</v>
      </c>
      <c r="B109" s="120">
        <v>1.6580999999999999</v>
      </c>
      <c r="C109" s="120">
        <v>1.6567000000000001</v>
      </c>
      <c r="D109" s="115">
        <v>0.50139999999999996</v>
      </c>
      <c r="E109" s="115">
        <v>0.50139999999999996</v>
      </c>
      <c r="F109" s="116">
        <v>0.50139999999999996</v>
      </c>
      <c r="G109" s="117">
        <v>0.50139999999999996</v>
      </c>
      <c r="H109" s="112">
        <v>0</v>
      </c>
      <c r="I109" s="115">
        <v>0.50139999999999996</v>
      </c>
      <c r="J109" s="115">
        <v>0.50139999999999996</v>
      </c>
      <c r="K109" s="116">
        <v>0.50139999999999996</v>
      </c>
      <c r="L109" s="117">
        <v>0.50139999999999996</v>
      </c>
      <c r="M109" s="112">
        <v>0</v>
      </c>
      <c r="N109" s="115">
        <v>0.50129999999999997</v>
      </c>
      <c r="O109" s="115">
        <v>0.50129999999999997</v>
      </c>
      <c r="P109" s="116">
        <v>0.50129999999999997</v>
      </c>
      <c r="Q109" s="117">
        <v>0.50129999999999997</v>
      </c>
      <c r="R109" s="112">
        <v>0</v>
      </c>
      <c r="S109" s="115">
        <v>0.76739999999999997</v>
      </c>
      <c r="T109" s="115">
        <v>0.76739999999999997</v>
      </c>
      <c r="U109" s="116">
        <v>0.76739999999999997</v>
      </c>
      <c r="V109" s="117">
        <v>0.76739999999999997</v>
      </c>
      <c r="W109" s="112">
        <v>0</v>
      </c>
      <c r="X109" s="115">
        <v>0.7671</v>
      </c>
      <c r="Y109" s="115">
        <v>0.7671</v>
      </c>
      <c r="Z109" s="116">
        <v>0.7671</v>
      </c>
      <c r="AA109" s="117">
        <v>0.7671</v>
      </c>
      <c r="AB109" s="112">
        <v>0</v>
      </c>
    </row>
    <row r="110" spans="1:28" ht="12" customHeight="1" x14ac:dyDescent="0.25">
      <c r="A110" s="114" t="s">
        <v>83</v>
      </c>
      <c r="B110" s="112"/>
      <c r="C110" s="112"/>
      <c r="D110" s="115">
        <v>0.25040000000000001</v>
      </c>
      <c r="E110" s="115">
        <v>0.25040000000000001</v>
      </c>
      <c r="F110" s="116">
        <v>0.25040000000000001</v>
      </c>
      <c r="G110" s="117">
        <v>0.25040000000000001</v>
      </c>
      <c r="H110" s="112">
        <v>0</v>
      </c>
      <c r="I110" s="115">
        <v>0.2505</v>
      </c>
      <c r="J110" s="115">
        <v>0.2505</v>
      </c>
      <c r="K110" s="116">
        <v>0.2505</v>
      </c>
      <c r="L110" s="117">
        <v>0.2505</v>
      </c>
      <c r="M110" s="112">
        <v>0</v>
      </c>
      <c r="N110" s="115">
        <v>0.25040000000000001</v>
      </c>
      <c r="O110" s="115">
        <v>0.25040000000000001</v>
      </c>
      <c r="P110" s="116">
        <v>0.25040000000000001</v>
      </c>
      <c r="Q110" s="117">
        <v>0.25040000000000001</v>
      </c>
      <c r="R110" s="112">
        <v>0</v>
      </c>
      <c r="S110" s="115">
        <v>0.25030000000000002</v>
      </c>
      <c r="T110" s="115">
        <v>0.25030000000000002</v>
      </c>
      <c r="U110" s="116">
        <v>0.25030000000000002</v>
      </c>
      <c r="V110" s="117">
        <v>0.25030000000000002</v>
      </c>
      <c r="W110" s="112">
        <v>0</v>
      </c>
      <c r="X110" s="115">
        <v>0.1137</v>
      </c>
      <c r="Y110" s="115">
        <v>0.1137</v>
      </c>
      <c r="Z110" s="116">
        <v>0.1137</v>
      </c>
      <c r="AA110" s="117">
        <v>0.1137</v>
      </c>
      <c r="AB110" s="112">
        <v>0</v>
      </c>
    </row>
    <row r="111" spans="1:28" ht="12" customHeight="1" x14ac:dyDescent="0.25">
      <c r="A111" s="114" t="s">
        <v>50</v>
      </c>
      <c r="B111" s="120">
        <v>6.6387</v>
      </c>
      <c r="C111" s="120">
        <v>6.6506999999999996</v>
      </c>
      <c r="D111" s="115">
        <v>0.82420000000000004</v>
      </c>
      <c r="E111" s="115">
        <v>0.82420000000000004</v>
      </c>
      <c r="F111" s="116">
        <v>0.82420000000000004</v>
      </c>
      <c r="G111" s="117">
        <v>0.82420000000000004</v>
      </c>
      <c r="H111" s="112">
        <v>0</v>
      </c>
      <c r="I111" s="115">
        <v>0.82430000000000003</v>
      </c>
      <c r="J111" s="115">
        <v>0.82430000000000003</v>
      </c>
      <c r="K111" s="116">
        <v>0.82430000000000003</v>
      </c>
      <c r="L111" s="117">
        <v>0.82430000000000003</v>
      </c>
      <c r="M111" s="112">
        <v>0</v>
      </c>
      <c r="N111" s="115">
        <v>0.82410000000000005</v>
      </c>
      <c r="O111" s="115">
        <v>0.82410000000000005</v>
      </c>
      <c r="P111" s="116">
        <v>0.82410000000000005</v>
      </c>
      <c r="Q111" s="117">
        <v>0.82410000000000005</v>
      </c>
      <c r="R111" s="112">
        <v>0</v>
      </c>
      <c r="S111" s="115">
        <v>5.4916</v>
      </c>
      <c r="T111" s="115">
        <v>5.4916</v>
      </c>
      <c r="U111" s="116">
        <v>5.4916</v>
      </c>
      <c r="V111" s="117">
        <v>5.4916</v>
      </c>
      <c r="W111" s="112">
        <v>0</v>
      </c>
      <c r="X111" s="115">
        <v>5.4897999999999998</v>
      </c>
      <c r="Y111" s="115">
        <v>5.4897999999999998</v>
      </c>
      <c r="Z111" s="116">
        <v>5.4897999999999998</v>
      </c>
      <c r="AA111" s="117">
        <v>5.4897999999999998</v>
      </c>
      <c r="AB111" s="112">
        <v>0</v>
      </c>
    </row>
    <row r="112" spans="1:28" ht="12" hidden="1" customHeight="1" outlineLevel="1" collapsed="1" x14ac:dyDescent="0.25">
      <c r="A112" s="114" t="s">
        <v>52</v>
      </c>
      <c r="B112" s="120">
        <v>0</v>
      </c>
      <c r="C112" s="120">
        <v>0</v>
      </c>
      <c r="D112" s="115">
        <v>0</v>
      </c>
      <c r="E112" s="115">
        <v>0</v>
      </c>
      <c r="F112" s="116">
        <v>0</v>
      </c>
      <c r="G112" s="117">
        <v>0</v>
      </c>
      <c r="H112" s="112">
        <v>0</v>
      </c>
      <c r="I112" s="115">
        <v>0</v>
      </c>
      <c r="J112" s="115">
        <v>0</v>
      </c>
      <c r="K112" s="116">
        <v>0</v>
      </c>
      <c r="L112" s="117">
        <v>0</v>
      </c>
      <c r="M112" s="112">
        <v>0</v>
      </c>
      <c r="N112" s="115">
        <v>0</v>
      </c>
      <c r="O112" s="115">
        <v>0</v>
      </c>
      <c r="P112" s="116">
        <v>0</v>
      </c>
      <c r="Q112" s="117">
        <v>0</v>
      </c>
      <c r="R112" s="112">
        <v>0</v>
      </c>
      <c r="S112" s="115">
        <v>0</v>
      </c>
      <c r="T112" s="115">
        <v>0</v>
      </c>
      <c r="U112" s="116">
        <v>0</v>
      </c>
      <c r="V112" s="117">
        <v>0</v>
      </c>
      <c r="W112" s="112">
        <v>0</v>
      </c>
      <c r="X112" s="115">
        <v>0</v>
      </c>
      <c r="Y112" s="115">
        <v>0</v>
      </c>
      <c r="Z112" s="116">
        <v>0</v>
      </c>
      <c r="AA112" s="117">
        <v>0</v>
      </c>
      <c r="AB112" s="112">
        <v>0</v>
      </c>
    </row>
    <row r="113" spans="1:28" ht="12" hidden="1" customHeight="1" outlineLevel="1" collapsed="1" x14ac:dyDescent="0.25">
      <c r="A113" s="114" t="s">
        <v>47</v>
      </c>
      <c r="B113" s="120">
        <v>0</v>
      </c>
      <c r="C113" s="120">
        <v>0</v>
      </c>
      <c r="D113" s="115">
        <v>0</v>
      </c>
      <c r="E113" s="115">
        <v>0</v>
      </c>
      <c r="F113" s="116">
        <v>0</v>
      </c>
      <c r="G113" s="117">
        <v>0</v>
      </c>
      <c r="H113" s="112">
        <v>0</v>
      </c>
      <c r="I113" s="115">
        <v>0</v>
      </c>
      <c r="J113" s="115">
        <v>0</v>
      </c>
      <c r="K113" s="116">
        <v>0</v>
      </c>
      <c r="L113" s="117">
        <v>0</v>
      </c>
      <c r="M113" s="112">
        <v>0</v>
      </c>
      <c r="N113" s="115">
        <v>0</v>
      </c>
      <c r="O113" s="115">
        <v>0</v>
      </c>
      <c r="P113" s="116">
        <v>0</v>
      </c>
      <c r="Q113" s="117">
        <v>0</v>
      </c>
      <c r="R113" s="112">
        <v>0</v>
      </c>
      <c r="S113" s="115">
        <v>0</v>
      </c>
      <c r="T113" s="115">
        <v>0</v>
      </c>
      <c r="U113" s="116">
        <v>0</v>
      </c>
      <c r="V113" s="117">
        <v>0</v>
      </c>
      <c r="W113" s="112">
        <v>0</v>
      </c>
      <c r="X113" s="115">
        <v>0</v>
      </c>
      <c r="Y113" s="115">
        <v>0</v>
      </c>
      <c r="Z113" s="116">
        <v>0</v>
      </c>
      <c r="AA113" s="117">
        <v>0</v>
      </c>
      <c r="AB113" s="112">
        <v>0</v>
      </c>
    </row>
    <row r="114" spans="1:28" ht="12" customHeight="1" collapsed="1" x14ac:dyDescent="0.25">
      <c r="A114" s="114" t="s">
        <v>84</v>
      </c>
      <c r="B114" s="112"/>
      <c r="C114" s="112"/>
      <c r="D114" s="113">
        <v>38.823799999999999</v>
      </c>
      <c r="E114" s="113">
        <v>38.823799999999999</v>
      </c>
      <c r="F114" s="113">
        <v>38.823799999999999</v>
      </c>
      <c r="G114" s="113">
        <v>38.823799999999999</v>
      </c>
      <c r="H114" s="112">
        <v>0</v>
      </c>
      <c r="I114" s="113">
        <v>39.014499999999998</v>
      </c>
      <c r="J114" s="113">
        <v>39.014499999999998</v>
      </c>
      <c r="K114" s="113">
        <v>39.014499999999998</v>
      </c>
      <c r="L114" s="113">
        <v>39.014499999999998</v>
      </c>
      <c r="M114" s="112">
        <v>0</v>
      </c>
      <c r="N114" s="113">
        <v>38.885599999999997</v>
      </c>
      <c r="O114" s="113">
        <v>38.885599999999997</v>
      </c>
      <c r="P114" s="113">
        <v>38.885599999999997</v>
      </c>
      <c r="Q114" s="113">
        <v>38.885599999999997</v>
      </c>
      <c r="R114" s="112">
        <v>0</v>
      </c>
      <c r="S114" s="113">
        <v>38.947400000000002</v>
      </c>
      <c r="T114" s="113">
        <v>38.947400000000002</v>
      </c>
      <c r="U114" s="113">
        <v>38.947400000000002</v>
      </c>
      <c r="V114" s="113">
        <v>38.947400000000002</v>
      </c>
      <c r="W114" s="112">
        <v>0</v>
      </c>
      <c r="X114" s="113">
        <v>38.813899999999997</v>
      </c>
      <c r="Y114" s="113">
        <v>38.813899999999997</v>
      </c>
      <c r="Z114" s="113">
        <v>38.813899999999997</v>
      </c>
      <c r="AA114" s="113">
        <v>38.813899999999997</v>
      </c>
      <c r="AB114" s="112">
        <v>0</v>
      </c>
    </row>
    <row r="115" spans="1:28" ht="12" customHeight="1" x14ac:dyDescent="0.25">
      <c r="A115" s="111" t="s">
        <v>85</v>
      </c>
      <c r="B115" s="112"/>
      <c r="C115" s="112"/>
      <c r="D115" s="113">
        <v>436.89019999999999</v>
      </c>
      <c r="E115" s="113">
        <v>428.7987</v>
      </c>
      <c r="F115" s="113">
        <v>431.71809999999999</v>
      </c>
      <c r="G115" s="113">
        <v>431.50889999999998</v>
      </c>
      <c r="H115" s="112">
        <v>0</v>
      </c>
      <c r="I115" s="113">
        <v>452.87729999999999</v>
      </c>
      <c r="J115" s="113">
        <v>444.79</v>
      </c>
      <c r="K115" s="113">
        <v>449.44279999999998</v>
      </c>
      <c r="L115" s="113">
        <v>449.82080000000002</v>
      </c>
      <c r="M115" s="112">
        <v>0</v>
      </c>
      <c r="N115" s="113">
        <v>458.10579999999999</v>
      </c>
      <c r="O115" s="113">
        <v>450.01990000000001</v>
      </c>
      <c r="P115" s="113">
        <v>452.62180000000001</v>
      </c>
      <c r="Q115" s="113">
        <v>452.99310000000003</v>
      </c>
      <c r="R115" s="112">
        <v>0</v>
      </c>
      <c r="S115" s="113">
        <v>466.73489999999998</v>
      </c>
      <c r="T115" s="113">
        <v>458.5883</v>
      </c>
      <c r="U115" s="113">
        <v>466.14350000000002</v>
      </c>
      <c r="V115" s="113">
        <v>466.14479999999998</v>
      </c>
      <c r="W115" s="112">
        <v>0</v>
      </c>
      <c r="X115" s="113">
        <v>468.92009999999999</v>
      </c>
      <c r="Y115" s="113">
        <v>460.74639999999999</v>
      </c>
      <c r="Z115" s="113">
        <v>460.87599999999998</v>
      </c>
      <c r="AA115" s="113">
        <v>460.5761</v>
      </c>
      <c r="AB115" s="112">
        <v>0</v>
      </c>
    </row>
  </sheetData>
  <mergeCells count="12">
    <mergeCell ref="S1:W1"/>
    <mergeCell ref="S2:W2"/>
    <mergeCell ref="X1:AB1"/>
    <mergeCell ref="X2:AB2"/>
    <mergeCell ref="B1:B2"/>
    <mergeCell ref="C1:C2"/>
    <mergeCell ref="D1:H1"/>
    <mergeCell ref="D2:H2"/>
    <mergeCell ref="I1:M1"/>
    <mergeCell ref="I2:M2"/>
    <mergeCell ref="N1:R1"/>
    <mergeCell ref="N2:R2"/>
  </mergeCells>
  <printOptions horizontalCentered="1"/>
  <pageMargins left="0.5" right="0.5" top="0.748" bottom="0.748" header="0.315" footer="0.315"/>
  <pageSetup paperSize="9" orientation="portrait"/>
  <colBreaks count="5" manualBreakCount="5">
    <brk id="8" max="16383" man="1"/>
    <brk id="13" max="16383" man="1"/>
    <brk id="18" max="16383" man="1"/>
    <brk id="23" max="16383" man="1"/>
    <brk id="28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DE64-060D-47B9-BAC7-3CAD960FA18A}">
  <sheetPr codeName="Лист3">
    <pageSetUpPr fitToPage="1"/>
  </sheetPr>
  <dimension ref="A1:S93"/>
  <sheetViews>
    <sheetView tabSelected="1" topLeftCell="B27" zoomScale="85" zoomScaleNormal="85" workbookViewId="0">
      <selection activeCell="C85" sqref="C85"/>
    </sheetView>
  </sheetViews>
  <sheetFormatPr defaultRowHeight="15.75" outlineLevelRow="1" outlineLevelCol="1" x14ac:dyDescent="0.25"/>
  <cols>
    <col min="1" max="1" width="24.5703125" style="98" hidden="1" customWidth="1" outlineLevel="1"/>
    <col min="2" max="2" width="78.5703125" style="4" customWidth="1" collapsed="1"/>
    <col min="3" max="19" width="11.42578125" style="2" customWidth="1"/>
    <col min="20" max="23" width="9.140625" style="2" customWidth="1"/>
    <col min="24" max="16384" width="9.140625" style="2"/>
  </cols>
  <sheetData>
    <row r="1" spans="1:19" ht="26.25" customHeight="1" x14ac:dyDescent="0.25">
      <c r="A1" s="98" t="s">
        <v>86</v>
      </c>
      <c r="B1" s="465" t="s">
        <v>87</v>
      </c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5"/>
      <c r="S1" s="465"/>
    </row>
    <row r="2" spans="1:19" s="3" customFormat="1" ht="16.5" thickBot="1" x14ac:dyDescent="0.3">
      <c r="A2" s="99"/>
      <c r="B2" s="5"/>
      <c r="C2" s="58" t="s">
        <v>88</v>
      </c>
      <c r="D2" s="59" t="s">
        <v>89</v>
      </c>
      <c r="E2" s="60" t="s">
        <v>90</v>
      </c>
      <c r="F2" s="103" t="s">
        <v>91</v>
      </c>
      <c r="G2" s="61" t="s">
        <v>92</v>
      </c>
      <c r="H2" s="59" t="s">
        <v>93</v>
      </c>
      <c r="I2" s="60" t="s">
        <v>94</v>
      </c>
      <c r="J2" s="103" t="s">
        <v>95</v>
      </c>
      <c r="K2" s="61" t="s">
        <v>96</v>
      </c>
      <c r="L2" s="59" t="s">
        <v>97</v>
      </c>
      <c r="M2" s="60" t="s">
        <v>98</v>
      </c>
      <c r="N2" s="103" t="s">
        <v>99</v>
      </c>
      <c r="O2" s="61" t="s">
        <v>100</v>
      </c>
      <c r="P2" s="59" t="s">
        <v>101</v>
      </c>
      <c r="Q2" s="60" t="s">
        <v>102</v>
      </c>
      <c r="R2" s="103" t="s">
        <v>103</v>
      </c>
      <c r="S2" s="104" t="s">
        <v>104</v>
      </c>
    </row>
    <row r="3" spans="1:19" s="3" customFormat="1" hidden="1" x14ac:dyDescent="0.25">
      <c r="A3" s="99"/>
      <c r="B3" s="6"/>
      <c r="C3" s="73">
        <v>1</v>
      </c>
      <c r="D3" s="74">
        <f>C3+1</f>
        <v>2</v>
      </c>
      <c r="E3" s="74">
        <f>D3+1</f>
        <v>3</v>
      </c>
      <c r="F3" s="7"/>
      <c r="G3" s="74">
        <f>E3+1</f>
        <v>4</v>
      </c>
      <c r="H3" s="74">
        <f>G3+1</f>
        <v>5</v>
      </c>
      <c r="I3" s="74">
        <f>H3+1</f>
        <v>6</v>
      </c>
      <c r="J3" s="7"/>
      <c r="K3" s="74">
        <f>I3+1</f>
        <v>7</v>
      </c>
      <c r="L3" s="74">
        <f>K3+1</f>
        <v>8</v>
      </c>
      <c r="M3" s="74">
        <f>L3+1</f>
        <v>9</v>
      </c>
      <c r="N3" s="7"/>
      <c r="O3" s="74">
        <f>M3+1</f>
        <v>10</v>
      </c>
      <c r="P3" s="74">
        <f>O3+1</f>
        <v>11</v>
      </c>
      <c r="Q3" s="74">
        <f>P3+1</f>
        <v>12</v>
      </c>
      <c r="R3" s="8"/>
      <c r="S3" s="9"/>
    </row>
    <row r="4" spans="1:19" ht="31.5" x14ac:dyDescent="0.25">
      <c r="A4" s="98" t="s">
        <v>105</v>
      </c>
      <c r="B4" s="62" t="s">
        <v>106</v>
      </c>
      <c r="C4" s="81">
        <f>18502.977447/1000</f>
        <v>18.502977447000003</v>
      </c>
      <c r="D4" s="82">
        <f>14187.792792/1000</f>
        <v>14.187792792</v>
      </c>
      <c r="E4" s="83">
        <f>17300.58147/1000</f>
        <v>17.300581470000001</v>
      </c>
      <c r="F4" s="85">
        <f>C4+D4+E4</f>
        <v>49.991351709</v>
      </c>
      <c r="G4" s="81">
        <f>15283.880513/1000</f>
        <v>15.283880513</v>
      </c>
      <c r="H4" s="82">
        <f>15019.613528/1000</f>
        <v>15.019613528000001</v>
      </c>
      <c r="I4" s="83">
        <f>14732.354236/1000</f>
        <v>14.732354235999999</v>
      </c>
      <c r="J4" s="85">
        <f>G4+H4+I4</f>
        <v>45.035848276999999</v>
      </c>
      <c r="K4" s="81">
        <f>14518.718288/1000</f>
        <v>14.518718288000001</v>
      </c>
      <c r="L4" s="82">
        <f>15020.003114/1000</f>
        <v>15.020003114</v>
      </c>
      <c r="M4" s="83">
        <f>12777.36420325/1000</f>
        <v>12.777364203249999</v>
      </c>
      <c r="N4" s="85">
        <f>K4+L4+M4</f>
        <v>42.316085605249995</v>
      </c>
      <c r="O4" s="81">
        <f>15785.824439/1000</f>
        <v>15.785824439000001</v>
      </c>
      <c r="P4" s="82">
        <f>14537.261233/1000</f>
        <v>14.537261232999999</v>
      </c>
      <c r="Q4" s="83">
        <f>15333.628737/1000</f>
        <v>15.333628737</v>
      </c>
      <c r="R4" s="92">
        <f>O4+P4+Q4</f>
        <v>45.656714408999996</v>
      </c>
      <c r="S4" s="10">
        <f>F4+J4+N4+R4</f>
        <v>183.00000000024997</v>
      </c>
    </row>
    <row r="5" spans="1:19" ht="31.5" x14ac:dyDescent="0.25">
      <c r="A5" s="98" t="s">
        <v>105</v>
      </c>
      <c r="B5" s="63" t="s">
        <v>107</v>
      </c>
      <c r="C5" s="11">
        <f ca="1">(C4*1000)/DAY(EOMONTH(DATE(YEAR(TODAY()),C3,1),0))</f>
        <v>596.87024022580647</v>
      </c>
      <c r="D5" s="76">
        <f ca="1">(D4*1000)/DAY(EOMONTH(DATE(YEAR(TODAY()),D3,1),0))</f>
        <v>506.70688542857141</v>
      </c>
      <c r="E5" s="84">
        <f ca="1">(E4*1000)/DAY(EOMONTH(DATE(YEAR(TODAY()),E3,1),0))</f>
        <v>558.08327322580647</v>
      </c>
      <c r="F5" s="86">
        <f>(F4*1000)/(31+28+31)</f>
        <v>555.45946343333333</v>
      </c>
      <c r="G5" s="11">
        <f ca="1">(G4*1000)/DAY(EOMONTH(DATE(YEAR(TODAY()),G3,1),0))</f>
        <v>509.46268376666666</v>
      </c>
      <c r="H5" s="76">
        <f ca="1">(H4*1000)/DAY(EOMONTH(DATE(YEAR(TODAY()),H3,1),0))</f>
        <v>484.50366219354839</v>
      </c>
      <c r="I5" s="84">
        <f ca="1">(I4*1000)/DAY(EOMONTH(DATE(YEAR(TODAY()),I3,1),0))</f>
        <v>491.07847453333329</v>
      </c>
      <c r="J5" s="86">
        <f>(J4*1000)/(30+31+30)</f>
        <v>494.89943161538457</v>
      </c>
      <c r="K5" s="11">
        <f ca="1">(K4*1000)/DAY(EOMONTH(DATE(YEAR(TODAY()),K3,1),0))</f>
        <v>468.34575122580645</v>
      </c>
      <c r="L5" s="76">
        <f ca="1">(L4*1000)/DAY(EOMONTH(DATE(YEAR(TODAY()),L3,1),0))</f>
        <v>484.51622948387092</v>
      </c>
      <c r="M5" s="84">
        <f ca="1">(M4*1000)/DAY(EOMONTH(DATE(YEAR(TODAY()),M3,1),0))</f>
        <v>425.91214010833329</v>
      </c>
      <c r="N5" s="86">
        <f>(N4*1000)/(31+31+30)</f>
        <v>459.95745223097822</v>
      </c>
      <c r="O5" s="11">
        <f ca="1">(O4*1000)/DAY(EOMONTH(DATE(YEAR(TODAY()),O3,1),0))</f>
        <v>509.22014319354838</v>
      </c>
      <c r="P5" s="76">
        <f ca="1">(P4*1000)/DAY(EOMONTH(DATE(YEAR(TODAY()),P3,1),0))</f>
        <v>484.57537443333331</v>
      </c>
      <c r="Q5" s="84">
        <f ca="1">(Q4*1000)/DAY(EOMONTH(DATE(YEAR(TODAY()),Q3,1),0))</f>
        <v>494.63318506451611</v>
      </c>
      <c r="R5" s="93">
        <f>(R4*1000)/(31+30+31)</f>
        <v>496.26863488043472</v>
      </c>
      <c r="S5" s="12">
        <f>(S4*1000)/365</f>
        <v>501.3698630143835</v>
      </c>
    </row>
    <row r="6" spans="1:19" ht="31.5" hidden="1" outlineLevel="1" x14ac:dyDescent="0.25">
      <c r="B6" s="64" t="s">
        <v>108</v>
      </c>
      <c r="C6" s="13">
        <v>17.10004</v>
      </c>
      <c r="D6" s="75">
        <v>15.57912</v>
      </c>
      <c r="E6" s="15">
        <v>17.064640000000001</v>
      </c>
      <c r="F6" s="87">
        <f>C6+D6+E6</f>
        <v>49.743799999999993</v>
      </c>
      <c r="G6" s="13">
        <v>13.7315</v>
      </c>
      <c r="H6" s="75">
        <v>14.21364</v>
      </c>
      <c r="I6" s="15">
        <v>13.7248</v>
      </c>
      <c r="J6" s="87">
        <f>G6+H6+I6</f>
        <v>41.669940000000004</v>
      </c>
      <c r="K6" s="13">
        <v>14.217739999999999</v>
      </c>
      <c r="L6" s="75">
        <v>13.85764</v>
      </c>
      <c r="M6" s="15">
        <v>13.7525</v>
      </c>
      <c r="N6" s="87">
        <f>K6+L6+M6</f>
        <v>41.82788</v>
      </c>
      <c r="O6" s="13">
        <v>16.76285</v>
      </c>
      <c r="P6" s="75">
        <v>16.209879999999998</v>
      </c>
      <c r="Q6" s="15">
        <v>16.78565</v>
      </c>
      <c r="R6" s="94">
        <f>O6+P6+Q6</f>
        <v>49.758380000000002</v>
      </c>
      <c r="S6" s="12">
        <f>F6+J6+N6+R6</f>
        <v>183</v>
      </c>
    </row>
    <row r="7" spans="1:19" ht="31.5" hidden="1" outlineLevel="1" x14ac:dyDescent="0.25">
      <c r="B7" s="63" t="s">
        <v>107</v>
      </c>
      <c r="C7" s="13">
        <f>(C6*1000)/31</f>
        <v>551.61419354838711</v>
      </c>
      <c r="D7" s="75">
        <f>(D6*1000)/28</f>
        <v>556.39714285714285</v>
      </c>
      <c r="E7" s="15">
        <f>(E6*1000)/31</f>
        <v>550.47225806451615</v>
      </c>
      <c r="F7" s="87">
        <f>(F6*1000)/(31+28+31)</f>
        <v>552.70888888888885</v>
      </c>
      <c r="G7" s="13">
        <f>(G6*1000)/30</f>
        <v>457.71666666666664</v>
      </c>
      <c r="H7" s="75">
        <f>(H6*1000)/31</f>
        <v>458.50451612903225</v>
      </c>
      <c r="I7" s="15">
        <f>(I6*1000)/30</f>
        <v>457.49333333333328</v>
      </c>
      <c r="J7" s="87">
        <f>(J6*1000)/(30+31+30)</f>
        <v>457.91142857142859</v>
      </c>
      <c r="K7" s="13">
        <f>(K6*1000)/31</f>
        <v>458.63677419354838</v>
      </c>
      <c r="L7" s="75">
        <f>(L6*1000)/31</f>
        <v>447.0206451612903</v>
      </c>
      <c r="M7" s="15">
        <f>(M6*1000)/30</f>
        <v>458.41666666666669</v>
      </c>
      <c r="N7" s="87">
        <f>(N6*1000)/(31+31+30)</f>
        <v>454.65086956521736</v>
      </c>
      <c r="O7" s="13">
        <f>(O6*1000)/31</f>
        <v>540.73709677419345</v>
      </c>
      <c r="P7" s="75">
        <f>(P6*1000)/30</f>
        <v>540.32933333333324</v>
      </c>
      <c r="Q7" s="15">
        <f>(Q6*1000)/31</f>
        <v>541.47258064516132</v>
      </c>
      <c r="R7" s="94">
        <f>(R6*1000)/(31+30+31)</f>
        <v>540.85195652173923</v>
      </c>
      <c r="S7" s="12">
        <f>(S6*1000)/365</f>
        <v>501.36986301369865</v>
      </c>
    </row>
    <row r="8" spans="1:19" ht="31.5" hidden="1" outlineLevel="1" x14ac:dyDescent="0.25">
      <c r="B8" s="64" t="s">
        <v>109</v>
      </c>
      <c r="C8" s="13">
        <v>18.503</v>
      </c>
      <c r="D8" s="75">
        <v>14.187799999999999</v>
      </c>
      <c r="E8" s="15">
        <v>17.300599999999999</v>
      </c>
      <c r="F8" s="87">
        <f>SUM(C8:E8)</f>
        <v>49.991399999999999</v>
      </c>
      <c r="G8" s="13">
        <v>15.161961831999999</v>
      </c>
      <c r="H8" s="75">
        <v>13.260949500000001</v>
      </c>
      <c r="I8" s="15">
        <v>12.366099999999999</v>
      </c>
      <c r="J8" s="87">
        <f>SUM(G8:I8)</f>
        <v>40.789011332000001</v>
      </c>
      <c r="K8" s="13">
        <v>11.917899999999999</v>
      </c>
      <c r="L8" s="75">
        <v>13.5091971</v>
      </c>
      <c r="M8" s="15">
        <v>12.68529</v>
      </c>
      <c r="N8" s="87">
        <f>SUM(K8:M8)</f>
        <v>38.112387099999999</v>
      </c>
      <c r="O8" s="13">
        <v>16.262696999999999</v>
      </c>
      <c r="P8" s="75">
        <v>15.625596</v>
      </c>
      <c r="Q8" s="15">
        <v>15.578920500000001</v>
      </c>
      <c r="R8" s="94">
        <f>SUM(O8:Q8)</f>
        <v>47.4672135</v>
      </c>
      <c r="S8" s="12">
        <f>R8+N8+J8+F8</f>
        <v>176.36001193199999</v>
      </c>
    </row>
    <row r="9" spans="1:19" ht="31.5" hidden="1" outlineLevel="1" x14ac:dyDescent="0.25">
      <c r="B9" s="65" t="s">
        <v>110</v>
      </c>
      <c r="C9" s="13">
        <f>(C8*1000)/31</f>
        <v>596.87096774193549</v>
      </c>
      <c r="D9" s="75">
        <f>(D8*1000)/28</f>
        <v>506.70714285714286</v>
      </c>
      <c r="E9" s="15">
        <f t="shared" ref="E9:Q9" si="0">(E8*1000)/31</f>
        <v>558.08387096774186</v>
      </c>
      <c r="F9" s="87">
        <f>(F8*1000)/(31+28+31)</f>
        <v>555.46</v>
      </c>
      <c r="G9" s="13">
        <f>(G8*1000)/30</f>
        <v>505.39872773333332</v>
      </c>
      <c r="H9" s="75">
        <f t="shared" si="0"/>
        <v>427.77256451612908</v>
      </c>
      <c r="I9" s="15">
        <f>(I8*1000)/30</f>
        <v>412.20333333333326</v>
      </c>
      <c r="J9" s="87">
        <f>(J8*1000)/(30+31+30)</f>
        <v>448.23089375824179</v>
      </c>
      <c r="K9" s="13">
        <f>(K8*1000)/31</f>
        <v>384.44838709677418</v>
      </c>
      <c r="L9" s="75">
        <f>(L8*1000)/31</f>
        <v>435.7805516129032</v>
      </c>
      <c r="M9" s="15">
        <f>(M8*1000)/30</f>
        <v>422.84300000000002</v>
      </c>
      <c r="N9" s="87">
        <f>(N8*1000)/(31+31+30)</f>
        <v>414.26507717391303</v>
      </c>
      <c r="O9" s="13">
        <f t="shared" si="0"/>
        <v>524.60312903225804</v>
      </c>
      <c r="P9" s="75">
        <f>(P8*1000)/30</f>
        <v>520.85320000000002</v>
      </c>
      <c r="Q9" s="15">
        <f t="shared" si="0"/>
        <v>502.54582258064517</v>
      </c>
      <c r="R9" s="94">
        <f>(R8*1000)/(31+30+31)</f>
        <v>515.94797282608693</v>
      </c>
      <c r="S9" s="12">
        <f>(S8*1000)/365</f>
        <v>483.17811488219178</v>
      </c>
    </row>
    <row r="10" spans="1:19" ht="31.5" collapsed="1" x14ac:dyDescent="0.25">
      <c r="A10" s="98" t="s">
        <v>111</v>
      </c>
      <c r="B10" s="66" t="s">
        <v>112</v>
      </c>
      <c r="C10" s="16">
        <v>18.502977446999999</v>
      </c>
      <c r="D10" s="77">
        <v>14.187792792</v>
      </c>
      <c r="E10" s="17">
        <v>17.300581470000001</v>
      </c>
      <c r="F10" s="143">
        <f>IF(C10&gt;0,C10,C4)+IF(D10&gt;0,D10,D4)+IF(E10&gt;0,E10,E4)</f>
        <v>49.991351709</v>
      </c>
      <c r="G10" s="16">
        <v>15.283880513</v>
      </c>
      <c r="H10" s="77">
        <v>15.019613528000001</v>
      </c>
      <c r="I10" s="17">
        <v>14.7323542362558</v>
      </c>
      <c r="J10" s="143">
        <f>IF(G10&gt;0,G10,G4)+IF(H10&gt;0,H10,H4)+IF(I10&gt;0,I10,I4)</f>
        <v>45.035848277255802</v>
      </c>
      <c r="K10" s="16">
        <v>14.518718288000001</v>
      </c>
      <c r="L10" s="77">
        <v>14.989008949999999</v>
      </c>
      <c r="M10" s="17">
        <v>13.803864479</v>
      </c>
      <c r="N10" s="143">
        <f>IF(K10&gt;0,K10,K4)+IF(L10&gt;0,L10,L4)+IF(M10&gt;0,M10,M4)</f>
        <v>43.311591716999999</v>
      </c>
      <c r="O10" s="16">
        <v>12.138216451007937</v>
      </c>
      <c r="P10" s="77">
        <v>9.2665970504949993</v>
      </c>
      <c r="Q10" s="17"/>
      <c r="R10" s="143">
        <f>IF(O10&gt;0,O10,O4)+IF(P10&gt;0,P10,P4)+IF(Q10&gt;0,Q10,Q4)</f>
        <v>36.738442238502934</v>
      </c>
      <c r="S10" s="18">
        <f>F10+J10+N10+R10</f>
        <v>175.07723394175872</v>
      </c>
    </row>
    <row r="11" spans="1:19" x14ac:dyDescent="0.25">
      <c r="A11" s="98" t="s">
        <v>113</v>
      </c>
      <c r="B11" s="67" t="s">
        <v>114</v>
      </c>
      <c r="C11" s="19">
        <v>0.42427200000000004</v>
      </c>
      <c r="D11" s="78">
        <v>2.0448689999999998</v>
      </c>
      <c r="E11" s="15">
        <v>3.3798500000000002</v>
      </c>
      <c r="F11" s="87">
        <f>C11+D11+E11</f>
        <v>5.8489909999999998</v>
      </c>
      <c r="G11" s="13">
        <v>91.145854999999997</v>
      </c>
      <c r="H11" s="78">
        <v>0.39957399999999998</v>
      </c>
      <c r="I11" s="22">
        <f>0.267251</f>
        <v>0.26725100000000002</v>
      </c>
      <c r="J11" s="87">
        <f>G11+H11+I11</f>
        <v>91.81268</v>
      </c>
      <c r="K11" s="19">
        <v>3.1370869999999997</v>
      </c>
      <c r="L11" s="78">
        <v>3.7532999999999997E-2</v>
      </c>
      <c r="M11" s="22">
        <v>0</v>
      </c>
      <c r="N11" s="87">
        <f>K11+L11+M11</f>
        <v>3.1746199999999996</v>
      </c>
      <c r="O11" s="19">
        <v>0</v>
      </c>
      <c r="P11" s="97"/>
      <c r="Q11" s="15"/>
      <c r="R11" s="94">
        <f>O11+P11+Q11</f>
        <v>0</v>
      </c>
      <c r="S11" s="12">
        <f>F11+J11+N11+R11</f>
        <v>100.836291</v>
      </c>
    </row>
    <row r="12" spans="1:19" ht="31.5" x14ac:dyDescent="0.25">
      <c r="A12" s="98" t="s">
        <v>115</v>
      </c>
      <c r="B12" s="68" t="s">
        <v>116</v>
      </c>
      <c r="C12" s="13">
        <f>(C10*1000-C11)/31</f>
        <v>596.85655403225803</v>
      </c>
      <c r="D12" s="75">
        <f>(D10*1000-D11)/28</f>
        <v>506.63385439285719</v>
      </c>
      <c r="E12" s="15">
        <f>(E10*1000-E11)/31</f>
        <v>557.97424580645156</v>
      </c>
      <c r="F12" s="87">
        <f>(F10*1000-F11)/(31+28+31)</f>
        <v>555.39447464444447</v>
      </c>
      <c r="G12" s="13">
        <f>(G10*1000-G11)/30</f>
        <v>506.42448859999996</v>
      </c>
      <c r="H12" s="75">
        <f>(H10*1000-H11)/31</f>
        <v>484.49077270967746</v>
      </c>
      <c r="I12" s="15">
        <f>(I10*1000-I11)/30</f>
        <v>491.06956617519336</v>
      </c>
      <c r="J12" s="87">
        <f>(J10*1000-J11)/(30+31+30)</f>
        <v>493.8905010687451</v>
      </c>
      <c r="K12" s="13">
        <f>(K10*1000-K11)/31</f>
        <v>468.24455487096776</v>
      </c>
      <c r="L12" s="75">
        <f>(L10*1000-L11)/31</f>
        <v>483.51520699999998</v>
      </c>
      <c r="M12" s="15">
        <f>(M10*1000-M11)/30</f>
        <v>460.12881596666665</v>
      </c>
      <c r="N12" s="87">
        <f>(N10*1000-N11)/(31+31+30)</f>
        <v>470.74366409782607</v>
      </c>
      <c r="O12" s="13">
        <f>(O10*1000-O11)/31</f>
        <v>391.55536938735281</v>
      </c>
      <c r="P12" s="75">
        <f>(P10*1000-P11)/30</f>
        <v>308.88656834983334</v>
      </c>
      <c r="Q12" s="15">
        <f>(Q10*1000-Q11)/31</f>
        <v>0</v>
      </c>
      <c r="R12" s="94">
        <f>(R10*1000-R11)/(31+30+31)</f>
        <v>399.33089389677099</v>
      </c>
      <c r="S12" s="12">
        <f>AVERAGE(F12,J12,N12,R12)</f>
        <v>479.83988342694664</v>
      </c>
    </row>
    <row r="13" spans="1:19" x14ac:dyDescent="0.25">
      <c r="A13" s="98" t="s">
        <v>117</v>
      </c>
      <c r="B13" s="69" t="s">
        <v>118</v>
      </c>
      <c r="C13" s="19">
        <f>C10-C4</f>
        <v>0</v>
      </c>
      <c r="D13" s="78">
        <f t="shared" ref="D13:E13" si="1">D10-D4</f>
        <v>0</v>
      </c>
      <c r="E13" s="22">
        <f t="shared" si="1"/>
        <v>0</v>
      </c>
      <c r="F13" s="88">
        <f>C13+D13+E13</f>
        <v>0</v>
      </c>
      <c r="G13" s="19">
        <f>G10-G4</f>
        <v>0</v>
      </c>
      <c r="H13" s="78">
        <f>H10-H4</f>
        <v>0</v>
      </c>
      <c r="I13" s="22">
        <f>I10-I4</f>
        <v>2.5580071394415427E-10</v>
      </c>
      <c r="J13" s="88">
        <f>G13+H13+I13</f>
        <v>2.5580071394415427E-10</v>
      </c>
      <c r="K13" s="19">
        <f>K10-K4</f>
        <v>0</v>
      </c>
      <c r="L13" s="78">
        <f>L10-L4</f>
        <v>-3.0994164000000879E-2</v>
      </c>
      <c r="M13" s="22">
        <f>M10-M4</f>
        <v>1.026500275750001</v>
      </c>
      <c r="N13" s="88">
        <f>K13+L13+M13</f>
        <v>0.99550611175000014</v>
      </c>
      <c r="O13" s="19">
        <f>O10-O4</f>
        <v>-3.647607987992064</v>
      </c>
      <c r="P13" s="75">
        <f t="shared" ref="P13:Q13" si="2">P10-P4</f>
        <v>-5.2706641825049996</v>
      </c>
      <c r="Q13" s="15">
        <f t="shared" si="2"/>
        <v>-15.333628737</v>
      </c>
      <c r="R13" s="94">
        <f>O13+P13+Q13</f>
        <v>-24.251900907497063</v>
      </c>
      <c r="S13" s="23">
        <f>F13+J13+N13+R13</f>
        <v>-23.256394795491261</v>
      </c>
    </row>
    <row r="14" spans="1:19" x14ac:dyDescent="0.25">
      <c r="A14" s="98" t="s">
        <v>119</v>
      </c>
      <c r="B14" s="69" t="s">
        <v>120</v>
      </c>
      <c r="C14" s="24">
        <f>C10*100%/C4-1</f>
        <v>0</v>
      </c>
      <c r="D14" s="79">
        <f t="shared" ref="D14:E14" si="3">D10*100%/D4-1</f>
        <v>0</v>
      </c>
      <c r="E14" s="26">
        <f t="shared" si="3"/>
        <v>0</v>
      </c>
      <c r="F14" s="89">
        <f>F8*100%/F4-1</f>
        <v>9.659870827682937E-7</v>
      </c>
      <c r="G14" s="24">
        <f>G10*100%/G4-1</f>
        <v>0</v>
      </c>
      <c r="H14" s="79">
        <f t="shared" ref="H14:I14" si="4">H10*100%/H4-1</f>
        <v>0</v>
      </c>
      <c r="I14" s="26">
        <f t="shared" si="4"/>
        <v>1.7363221971322673E-11</v>
      </c>
      <c r="J14" s="89">
        <f>J8*100%/J4-1</f>
        <v>-9.4299033047610559E-2</v>
      </c>
      <c r="K14" s="24">
        <f>K10*100%/K4-1</f>
        <v>0</v>
      </c>
      <c r="L14" s="79">
        <f>L10*100%/L4-1</f>
        <v>-2.0635258038735893E-3</v>
      </c>
      <c r="M14" s="26">
        <f>M10*100%/M4-1</f>
        <v>8.0337404445973704E-2</v>
      </c>
      <c r="N14" s="89">
        <f>(K8+L8+M4)*100%/N4-1</f>
        <v>-9.7164570947221085E-2</v>
      </c>
      <c r="O14" s="24">
        <f>O10*100%/O4-1</f>
        <v>-0.23106857687967119</v>
      </c>
      <c r="P14" s="79">
        <f t="shared" ref="P14:Q14" si="5">P10*100%/P4-1</f>
        <v>-0.36256239039994964</v>
      </c>
      <c r="Q14" s="26">
        <f t="shared" si="5"/>
        <v>-1</v>
      </c>
      <c r="R14" s="95">
        <f>R4*100%/R4-1</f>
        <v>0</v>
      </c>
      <c r="S14" s="27">
        <f>(S4+S13)*100%/S4-1</f>
        <v>-0.12708412456535245</v>
      </c>
    </row>
    <row r="15" spans="1:19" hidden="1" outlineLevel="1" x14ac:dyDescent="0.25">
      <c r="B15" s="70" t="s">
        <v>118</v>
      </c>
      <c r="C15" s="19">
        <f>C10-C6</f>
        <v>1.4029374469999993</v>
      </c>
      <c r="D15" s="78">
        <f>D10-D6</f>
        <v>-1.3913272079999999</v>
      </c>
      <c r="E15" s="22">
        <f>E10-E6</f>
        <v>0.23594147000000021</v>
      </c>
      <c r="F15" s="88">
        <f>C15+D15+E15</f>
        <v>0.24755170899999968</v>
      </c>
      <c r="G15" s="19">
        <f>G10-G6</f>
        <v>1.5523805129999992</v>
      </c>
      <c r="H15" s="78">
        <f>H10-H6</f>
        <v>0.80597352800000088</v>
      </c>
      <c r="I15" s="22">
        <f>I10-I6</f>
        <v>1.0075542362557997</v>
      </c>
      <c r="J15" s="88">
        <f>G15+H15+I15</f>
        <v>3.3659082772557998</v>
      </c>
      <c r="K15" s="19">
        <f>K10-K6</f>
        <v>0.30097828800000137</v>
      </c>
      <c r="L15" s="78">
        <f>L10-L6</f>
        <v>1.1313689499999988</v>
      </c>
      <c r="M15" s="22">
        <f>M10-M6</f>
        <v>5.1364479000000074E-2</v>
      </c>
      <c r="N15" s="88">
        <f>K15+L15+M15</f>
        <v>1.4837117170000003</v>
      </c>
      <c r="O15" s="19">
        <f t="shared" ref="O15:Q15" si="6">O6-O6</f>
        <v>0</v>
      </c>
      <c r="P15" s="75">
        <f t="shared" si="6"/>
        <v>0</v>
      </c>
      <c r="Q15" s="15">
        <f t="shared" si="6"/>
        <v>0</v>
      </c>
      <c r="R15" s="94">
        <f>O15+P15+Q15</f>
        <v>0</v>
      </c>
      <c r="S15" s="23">
        <f>F15+J15+N15+R15</f>
        <v>5.0971717032557997</v>
      </c>
    </row>
    <row r="16" spans="1:19" hidden="1" outlineLevel="1" x14ac:dyDescent="0.25">
      <c r="B16" s="70" t="s">
        <v>120</v>
      </c>
      <c r="C16" s="24">
        <f t="shared" ref="C16:M16" si="7">C10*100%/C6-1</f>
        <v>8.2042933642260341E-2</v>
      </c>
      <c r="D16" s="79">
        <f t="shared" si="7"/>
        <v>-8.9307175758322699E-2</v>
      </c>
      <c r="E16" s="26">
        <f t="shared" si="7"/>
        <v>1.3826337385377085E-2</v>
      </c>
      <c r="F16" s="89">
        <f>F10*100%/F6-1</f>
        <v>4.9765339399081565E-3</v>
      </c>
      <c r="G16" s="24">
        <f t="shared" si="7"/>
        <v>0.11305250795615907</v>
      </c>
      <c r="H16" s="79">
        <f t="shared" si="7"/>
        <v>5.6704231146982753E-2</v>
      </c>
      <c r="I16" s="26">
        <f t="shared" si="7"/>
        <v>7.3411214462564045E-2</v>
      </c>
      <c r="J16" s="89">
        <f t="shared" si="7"/>
        <v>8.0775452934556569E-2</v>
      </c>
      <c r="K16" s="24">
        <f>K10*100%/K6-1</f>
        <v>2.1169207483045849E-2</v>
      </c>
      <c r="L16" s="79">
        <f t="shared" si="7"/>
        <v>8.1642252937729642E-2</v>
      </c>
      <c r="M16" s="26">
        <f t="shared" si="7"/>
        <v>3.7349193964733018E-3</v>
      </c>
      <c r="N16" s="89">
        <f>(K10+L10+M6)*100%/N6-1</f>
        <v>3.4243840185063101E-2</v>
      </c>
      <c r="O16" s="24">
        <f t="shared" ref="O16:Q16" si="8">O6*100%/O6-1</f>
        <v>0</v>
      </c>
      <c r="P16" s="79">
        <f t="shared" si="8"/>
        <v>0</v>
      </c>
      <c r="Q16" s="26">
        <f t="shared" si="8"/>
        <v>0</v>
      </c>
      <c r="R16" s="95">
        <f>R6*100%/R6-1</f>
        <v>0</v>
      </c>
      <c r="S16" s="27">
        <f>(S6+S15)*100%/S6-1</f>
        <v>2.7853397285550807E-2</v>
      </c>
    </row>
    <row r="17" spans="1:19" hidden="1" outlineLevel="1" x14ac:dyDescent="0.25">
      <c r="B17" s="70" t="s">
        <v>121</v>
      </c>
      <c r="C17" s="13">
        <f>C10-C8</f>
        <v>-2.2553000000868906E-5</v>
      </c>
      <c r="D17" s="75">
        <f t="shared" ref="D17:G17" si="9">D10-D8</f>
        <v>-7.2079999995366961E-6</v>
      </c>
      <c r="E17" s="15">
        <f t="shared" si="9"/>
        <v>-1.8529999998406765E-5</v>
      </c>
      <c r="F17" s="88">
        <f t="shared" si="9"/>
        <v>-4.8290999998812367E-5</v>
      </c>
      <c r="G17" s="19">
        <f t="shared" si="9"/>
        <v>0.12191868100000036</v>
      </c>
      <c r="H17" s="78">
        <f>H10-H8</f>
        <v>1.7586640280000001</v>
      </c>
      <c r="I17" s="22">
        <f>I10-I8</f>
        <v>2.3662542362558003</v>
      </c>
      <c r="J17" s="88">
        <f>G17+H17+I17</f>
        <v>4.2468369452558008</v>
      </c>
      <c r="K17" s="19">
        <f>K10-K8</f>
        <v>2.600818288000001</v>
      </c>
      <c r="L17" s="78">
        <f>L10-L8</f>
        <v>1.479811849999999</v>
      </c>
      <c r="M17" s="22">
        <f>M10-M8</f>
        <v>1.1185744789999994</v>
      </c>
      <c r="N17" s="88">
        <f>K17+L17+M17</f>
        <v>5.1992046169999995</v>
      </c>
      <c r="O17" s="19"/>
      <c r="P17" s="75"/>
      <c r="Q17" s="15"/>
      <c r="R17" s="94">
        <f>Q17+P17+O17</f>
        <v>0</v>
      </c>
      <c r="S17" s="23">
        <f>F17+J17+N17+R17</f>
        <v>9.4459932712558015</v>
      </c>
    </row>
    <row r="18" spans="1:19" hidden="1" outlineLevel="1" x14ac:dyDescent="0.25">
      <c r="B18" s="70" t="s">
        <v>122</v>
      </c>
      <c r="C18" s="28">
        <f t="shared" ref="C18:M18" si="10">C10*100%/C8-1</f>
        <v>-1.2188834243032076E-6</v>
      </c>
      <c r="D18" s="80">
        <f>D10*100%/D8-1</f>
        <v>-5.0804212070598709E-7</v>
      </c>
      <c r="E18" s="30">
        <f t="shared" si="10"/>
        <v>-1.0710611191289132E-6</v>
      </c>
      <c r="F18" s="87">
        <f t="shared" si="10"/>
        <v>-9.6598614962584151E-7</v>
      </c>
      <c r="G18" s="24">
        <f t="shared" si="10"/>
        <v>8.0410887687822896E-3</v>
      </c>
      <c r="H18" s="79">
        <f t="shared" si="10"/>
        <v>0.13261976663134112</v>
      </c>
      <c r="I18" s="26">
        <f t="shared" si="10"/>
        <v>0.19135008096779105</v>
      </c>
      <c r="J18" s="89">
        <f t="shared" si="10"/>
        <v>0.10411718270611892</v>
      </c>
      <c r="K18" s="24">
        <f t="shared" si="10"/>
        <v>0.21822789988169067</v>
      </c>
      <c r="L18" s="79">
        <f t="shared" si="10"/>
        <v>0.10954106591575297</v>
      </c>
      <c r="M18" s="26">
        <f t="shared" si="10"/>
        <v>8.817886536295183E-2</v>
      </c>
      <c r="N18" s="89">
        <f>N10*100%/N8-1</f>
        <v>0.13641771121179658</v>
      </c>
      <c r="O18" s="24"/>
      <c r="P18" s="79"/>
      <c r="Q18" s="26"/>
      <c r="R18" s="95">
        <v>0</v>
      </c>
      <c r="S18" s="27">
        <f>S10*100%/S8-1</f>
        <v>-7.2736329295320923E-3</v>
      </c>
    </row>
    <row r="19" spans="1:19" collapsed="1" x14ac:dyDescent="0.25">
      <c r="A19" s="98" t="s">
        <v>123</v>
      </c>
      <c r="B19" s="71" t="s">
        <v>124</v>
      </c>
      <c r="C19" s="19">
        <v>3.9159896999999999E-2</v>
      </c>
      <c r="D19" s="78">
        <v>3.45183991E-2</v>
      </c>
      <c r="E19" s="22">
        <v>3.7576351000000001E-2</v>
      </c>
      <c r="F19" s="88">
        <f>C19+D19+E19</f>
        <v>0.11125464709999999</v>
      </c>
      <c r="G19" s="19">
        <v>5.1719999999999995E-3</v>
      </c>
      <c r="H19" s="78">
        <f>5.570973/1000</f>
        <v>5.5709730000000008E-3</v>
      </c>
      <c r="I19" s="22">
        <f>14.166848/1000</f>
        <v>1.4166847999999999E-2</v>
      </c>
      <c r="J19" s="88">
        <f>G19+H19+I19</f>
        <v>2.4909820999999999E-2</v>
      </c>
      <c r="K19" s="19">
        <v>3.0582847999999999E-2</v>
      </c>
      <c r="L19" s="78">
        <v>3.2722095999999999E-2</v>
      </c>
      <c r="M19" s="22">
        <v>3.2982847999999995E-2</v>
      </c>
      <c r="N19" s="88">
        <f>K19+L19+M19</f>
        <v>9.6287791999999997E-2</v>
      </c>
      <c r="O19" s="19">
        <f>'Сверка 310 пред.мес.'!AI68/1000000</f>
        <v>0</v>
      </c>
      <c r="P19" s="78">
        <f>('Сверка 310'!AI68+'Сверка 310'!AI73)/1000000</f>
        <v>2.0490015E-2</v>
      </c>
      <c r="Q19" s="22"/>
      <c r="R19" s="94">
        <f>O19+P19+Q19</f>
        <v>2.0490015E-2</v>
      </c>
      <c r="S19" s="23">
        <f>F19+J19+N19+R19</f>
        <v>0.2529422751</v>
      </c>
    </row>
    <row r="20" spans="1:19" ht="16.5" thickBot="1" x14ac:dyDescent="0.3">
      <c r="A20" s="98" t="s">
        <v>125</v>
      </c>
      <c r="B20" s="72" t="s">
        <v>126</v>
      </c>
      <c r="C20" s="31">
        <v>0.89572099400000005</v>
      </c>
      <c r="D20" s="32">
        <v>0.80987308099999999</v>
      </c>
      <c r="E20" s="33">
        <v>0.89526943080999999</v>
      </c>
      <c r="F20" s="90">
        <f>C20+D20+E20</f>
        <v>2.60086350581</v>
      </c>
      <c r="G20" s="31">
        <v>0.48701461591990008</v>
      </c>
      <c r="H20" s="32">
        <v>0.66628549599999998</v>
      </c>
      <c r="I20" s="91">
        <v>0.864602553</v>
      </c>
      <c r="J20" s="90">
        <f>G20+H20+I20</f>
        <v>2.0179026649198999</v>
      </c>
      <c r="K20" s="31">
        <v>0.90489913300000002</v>
      </c>
      <c r="L20" s="32">
        <v>0.90796582000000003</v>
      </c>
      <c r="M20" s="33">
        <f>678253.949/1000000</f>
        <v>0.67825394900000002</v>
      </c>
      <c r="N20" s="90">
        <f>K20+L20+M20</f>
        <v>2.4911189020000002</v>
      </c>
      <c r="O20" s="31">
        <f>'Сверка 310 пред.мес.'!AI111/1000000</f>
        <v>0.90435245118999996</v>
      </c>
      <c r="P20" s="32">
        <f>'Сверка 310'!AI111/1000000</f>
        <v>0.54372271925000004</v>
      </c>
      <c r="Q20" s="33"/>
      <c r="R20" s="96">
        <f>O20+P20+Q20</f>
        <v>1.4480751704400001</v>
      </c>
      <c r="S20" s="34">
        <f>F20+J20+N20+R20</f>
        <v>8.5579602431699016</v>
      </c>
    </row>
    <row r="21" spans="1:19" ht="6.75" customHeight="1" x14ac:dyDescent="0.25">
      <c r="B21" s="35"/>
      <c r="C21" s="36"/>
      <c r="D21" s="36"/>
      <c r="E21" s="36"/>
      <c r="F21" s="36"/>
      <c r="G21" s="36"/>
      <c r="H21" s="36"/>
      <c r="I21" s="36"/>
      <c r="J21" s="37"/>
      <c r="K21" s="36"/>
      <c r="L21" s="36"/>
      <c r="M21" s="36"/>
      <c r="N21" s="37"/>
      <c r="O21" s="36"/>
      <c r="P21" s="36"/>
      <c r="Q21" s="36"/>
      <c r="R21" s="36"/>
      <c r="S21" s="38"/>
    </row>
    <row r="22" spans="1:19" ht="31.5" x14ac:dyDescent="0.25">
      <c r="B22" s="39" t="s">
        <v>127</v>
      </c>
      <c r="C22" s="14">
        <v>13.033217651999999</v>
      </c>
      <c r="D22" s="14">
        <v>12.765116181999998</v>
      </c>
      <c r="E22" s="14">
        <v>13.827426213999997</v>
      </c>
      <c r="F22" s="14">
        <v>39.625760047999997</v>
      </c>
      <c r="G22" s="14">
        <v>12.722159905999998</v>
      </c>
      <c r="H22" s="14">
        <v>12.608297210999993</v>
      </c>
      <c r="I22" s="14">
        <v>12.865743722000001</v>
      </c>
      <c r="J22" s="14">
        <v>38.196200838999992</v>
      </c>
      <c r="K22" s="14">
        <v>13.763469532</v>
      </c>
      <c r="L22" s="14">
        <v>15.874083724000002</v>
      </c>
      <c r="M22" s="14">
        <v>16.210017485000002</v>
      </c>
      <c r="N22" s="14">
        <v>45.847570741000006</v>
      </c>
      <c r="O22" s="14">
        <v>16.983339954000002</v>
      </c>
      <c r="P22" s="14">
        <v>16.324365383</v>
      </c>
      <c r="Q22" s="14">
        <v>16.052022399999998</v>
      </c>
      <c r="R22" s="14">
        <v>49.359727737</v>
      </c>
      <c r="S22" s="40">
        <v>173.02925936499997</v>
      </c>
    </row>
    <row r="23" spans="1:19" ht="31.5" x14ac:dyDescent="0.25">
      <c r="B23" s="41" t="s">
        <v>128</v>
      </c>
      <c r="C23" s="14">
        <v>420.42637587096772</v>
      </c>
      <c r="D23" s="14">
        <v>440.17642006896546</v>
      </c>
      <c r="E23" s="14">
        <v>446.0460069032257</v>
      </c>
      <c r="F23" s="14">
        <v>440.28622275555551</v>
      </c>
      <c r="G23" s="14">
        <v>424.07199686666661</v>
      </c>
      <c r="H23" s="14">
        <v>406.71926487096755</v>
      </c>
      <c r="I23" s="14">
        <v>428.85812406666668</v>
      </c>
      <c r="J23" s="14">
        <v>419.73847075824165</v>
      </c>
      <c r="K23" s="14">
        <v>443.98288812903229</v>
      </c>
      <c r="L23" s="14">
        <v>512.06721690322581</v>
      </c>
      <c r="M23" s="14">
        <v>540.33391616666677</v>
      </c>
      <c r="N23" s="14">
        <v>498.3431602282609</v>
      </c>
      <c r="O23" s="14">
        <v>547.84967593548402</v>
      </c>
      <c r="P23" s="14">
        <v>544.14551276666668</v>
      </c>
      <c r="Q23" s="14">
        <v>517.80717419354835</v>
      </c>
      <c r="R23" s="14">
        <v>536.51877975000002</v>
      </c>
      <c r="S23" s="40">
        <v>472.7575392486338</v>
      </c>
    </row>
    <row r="24" spans="1:19" ht="31.5" x14ac:dyDescent="0.25">
      <c r="B24" s="42" t="s">
        <v>129</v>
      </c>
      <c r="C24" s="14">
        <v>13.033217651999999</v>
      </c>
      <c r="D24" s="14">
        <v>12.765116182</v>
      </c>
      <c r="E24" s="14">
        <v>13.827426214000001</v>
      </c>
      <c r="F24" s="14">
        <v>39.625760047999997</v>
      </c>
      <c r="G24" s="14">
        <v>12.722159906</v>
      </c>
      <c r="H24" s="14">
        <v>12.608297211</v>
      </c>
      <c r="I24" s="14">
        <v>12.865743721999999</v>
      </c>
      <c r="J24" s="14">
        <v>38.196200838999999</v>
      </c>
      <c r="K24" s="14">
        <v>13.763469532</v>
      </c>
      <c r="L24" s="14">
        <v>15.874083724</v>
      </c>
      <c r="M24" s="14">
        <v>16.210017485000002</v>
      </c>
      <c r="N24" s="14">
        <v>45.847570740999998</v>
      </c>
      <c r="O24" s="14">
        <v>16.983339954000002</v>
      </c>
      <c r="P24" s="14">
        <v>16.324365383</v>
      </c>
      <c r="Q24" s="14">
        <v>17.890166568000001</v>
      </c>
      <c r="R24" s="14">
        <v>51.197871905</v>
      </c>
      <c r="S24" s="40">
        <v>174.86740353299999</v>
      </c>
    </row>
    <row r="25" spans="1:19" x14ac:dyDescent="0.25">
      <c r="B25" s="43" t="s">
        <v>114</v>
      </c>
      <c r="C25" s="14">
        <v>0.12884799999999999</v>
      </c>
      <c r="D25" s="14">
        <v>0.100701</v>
      </c>
      <c r="E25" s="14">
        <v>0.28398899999999999</v>
      </c>
      <c r="F25" s="14">
        <v>0.51353800000000005</v>
      </c>
      <c r="G25" s="14">
        <v>0.75997500000000007</v>
      </c>
      <c r="H25" s="14">
        <v>93.985219999999998</v>
      </c>
      <c r="I25" s="14">
        <v>91.725133999999997</v>
      </c>
      <c r="J25" s="14">
        <v>186.47032899999999</v>
      </c>
      <c r="K25" s="14">
        <v>93.836915000000005</v>
      </c>
      <c r="L25" s="14">
        <v>93.924167999999995</v>
      </c>
      <c r="M25" s="14">
        <v>91.985381000000004</v>
      </c>
      <c r="N25" s="14">
        <v>279.746464</v>
      </c>
      <c r="O25" s="20">
        <v>0.84700799999999998</v>
      </c>
      <c r="P25" s="20">
        <v>1.354733</v>
      </c>
      <c r="Q25" s="14">
        <v>0.21466499999999999</v>
      </c>
      <c r="R25" s="21">
        <v>2.4164060000000003</v>
      </c>
      <c r="S25" s="40">
        <v>469.14673699999997</v>
      </c>
    </row>
    <row r="26" spans="1:19" ht="31.5" x14ac:dyDescent="0.25">
      <c r="B26" s="44" t="s">
        <v>116</v>
      </c>
      <c r="C26" s="14">
        <v>420.42221948387095</v>
      </c>
      <c r="D26" s="14">
        <v>440.17294762068968</v>
      </c>
      <c r="E26" s="14">
        <v>446.03684596774195</v>
      </c>
      <c r="F26" s="14">
        <v>435.44226934065932</v>
      </c>
      <c r="G26" s="14">
        <v>424.04666436666668</v>
      </c>
      <c r="H26" s="14">
        <v>403.68748358064511</v>
      </c>
      <c r="I26" s="14">
        <v>425.80061959999995</v>
      </c>
      <c r="J26" s="14">
        <v>417.68934626373618</v>
      </c>
      <c r="K26" s="14">
        <v>440.95589087096778</v>
      </c>
      <c r="L26" s="14">
        <v>509.03740503225811</v>
      </c>
      <c r="M26" s="14">
        <v>537.26773680000008</v>
      </c>
      <c r="N26" s="14">
        <v>495.30243779347819</v>
      </c>
      <c r="O26" s="14">
        <v>547.82235309677424</v>
      </c>
      <c r="P26" s="14">
        <v>544.10035500000004</v>
      </c>
      <c r="Q26" s="14">
        <v>577.09522267741943</v>
      </c>
      <c r="R26" s="14">
        <v>556.47234238043484</v>
      </c>
      <c r="S26" s="40">
        <v>476.49796938797812</v>
      </c>
    </row>
    <row r="27" spans="1:19" x14ac:dyDescent="0.25">
      <c r="B27" s="45" t="s">
        <v>130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1.838144168000003</v>
      </c>
      <c r="R27" s="14">
        <v>1.8381441679999995</v>
      </c>
      <c r="S27" s="40">
        <v>1.8381441680000137</v>
      </c>
    </row>
    <row r="28" spans="1:19" x14ac:dyDescent="0.25">
      <c r="B28" s="45" t="s">
        <v>131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0.11451168720023741</v>
      </c>
      <c r="R28" s="25">
        <v>3.7239755004202069E-2</v>
      </c>
      <c r="S28" s="46">
        <v>1.0623314084252655E-2</v>
      </c>
    </row>
    <row r="29" spans="1:19" x14ac:dyDescent="0.25">
      <c r="B29" s="45" t="s">
        <v>132</v>
      </c>
      <c r="C29" s="14">
        <v>5.4697597949999999</v>
      </c>
      <c r="D29" s="14">
        <v>1.4226766099999999</v>
      </c>
      <c r="E29" s="14">
        <v>3.4731552560000001</v>
      </c>
      <c r="F29" s="14">
        <v>10.365591661</v>
      </c>
      <c r="G29" s="14">
        <v>2.5617206069999998</v>
      </c>
      <c r="H29" s="14">
        <v>2.4113163170000007</v>
      </c>
      <c r="I29" s="14">
        <v>1.8666105142558003</v>
      </c>
      <c r="J29" s="14">
        <v>6.8396474382558008</v>
      </c>
      <c r="K29" s="14">
        <v>0.7552487560000003</v>
      </c>
      <c r="L29" s="14">
        <v>-0.88507477400000134</v>
      </c>
      <c r="M29" s="14">
        <v>-2.406153006000002</v>
      </c>
      <c r="N29" s="14">
        <v>-2.5359790240000031</v>
      </c>
      <c r="O29" s="20">
        <v>-4.9116091950000023</v>
      </c>
      <c r="P29" s="20">
        <v>-4.0150712522099887</v>
      </c>
      <c r="Q29" s="20"/>
      <c r="R29" s="14">
        <v>-8.926680447209991</v>
      </c>
      <c r="S29" s="40">
        <v>5.7425796280458066</v>
      </c>
    </row>
    <row r="30" spans="1:19" x14ac:dyDescent="0.25">
      <c r="B30" s="45" t="s">
        <v>133</v>
      </c>
      <c r="C30" s="29">
        <v>0.41967838956181658</v>
      </c>
      <c r="D30" s="29">
        <v>0.11145034559153522</v>
      </c>
      <c r="E30" s="29">
        <v>0.2511787227968354</v>
      </c>
      <c r="F30" s="25">
        <v>0.26158720106425259</v>
      </c>
      <c r="G30" s="29">
        <v>0.20135893794196424</v>
      </c>
      <c r="H30" s="29">
        <v>0.19124837213515788</v>
      </c>
      <c r="I30" s="29">
        <v>0.14508376309905491</v>
      </c>
      <c r="J30" s="25">
        <v>0.17906617119030921</v>
      </c>
      <c r="K30" s="29">
        <v>5.4873428116656964E-2</v>
      </c>
      <c r="L30" s="29">
        <v>-5.5755959801437771E-2</v>
      </c>
      <c r="M30" s="29">
        <v>-0.14843617585400781</v>
      </c>
      <c r="N30" s="25">
        <v>-5.5313269231343498E-2</v>
      </c>
      <c r="O30" s="29">
        <v>-0.28920160629789404</v>
      </c>
      <c r="P30" s="29">
        <v>-0.24595573291879613</v>
      </c>
      <c r="Q30" s="29"/>
      <c r="R30" s="25">
        <v>-0.22429092950421115</v>
      </c>
      <c r="S30" s="46">
        <v>1.8219758129161878E-2</v>
      </c>
    </row>
    <row r="31" spans="1:19" hidden="1" outlineLevel="1" x14ac:dyDescent="0.25">
      <c r="B31" s="35"/>
      <c r="C31" s="36"/>
      <c r="D31" s="36"/>
      <c r="E31" s="36"/>
      <c r="F31" s="36"/>
      <c r="G31" s="36"/>
      <c r="H31" s="36"/>
      <c r="I31" s="36"/>
      <c r="J31" s="37"/>
      <c r="K31" s="36"/>
      <c r="L31" s="36"/>
      <c r="M31" s="36"/>
      <c r="N31" s="37"/>
      <c r="O31" s="36"/>
      <c r="P31" s="36"/>
      <c r="Q31" s="36"/>
      <c r="R31" s="36"/>
      <c r="S31" s="38"/>
    </row>
    <row r="32" spans="1:19" ht="31.5" hidden="1" outlineLevel="1" x14ac:dyDescent="0.25">
      <c r="B32" s="39" t="s">
        <v>134</v>
      </c>
      <c r="C32" s="14">
        <v>13.033217651999999</v>
      </c>
      <c r="D32" s="47">
        <v>12.765116182</v>
      </c>
      <c r="E32" s="47">
        <v>13.827426214000001</v>
      </c>
      <c r="F32" s="14">
        <v>39.625760047999997</v>
      </c>
      <c r="G32" s="47">
        <v>12.722159906</v>
      </c>
      <c r="H32" s="47">
        <v>12.608297211</v>
      </c>
      <c r="I32" s="47">
        <v>12.865743721999999</v>
      </c>
      <c r="J32" s="14">
        <v>38.196200838999999</v>
      </c>
      <c r="K32" s="47">
        <v>13.763469532</v>
      </c>
      <c r="L32" s="47">
        <v>15.100149999999999</v>
      </c>
      <c r="M32" s="47">
        <v>13.462390126000001</v>
      </c>
      <c r="N32" s="14">
        <v>42.326009658000004</v>
      </c>
      <c r="O32" s="47">
        <v>16.739747000000001</v>
      </c>
      <c r="P32" s="47">
        <v>16.250019999999999</v>
      </c>
      <c r="Q32" s="47">
        <v>16.910326999999999</v>
      </c>
      <c r="R32" s="14">
        <v>49.900094000000003</v>
      </c>
      <c r="S32" s="40">
        <v>170.04806454499999</v>
      </c>
    </row>
    <row r="33" spans="2:19" ht="31.5" hidden="1" outlineLevel="1" x14ac:dyDescent="0.25">
      <c r="B33" s="41" t="s">
        <v>128</v>
      </c>
      <c r="C33" s="14">
        <v>420.42637587096772</v>
      </c>
      <c r="D33" s="14">
        <v>440.17642006896551</v>
      </c>
      <c r="E33" s="14">
        <v>446.04600690322582</v>
      </c>
      <c r="F33" s="14">
        <v>435.44791261538455</v>
      </c>
      <c r="G33" s="14">
        <v>424.07199686666667</v>
      </c>
      <c r="H33" s="14">
        <v>406.71926487096772</v>
      </c>
      <c r="I33" s="14">
        <v>428.85812406666662</v>
      </c>
      <c r="J33" s="14">
        <v>419.7384707582417</v>
      </c>
      <c r="K33" s="14">
        <v>443.98288812903229</v>
      </c>
      <c r="L33" s="14">
        <v>487.10161290322577</v>
      </c>
      <c r="M33" s="14">
        <v>448.74633753333336</v>
      </c>
      <c r="N33" s="14">
        <v>460.06532236956525</v>
      </c>
      <c r="O33" s="14">
        <v>539.99183870967749</v>
      </c>
      <c r="P33" s="14">
        <v>541.66733333333332</v>
      </c>
      <c r="Q33" s="14">
        <v>545.49441935483867</v>
      </c>
      <c r="R33" s="14">
        <v>542.39232608695659</v>
      </c>
      <c r="S33" s="40">
        <v>464.61219821038253</v>
      </c>
    </row>
    <row r="34" spans="2:19" ht="31.5" hidden="1" outlineLevel="1" x14ac:dyDescent="0.25">
      <c r="B34" s="42" t="s">
        <v>135</v>
      </c>
      <c r="C34" s="14">
        <v>13.033217651999999</v>
      </c>
      <c r="D34" s="14">
        <v>12.765116182</v>
      </c>
      <c r="E34" s="47">
        <v>13.827426214000001</v>
      </c>
      <c r="F34" s="14">
        <v>39.625760047999997</v>
      </c>
      <c r="G34" s="47">
        <v>12.722159906</v>
      </c>
      <c r="H34" s="47">
        <v>12.608297211</v>
      </c>
      <c r="I34" s="47">
        <v>12.8597559968902</v>
      </c>
      <c r="J34" s="14">
        <v>38.190213113890202</v>
      </c>
      <c r="K34" s="47">
        <v>13.763469532</v>
      </c>
      <c r="L34" s="47">
        <v>15.8608078146697</v>
      </c>
      <c r="M34" s="14">
        <v>16.210017485000002</v>
      </c>
      <c r="N34" s="47">
        <v>45.834294831669702</v>
      </c>
      <c r="O34" s="47">
        <v>16.983339954000002</v>
      </c>
      <c r="P34" s="47">
        <v>16.324365383</v>
      </c>
      <c r="Q34" s="14">
        <v>17.890166568000001</v>
      </c>
      <c r="R34" s="47">
        <v>51.197871905</v>
      </c>
      <c r="S34" s="40">
        <v>174.84813989855991</v>
      </c>
    </row>
    <row r="35" spans="2:19" ht="31.5" hidden="1" outlineLevel="1" x14ac:dyDescent="0.25">
      <c r="B35" s="48" t="s">
        <v>116</v>
      </c>
      <c r="C35" s="14">
        <v>420.42637587096772</v>
      </c>
      <c r="D35" s="14">
        <v>440.17642006896551</v>
      </c>
      <c r="E35" s="14">
        <v>446.04600690322582</v>
      </c>
      <c r="F35" s="14">
        <v>435.44226934065932</v>
      </c>
      <c r="G35" s="14">
        <v>424.04666436666668</v>
      </c>
      <c r="H35" s="14">
        <v>406.71623308967736</v>
      </c>
      <c r="I35" s="14">
        <v>428.85506656219997</v>
      </c>
      <c r="J35" s="14">
        <v>419.72807861149442</v>
      </c>
      <c r="K35" s="14">
        <v>443.97986113177421</v>
      </c>
      <c r="L35" s="14">
        <v>512.06418709135482</v>
      </c>
      <c r="M35" s="14">
        <v>540.3308499873001</v>
      </c>
      <c r="N35" s="14">
        <v>498.34011950582601</v>
      </c>
      <c r="O35" s="14">
        <v>547.8496486126453</v>
      </c>
      <c r="P35" s="14">
        <v>544.14546760890005</v>
      </c>
      <c r="Q35" s="14">
        <v>577.10214735483873</v>
      </c>
      <c r="R35" s="14">
        <v>556.49860766304346</v>
      </c>
      <c r="S35" s="40">
        <v>-806.29752630531527</v>
      </c>
    </row>
    <row r="36" spans="2:19" hidden="1" outlineLevel="1" x14ac:dyDescent="0.25">
      <c r="B36" s="45" t="s">
        <v>130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-5.987725109799058E-3</v>
      </c>
      <c r="J36" s="14">
        <v>-5.987725109799058E-3</v>
      </c>
      <c r="K36" s="20">
        <v>0</v>
      </c>
      <c r="L36" s="14">
        <v>0.76065781466970073</v>
      </c>
      <c r="M36" s="14">
        <v>2.7476273590000009</v>
      </c>
      <c r="N36" s="14">
        <v>3.5082851736697016</v>
      </c>
      <c r="O36" s="14">
        <v>0.24359295400000036</v>
      </c>
      <c r="P36" s="14">
        <v>7.4345383000000709E-2</v>
      </c>
      <c r="Q36" s="14">
        <v>0.97983956800000271</v>
      </c>
      <c r="R36" s="14">
        <v>1.2977779050000038</v>
      </c>
      <c r="S36" s="49">
        <v>4.8000753535599188</v>
      </c>
    </row>
    <row r="37" spans="2:19" hidden="1" outlineLevel="1" x14ac:dyDescent="0.25">
      <c r="B37" s="45" t="s">
        <v>131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5">
        <v>0</v>
      </c>
      <c r="K37" s="25">
        <v>0</v>
      </c>
      <c r="L37" s="29">
        <v>5.1253379867087556E-2</v>
      </c>
      <c r="M37" s="29">
        <v>0.20409654847941816</v>
      </c>
      <c r="N37" s="29">
        <v>8.3200876044179362E-2</v>
      </c>
      <c r="O37" s="29">
        <v>1.4551770346350024E-2</v>
      </c>
      <c r="P37" s="29">
        <v>4.5750948614218245E-3</v>
      </c>
      <c r="Q37" s="29">
        <v>5.7943265556012147E-2</v>
      </c>
      <c r="R37" s="29">
        <v>2.6007524254363146E-2</v>
      </c>
      <c r="S37" s="50">
        <v>2.822775646640574E-2</v>
      </c>
    </row>
    <row r="38" spans="2:19" collapsed="1" x14ac:dyDescent="0.25">
      <c r="B38" s="51" t="s">
        <v>136</v>
      </c>
      <c r="C38" s="14"/>
      <c r="D38" s="14"/>
      <c r="E38" s="14"/>
      <c r="F38" s="14"/>
      <c r="G38" s="14"/>
      <c r="H38" s="14"/>
      <c r="I38" s="20">
        <v>1.536616724468994E-2</v>
      </c>
      <c r="J38" s="20">
        <v>1.536616724468994E-2</v>
      </c>
      <c r="K38" s="20">
        <v>3.1512519984863277E-2</v>
      </c>
      <c r="L38" s="20">
        <v>3.1556420000000002E-2</v>
      </c>
      <c r="M38" s="20">
        <v>3.1689664999999999E-2</v>
      </c>
      <c r="N38" s="20">
        <v>9.4758604984863271E-2</v>
      </c>
      <c r="O38" s="21">
        <v>1.7024669999999999E-2</v>
      </c>
      <c r="P38" s="21">
        <v>3.6356760000000002E-2</v>
      </c>
      <c r="Q38" s="21">
        <v>3.8082759899999999E-2</v>
      </c>
      <c r="R38" s="20">
        <v>9.1464189899999992E-2</v>
      </c>
      <c r="S38" s="40">
        <v>0.20158896212955318</v>
      </c>
    </row>
    <row r="39" spans="2:19" x14ac:dyDescent="0.25">
      <c r="B39" s="51" t="s">
        <v>137</v>
      </c>
      <c r="C39" s="14">
        <v>0.31358383699999998</v>
      </c>
      <c r="D39" s="14">
        <v>0.25928105799999995</v>
      </c>
      <c r="E39" s="14">
        <v>0.14225738699999999</v>
      </c>
      <c r="F39" s="14">
        <v>0.71512228199999994</v>
      </c>
      <c r="G39" s="14">
        <v>0.27167999999999998</v>
      </c>
      <c r="H39" s="14">
        <v>0.2812691083984375</v>
      </c>
      <c r="I39" s="14">
        <v>0.30134865136718803</v>
      </c>
      <c r="J39" s="14">
        <v>0.8542977597656255</v>
      </c>
      <c r="K39" s="20">
        <v>0.370371006</v>
      </c>
      <c r="L39" s="20">
        <v>0.37316185000000002</v>
      </c>
      <c r="M39" s="20">
        <v>0.27677187800000003</v>
      </c>
      <c r="N39" s="14">
        <v>1.0203047340000002</v>
      </c>
      <c r="O39" s="20">
        <v>0.43614835699999999</v>
      </c>
      <c r="P39" s="20">
        <v>0.49063258599999998</v>
      </c>
      <c r="Q39" s="20">
        <v>0.55764840303000007</v>
      </c>
      <c r="R39" s="14">
        <v>1.4844293460300002</v>
      </c>
      <c r="S39" s="40">
        <v>4.0741541217956261</v>
      </c>
    </row>
    <row r="40" spans="2:19" ht="6.75" customHeight="1" x14ac:dyDescent="0.25">
      <c r="B40" s="35"/>
      <c r="C40" s="36"/>
      <c r="D40" s="36"/>
      <c r="E40" s="36"/>
      <c r="F40" s="36"/>
      <c r="G40" s="36"/>
      <c r="H40" s="36"/>
      <c r="I40" s="36"/>
      <c r="J40" s="37"/>
      <c r="K40" s="36"/>
      <c r="L40" s="36"/>
      <c r="M40" s="36"/>
      <c r="N40" s="37"/>
      <c r="O40" s="36"/>
      <c r="P40" s="36"/>
      <c r="Q40" s="36"/>
      <c r="R40" s="36"/>
      <c r="S40" s="38"/>
    </row>
    <row r="41" spans="2:19" ht="31.5" x14ac:dyDescent="0.25">
      <c r="B41" s="39" t="s">
        <v>138</v>
      </c>
      <c r="C41" s="14">
        <v>17.569170303</v>
      </c>
      <c r="D41" s="14">
        <v>15.161508644</v>
      </c>
      <c r="E41" s="14">
        <v>16.068646619999999</v>
      </c>
      <c r="F41" s="14">
        <v>48.799325566999997</v>
      </c>
      <c r="G41" s="14">
        <v>15.661894952999999</v>
      </c>
      <c r="H41" s="14">
        <v>15.915561876</v>
      </c>
      <c r="I41" s="14">
        <v>15.811446517</v>
      </c>
      <c r="J41" s="14">
        <v>47.388903345999999</v>
      </c>
      <c r="K41" s="14">
        <v>14.460690000000001</v>
      </c>
      <c r="L41" s="14">
        <v>15.490860000000001</v>
      </c>
      <c r="M41" s="14">
        <v>14.56479</v>
      </c>
      <c r="N41" s="14">
        <v>44.516340000000007</v>
      </c>
      <c r="O41" s="14">
        <v>16.42905</v>
      </c>
      <c r="P41" s="14">
        <v>16.5428</v>
      </c>
      <c r="Q41" s="14">
        <v>17.341760000000001</v>
      </c>
      <c r="R41" s="14">
        <v>50.313610000000004</v>
      </c>
      <c r="S41" s="40">
        <v>191.01817891300001</v>
      </c>
    </row>
    <row r="42" spans="2:19" ht="31.5" x14ac:dyDescent="0.25">
      <c r="B42" s="42" t="s">
        <v>139</v>
      </c>
      <c r="C42" s="14">
        <v>17.569170303</v>
      </c>
      <c r="D42" s="14">
        <v>15.161508644</v>
      </c>
      <c r="E42" s="14">
        <v>16.068646619999999</v>
      </c>
      <c r="F42" s="14">
        <v>48.799325566999997</v>
      </c>
      <c r="G42" s="14">
        <v>15.661894952999999</v>
      </c>
      <c r="H42" s="14">
        <v>15.915561876</v>
      </c>
      <c r="I42" s="14">
        <v>15.811446517</v>
      </c>
      <c r="J42" s="14">
        <v>47.388903345999999</v>
      </c>
      <c r="K42" s="14">
        <v>15.397301732000001</v>
      </c>
      <c r="L42" s="14">
        <v>15.762344955</v>
      </c>
      <c r="M42" s="14">
        <v>17.321043393</v>
      </c>
      <c r="N42" s="14">
        <v>48.480690080000002</v>
      </c>
      <c r="O42" s="14">
        <v>16.568634532000001</v>
      </c>
      <c r="P42" s="14">
        <v>17.302966855000001</v>
      </c>
      <c r="Q42" s="14">
        <v>20.425193156999999</v>
      </c>
      <c r="R42" s="14">
        <v>54.296794543999994</v>
      </c>
      <c r="S42" s="40">
        <v>198.96571353699997</v>
      </c>
    </row>
    <row r="43" spans="2:19" x14ac:dyDescent="0.25">
      <c r="B43" s="43" t="s">
        <v>140</v>
      </c>
      <c r="C43" s="52"/>
      <c r="D43" s="52"/>
      <c r="E43" s="52"/>
      <c r="F43" s="53">
        <v>0</v>
      </c>
      <c r="G43" s="52"/>
      <c r="H43" s="52"/>
      <c r="I43" s="14">
        <v>0.85903948299999999</v>
      </c>
      <c r="J43" s="14">
        <v>0.85903948299999999</v>
      </c>
      <c r="K43" s="21">
        <v>1.7896839999999999E-3</v>
      </c>
      <c r="L43" s="14">
        <v>1.107829639</v>
      </c>
      <c r="M43" s="14">
        <v>2.0006656089999999</v>
      </c>
      <c r="N43" s="14">
        <v>3.1102849319999999</v>
      </c>
      <c r="O43" s="14">
        <v>1.29674256</v>
      </c>
      <c r="P43" s="14">
        <v>0.94453052699999995</v>
      </c>
      <c r="Q43" s="14">
        <v>2.9624768399999999</v>
      </c>
      <c r="R43" s="47">
        <v>5.2037499269999996</v>
      </c>
      <c r="S43" s="40">
        <v>9.1730743419999996</v>
      </c>
    </row>
    <row r="44" spans="2:19" x14ac:dyDescent="0.25">
      <c r="B44" s="43" t="s">
        <v>141</v>
      </c>
      <c r="C44" s="52"/>
      <c r="D44" s="52"/>
      <c r="E44" s="52"/>
      <c r="F44" s="53">
        <v>0</v>
      </c>
      <c r="G44" s="52"/>
      <c r="H44" s="52"/>
      <c r="I44" s="14"/>
      <c r="J44" s="53">
        <v>0</v>
      </c>
      <c r="K44" s="54"/>
      <c r="L44" s="14">
        <v>1.1000000000000001</v>
      </c>
      <c r="M44" s="14">
        <v>2</v>
      </c>
      <c r="N44" s="14">
        <v>3.1</v>
      </c>
      <c r="O44" s="14">
        <v>1.2963322690000001</v>
      </c>
      <c r="P44" s="14">
        <v>0.65441398900000003</v>
      </c>
      <c r="Q44" s="14">
        <v>2.5523176369999998</v>
      </c>
      <c r="R44" s="47">
        <v>4.5030638950000004</v>
      </c>
      <c r="S44" s="40">
        <v>7.603063895</v>
      </c>
    </row>
    <row r="45" spans="2:19" ht="31.5" x14ac:dyDescent="0.25">
      <c r="B45" s="41" t="s">
        <v>142</v>
      </c>
      <c r="C45" s="14">
        <v>566.7474291290323</v>
      </c>
      <c r="D45" s="14">
        <v>541.48245157142856</v>
      </c>
      <c r="E45" s="14">
        <v>518.34343935483878</v>
      </c>
      <c r="F45" s="14">
        <v>542.21472852222223</v>
      </c>
      <c r="G45" s="14">
        <v>522.06316509999999</v>
      </c>
      <c r="H45" s="14">
        <v>513.40522180645166</v>
      </c>
      <c r="I45" s="14">
        <v>498.41356780000001</v>
      </c>
      <c r="J45" s="14">
        <v>511.31718530769234</v>
      </c>
      <c r="K45" s="14">
        <v>496.62942090322582</v>
      </c>
      <c r="L45" s="14">
        <v>472.72630051612902</v>
      </c>
      <c r="M45" s="14">
        <v>510.67925946666668</v>
      </c>
      <c r="N45" s="14">
        <v>493.15657769565217</v>
      </c>
      <c r="O45" s="14">
        <v>492.64167651612905</v>
      </c>
      <c r="P45" s="14">
        <v>545.28121093333334</v>
      </c>
      <c r="Q45" s="14">
        <v>563.31342958064511</v>
      </c>
      <c r="R45" s="14">
        <v>533.62005018478249</v>
      </c>
      <c r="S45" s="40">
        <v>519.9798334109588</v>
      </c>
    </row>
    <row r="46" spans="2:19" x14ac:dyDescent="0.25">
      <c r="B46" s="45" t="s">
        <v>143</v>
      </c>
      <c r="C46" s="20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0.93661173199999936</v>
      </c>
      <c r="L46" s="14">
        <v>0.27148495499999825</v>
      </c>
      <c r="M46" s="14">
        <v>2.7562533929999997</v>
      </c>
      <c r="N46" s="14">
        <v>3.9643500799999956</v>
      </c>
      <c r="O46" s="14">
        <v>0.13958453200000065</v>
      </c>
      <c r="P46" s="14">
        <v>0.76016685500000136</v>
      </c>
      <c r="Q46" s="14">
        <v>3.0834331569999982</v>
      </c>
      <c r="R46" s="14">
        <v>3.9831845439999896</v>
      </c>
      <c r="S46" s="40">
        <v>7.9475346239999567</v>
      </c>
    </row>
    <row r="47" spans="2:19" x14ac:dyDescent="0.25">
      <c r="B47" s="45" t="s">
        <v>144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6.4769504912974396E-2</v>
      </c>
      <c r="L47" s="29">
        <v>1.7525492774448814E-2</v>
      </c>
      <c r="M47" s="29">
        <v>0.18924086052734013</v>
      </c>
      <c r="N47" s="29">
        <v>8.9053818889872627E-2</v>
      </c>
      <c r="O47" s="29">
        <v>8.4962022758467981E-3</v>
      </c>
      <c r="P47" s="29">
        <v>4.59515230190779E-2</v>
      </c>
      <c r="Q47" s="29">
        <v>0.17780393437574959</v>
      </c>
      <c r="R47" s="29">
        <v>7.9167138752317401E-2</v>
      </c>
      <c r="S47" s="50">
        <v>4.1606168948033373E-2</v>
      </c>
    </row>
    <row r="48" spans="2:19" x14ac:dyDescent="0.25">
      <c r="B48" s="45" t="s">
        <v>145</v>
      </c>
      <c r="C48" s="14">
        <v>0.93380714399999931</v>
      </c>
      <c r="D48" s="14">
        <v>-0.97371585199999977</v>
      </c>
      <c r="E48" s="14">
        <v>1.2319348500000018</v>
      </c>
      <c r="F48" s="14">
        <v>1.1920261420000013</v>
      </c>
      <c r="G48" s="14">
        <v>-0.3780144399999994</v>
      </c>
      <c r="H48" s="14">
        <v>-0.89594834799999923</v>
      </c>
      <c r="I48" s="14">
        <v>-1.0790922807442005</v>
      </c>
      <c r="J48" s="14">
        <v>-2.3530550687441991</v>
      </c>
      <c r="K48" s="14">
        <v>-0.87858344400000021</v>
      </c>
      <c r="L48" s="14">
        <v>-0.77333600500000088</v>
      </c>
      <c r="M48" s="14">
        <v>-3.5171789140000005</v>
      </c>
      <c r="N48" s="14">
        <v>-5.1690983630000016</v>
      </c>
      <c r="O48" s="14">
        <v>-4.4969037730000014</v>
      </c>
      <c r="P48" s="14">
        <v>-4.9936727242099899</v>
      </c>
      <c r="Q48" s="14"/>
      <c r="R48" s="14">
        <v>-9.4905764972099913</v>
      </c>
      <c r="S48" s="40">
        <v>-15.820703786954192</v>
      </c>
    </row>
    <row r="49" spans="2:19" x14ac:dyDescent="0.25">
      <c r="B49" s="45" t="s">
        <v>146</v>
      </c>
      <c r="C49" s="29">
        <v>5.3150326845004647E-2</v>
      </c>
      <c r="D49" s="29">
        <v>-6.4222886710244231E-2</v>
      </c>
      <c r="E49" s="29">
        <v>7.6666994995500337E-2</v>
      </c>
      <c r="F49" s="25">
        <v>2.4427102795988143E-2</v>
      </c>
      <c r="G49" s="29">
        <v>-2.4135932537817983E-2</v>
      </c>
      <c r="H49" s="29">
        <v>-5.6293855974450469E-2</v>
      </c>
      <c r="I49" s="29">
        <v>-6.8247536971648537E-2</v>
      </c>
      <c r="J49" s="25">
        <v>-4.9654136361077295E-2</v>
      </c>
      <c r="K49" s="29">
        <v>-5.7060870748155357E-2</v>
      </c>
      <c r="L49" s="29">
        <v>-4.906224341668719E-2</v>
      </c>
      <c r="M49" s="29">
        <v>-0.2030581434500307</v>
      </c>
      <c r="N49" s="25">
        <v>-0.10662179837931884</v>
      </c>
      <c r="O49" s="29">
        <v>-0.27141064426974115</v>
      </c>
      <c r="P49" s="29">
        <v>-0.28860210887862736</v>
      </c>
      <c r="Q49" s="29"/>
      <c r="R49" s="25">
        <v>-0.26856356880134402</v>
      </c>
      <c r="S49" s="46">
        <v>-0.10510488382746053</v>
      </c>
    </row>
    <row r="50" spans="2:19" x14ac:dyDescent="0.25">
      <c r="B50" s="51" t="s">
        <v>147</v>
      </c>
      <c r="C50" s="55" t="s">
        <v>148</v>
      </c>
      <c r="D50" s="55" t="s">
        <v>148</v>
      </c>
      <c r="E50" s="55" t="s">
        <v>148</v>
      </c>
      <c r="F50" s="55" t="s">
        <v>148</v>
      </c>
      <c r="G50" s="55" t="s">
        <v>148</v>
      </c>
      <c r="H50" s="55" t="s">
        <v>148</v>
      </c>
      <c r="I50" s="55" t="s">
        <v>148</v>
      </c>
      <c r="J50" s="55" t="s">
        <v>148</v>
      </c>
      <c r="K50" s="55" t="s">
        <v>148</v>
      </c>
      <c r="L50" s="55" t="s">
        <v>148</v>
      </c>
      <c r="M50" s="55" t="s">
        <v>148</v>
      </c>
      <c r="N50" s="20" t="s">
        <v>148</v>
      </c>
      <c r="O50" s="20" t="s">
        <v>148</v>
      </c>
      <c r="P50" s="20" t="s">
        <v>148</v>
      </c>
      <c r="Q50" s="20" t="s">
        <v>148</v>
      </c>
      <c r="R50" s="20" t="s">
        <v>148</v>
      </c>
      <c r="S50" s="49" t="s">
        <v>148</v>
      </c>
    </row>
    <row r="51" spans="2:19" x14ac:dyDescent="0.25">
      <c r="B51" s="51" t="s">
        <v>149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20"/>
      <c r="O51" s="20"/>
      <c r="P51" s="21">
        <v>5.0625749999999997E-3</v>
      </c>
      <c r="Q51" s="14">
        <v>0.32286325100000002</v>
      </c>
      <c r="R51" s="14">
        <v>0.32792582600000003</v>
      </c>
      <c r="S51" s="40">
        <v>0.32792582600000003</v>
      </c>
    </row>
    <row r="52" spans="2:19" hidden="1" outlineLevel="1" x14ac:dyDescent="0.25">
      <c r="B52" s="56" t="s">
        <v>150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0.93661173199999936</v>
      </c>
      <c r="L52" s="14">
        <v>0.27148495499999825</v>
      </c>
      <c r="M52" s="14">
        <v>2.7562533929999997</v>
      </c>
      <c r="N52" s="14">
        <v>3.9643500799999956</v>
      </c>
      <c r="O52" s="14">
        <v>0.13958453200000065</v>
      </c>
      <c r="P52" s="14">
        <v>0.76016685500000136</v>
      </c>
      <c r="Q52" s="14">
        <v>3.0834331569999982</v>
      </c>
      <c r="R52" s="14">
        <v>3.9831845439999896</v>
      </c>
      <c r="S52" s="40">
        <v>7.9475346239999567</v>
      </c>
    </row>
    <row r="53" spans="2:19" hidden="1" outlineLevel="1" x14ac:dyDescent="0.25">
      <c r="B53" s="56" t="s">
        <v>151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6.4769504912974396E-2</v>
      </c>
      <c r="L53" s="29">
        <v>1.7525492774448814E-2</v>
      </c>
      <c r="M53" s="29">
        <v>0.18924086052734013</v>
      </c>
      <c r="N53" s="29">
        <v>8.9053818889872627E-2</v>
      </c>
      <c r="O53" s="29">
        <v>8.4962022758467981E-3</v>
      </c>
      <c r="P53" s="29">
        <v>4.59515230190779E-2</v>
      </c>
      <c r="Q53" s="14">
        <v>0.17780393437574959</v>
      </c>
      <c r="R53" s="29">
        <v>7.9167138752317401E-2</v>
      </c>
      <c r="S53" s="46">
        <v>4.1606168948033373E-2</v>
      </c>
    </row>
    <row r="54" spans="2:19" ht="31.5" hidden="1" outlineLevel="1" x14ac:dyDescent="0.25">
      <c r="B54" s="42" t="s">
        <v>152</v>
      </c>
      <c r="C54" s="14">
        <v>17.569170303</v>
      </c>
      <c r="D54" s="14">
        <v>15.161508644</v>
      </c>
      <c r="E54" s="14">
        <v>16.068646619999999</v>
      </c>
      <c r="F54" s="14">
        <v>48.799325566999997</v>
      </c>
      <c r="G54" s="14">
        <v>15.661894952999999</v>
      </c>
      <c r="H54" s="14">
        <v>15.915561876</v>
      </c>
      <c r="I54" s="14">
        <v>15.811446517</v>
      </c>
      <c r="J54" s="14">
        <v>47.388903345999999</v>
      </c>
      <c r="K54" s="14">
        <v>15.397301732000001</v>
      </c>
      <c r="L54" s="14">
        <v>14.662344955</v>
      </c>
      <c r="M54" s="14">
        <v>15.321043393</v>
      </c>
      <c r="N54" s="14">
        <v>45.380690080000001</v>
      </c>
      <c r="O54" s="14">
        <v>15.272302263</v>
      </c>
      <c r="P54" s="14">
        <v>16.648552865999999</v>
      </c>
      <c r="Q54" s="14">
        <v>17.872875520000001</v>
      </c>
      <c r="R54" s="14">
        <v>49.793730648999997</v>
      </c>
      <c r="S54" s="40">
        <v>191.36264964199998</v>
      </c>
    </row>
    <row r="55" spans="2:19" hidden="1" outlineLevel="1" x14ac:dyDescent="0.25">
      <c r="B55" s="45" t="s">
        <v>150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0.93661173199999936</v>
      </c>
      <c r="L55" s="14">
        <v>-0.82851504500000139</v>
      </c>
      <c r="M55" s="14">
        <v>0.75625339299999972</v>
      </c>
      <c r="N55" s="14">
        <v>0.86435007999999414</v>
      </c>
      <c r="O55" s="14">
        <v>-1.1567477369999999</v>
      </c>
      <c r="P55" s="14">
        <v>0.10575286599999956</v>
      </c>
      <c r="Q55" s="14">
        <v>0.53111552000000017</v>
      </c>
      <c r="R55" s="14">
        <v>-0.51987935100000726</v>
      </c>
      <c r="S55" s="49">
        <v>0.34447072899996556</v>
      </c>
    </row>
    <row r="56" spans="2:19" hidden="1" outlineLevel="1" x14ac:dyDescent="0.25">
      <c r="B56" s="45" t="s">
        <v>151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6.4769504912974396E-2</v>
      </c>
      <c r="L56" s="29">
        <v>-5.3484121927381834E-2</v>
      </c>
      <c r="M56" s="29">
        <v>5.1923398346285676E-2</v>
      </c>
      <c r="N56" s="29">
        <v>1.9416467750942523E-2</v>
      </c>
      <c r="O56" s="29">
        <v>-7.0408680781907651E-2</v>
      </c>
      <c r="P56" s="29">
        <v>6.3926823754141271E-3</v>
      </c>
      <c r="Q56" s="29">
        <v>3.0626390862288577E-2</v>
      </c>
      <c r="R56" s="29">
        <v>-1.033277777126318E-2</v>
      </c>
      <c r="S56" s="50">
        <v>1.8033400326618043E-3</v>
      </c>
    </row>
    <row r="57" spans="2:19" hidden="1" outlineLevel="1" x14ac:dyDescent="0.25">
      <c r="B57" s="35"/>
      <c r="C57" s="36"/>
      <c r="D57" s="36"/>
      <c r="E57" s="36"/>
      <c r="F57" s="36"/>
      <c r="G57" s="36"/>
      <c r="H57" s="36"/>
      <c r="I57" s="36"/>
      <c r="J57" s="37"/>
      <c r="K57" s="36"/>
      <c r="L57" s="36"/>
      <c r="M57" s="36"/>
      <c r="N57" s="37"/>
      <c r="O57" s="36"/>
      <c r="P57" s="36"/>
      <c r="Q57" s="36"/>
      <c r="R57" s="36"/>
      <c r="S57" s="38"/>
    </row>
    <row r="58" spans="2:19" hidden="1" outlineLevel="1" x14ac:dyDescent="0.25">
      <c r="B58" s="39" t="s">
        <v>153</v>
      </c>
      <c r="C58" s="14">
        <v>17.140117505999999</v>
      </c>
      <c r="D58" s="14">
        <v>17.342185702999998</v>
      </c>
      <c r="E58" s="14">
        <v>19.566357163999999</v>
      </c>
      <c r="F58" s="14">
        <v>54.04866037299999</v>
      </c>
      <c r="G58" s="14">
        <v>15.8779</v>
      </c>
      <c r="H58" s="14">
        <v>15.404</v>
      </c>
      <c r="I58" s="14">
        <v>14.7987</v>
      </c>
      <c r="J58" s="14">
        <v>46.080600000000004</v>
      </c>
      <c r="K58" s="14">
        <v>14.7287</v>
      </c>
      <c r="L58" s="14">
        <v>14.7399</v>
      </c>
      <c r="M58" s="14">
        <v>14.2591</v>
      </c>
      <c r="N58" s="14">
        <v>43.727699999999999</v>
      </c>
      <c r="O58" s="14">
        <v>17.579000000000001</v>
      </c>
      <c r="P58" s="14">
        <v>17.1449</v>
      </c>
      <c r="Q58" s="14">
        <v>17.6707</v>
      </c>
      <c r="R58" s="14">
        <v>52.394599999999997</v>
      </c>
      <c r="S58" s="40">
        <v>196.25156037299999</v>
      </c>
    </row>
    <row r="59" spans="2:19" hidden="1" outlineLevel="1" x14ac:dyDescent="0.25">
      <c r="B59" s="42" t="s">
        <v>154</v>
      </c>
      <c r="C59" s="14">
        <v>17.140117505999999</v>
      </c>
      <c r="D59" s="14">
        <v>17.342185702999998</v>
      </c>
      <c r="E59" s="14">
        <v>19.566357163999999</v>
      </c>
      <c r="F59" s="14">
        <v>54.04866037299999</v>
      </c>
      <c r="G59" s="14">
        <v>15.877979397000001</v>
      </c>
      <c r="H59" s="14">
        <v>15.579914884000001</v>
      </c>
      <c r="I59" s="14">
        <v>15.135545307099999</v>
      </c>
      <c r="J59" s="14">
        <v>46.593439588099997</v>
      </c>
      <c r="K59" s="14">
        <v>15.687814824</v>
      </c>
      <c r="L59" s="14">
        <v>16.12578134</v>
      </c>
      <c r="M59" s="14">
        <v>15.816861621999999</v>
      </c>
      <c r="N59" s="14">
        <v>47.630457786000001</v>
      </c>
      <c r="O59" s="14">
        <v>14.883589968000001</v>
      </c>
      <c r="P59" s="14">
        <v>15.750646959999999</v>
      </c>
      <c r="Q59" s="14">
        <v>21.9</v>
      </c>
      <c r="R59" s="14">
        <v>52.534236927999999</v>
      </c>
      <c r="S59" s="40">
        <v>200.80679467509998</v>
      </c>
    </row>
    <row r="60" spans="2:19" hidden="1" outlineLevel="1" x14ac:dyDescent="0.25">
      <c r="B60" s="43" t="s">
        <v>114</v>
      </c>
      <c r="C60" s="14" t="s">
        <v>148</v>
      </c>
      <c r="D60" s="14" t="s">
        <v>148</v>
      </c>
      <c r="E60" s="14" t="s">
        <v>148</v>
      </c>
      <c r="F60" s="14" t="s">
        <v>148</v>
      </c>
      <c r="G60" s="14" t="s">
        <v>148</v>
      </c>
      <c r="H60" s="14" t="s">
        <v>148</v>
      </c>
      <c r="I60" s="14" t="s">
        <v>148</v>
      </c>
      <c r="J60" s="14" t="s">
        <v>148</v>
      </c>
      <c r="K60" s="14" t="s">
        <v>148</v>
      </c>
      <c r="L60" s="14" t="s">
        <v>148</v>
      </c>
      <c r="M60" s="14" t="s">
        <v>148</v>
      </c>
      <c r="N60" s="14" t="s">
        <v>148</v>
      </c>
      <c r="O60" s="57" t="s">
        <v>148</v>
      </c>
      <c r="P60" s="14" t="s">
        <v>148</v>
      </c>
      <c r="Q60" s="14">
        <v>4.51</v>
      </c>
      <c r="R60" s="14">
        <v>4.51</v>
      </c>
      <c r="S60" s="40">
        <v>4.51</v>
      </c>
    </row>
    <row r="61" spans="2:19" ht="31.5" hidden="1" outlineLevel="1" x14ac:dyDescent="0.25">
      <c r="B61" s="41" t="s">
        <v>142</v>
      </c>
      <c r="C61" s="14">
        <v>552.9070163225806</v>
      </c>
      <c r="D61" s="14">
        <v>619.36377510714283</v>
      </c>
      <c r="E61" s="14">
        <v>631.17281174193556</v>
      </c>
      <c r="F61" s="14">
        <v>600.540670811111</v>
      </c>
      <c r="G61" s="14">
        <v>529.26597990000005</v>
      </c>
      <c r="H61" s="14">
        <v>502.57789948387097</v>
      </c>
      <c r="I61" s="14">
        <v>504.51817690333331</v>
      </c>
      <c r="J61" s="14">
        <v>512.01581964945058</v>
      </c>
      <c r="K61" s="14">
        <v>506.05854270967745</v>
      </c>
      <c r="L61" s="14">
        <v>520.18649483870968</v>
      </c>
      <c r="M61" s="14">
        <v>527.22872073333326</v>
      </c>
      <c r="N61" s="14">
        <v>517.72236723913045</v>
      </c>
      <c r="O61" s="14">
        <v>480.1158054193549</v>
      </c>
      <c r="P61" s="14">
        <v>525.02156533333334</v>
      </c>
      <c r="Q61" s="14">
        <v>560.9677419354839</v>
      </c>
      <c r="R61" s="14">
        <v>522.00257530434783</v>
      </c>
      <c r="S61" s="40">
        <v>537.79943746602737</v>
      </c>
    </row>
    <row r="62" spans="2:19" hidden="1" outlineLevel="1" x14ac:dyDescent="0.25">
      <c r="B62" s="45" t="s">
        <v>155</v>
      </c>
      <c r="C62" s="14">
        <v>-4.1068998539999999</v>
      </c>
      <c r="D62" s="14">
        <v>-4.5770695209999985</v>
      </c>
      <c r="E62" s="14">
        <v>-5.7389309499999985</v>
      </c>
      <c r="F62" s="14">
        <v>-14.422900324999993</v>
      </c>
      <c r="G62" s="14">
        <v>-3.1558194910000008</v>
      </c>
      <c r="H62" s="14">
        <v>-2.9716176730000008</v>
      </c>
      <c r="I62" s="14">
        <v>-2.2698015850999997</v>
      </c>
      <c r="J62" s="14">
        <v>-8.3972387490999978</v>
      </c>
      <c r="K62" s="14">
        <v>-1.9243452919999999</v>
      </c>
      <c r="L62" s="14">
        <v>-0.25169761599999951</v>
      </c>
      <c r="M62" s="14">
        <v>0.39315586300000227</v>
      </c>
      <c r="N62" s="14">
        <v>-1.7828870450000025</v>
      </c>
      <c r="O62" s="14">
        <v>2.0997499860000008</v>
      </c>
      <c r="P62" s="14">
        <v>0.57371842300000075</v>
      </c>
      <c r="Q62" s="14">
        <v>-4.0098334319999971</v>
      </c>
      <c r="R62" s="14">
        <v>-1.336365022999999</v>
      </c>
      <c r="S62" s="40">
        <v>-25.939391142099993</v>
      </c>
    </row>
    <row r="63" spans="2:19" hidden="1" outlineLevel="1" x14ac:dyDescent="0.25">
      <c r="B63" s="45" t="s">
        <v>156</v>
      </c>
      <c r="C63" s="29">
        <v>-0.23960745033179354</v>
      </c>
      <c r="D63" s="29">
        <v>-0.2639269120620833</v>
      </c>
      <c r="E63" s="29">
        <v>-0.29330605088611061</v>
      </c>
      <c r="F63" s="29">
        <v>-0.26685028316085613</v>
      </c>
      <c r="G63" s="29">
        <v>-0.19875447700834425</v>
      </c>
      <c r="H63" s="29">
        <v>-0.19073388366529154</v>
      </c>
      <c r="I63" s="29">
        <v>-0.14996496915345681</v>
      </c>
      <c r="J63" s="29">
        <v>-0.18022362854801255</v>
      </c>
      <c r="K63" s="29">
        <v>-0.12266496727485854</v>
      </c>
      <c r="L63" s="29">
        <v>-1.5608398172661797E-2</v>
      </c>
      <c r="M63" s="29">
        <v>2.48567555559287E-2</v>
      </c>
      <c r="N63" s="29">
        <v>-3.7431658813996238E-2</v>
      </c>
      <c r="O63" s="29">
        <v>0.14107819353492701</v>
      </c>
      <c r="P63" s="29">
        <v>3.6425070313429231E-2</v>
      </c>
      <c r="Q63" s="29">
        <v>-0.18309741698630122</v>
      </c>
      <c r="R63" s="29">
        <v>-2.5437982944941817E-2</v>
      </c>
      <c r="S63" s="50">
        <v>-0.12917586371551437</v>
      </c>
    </row>
    <row r="64" spans="2:19" hidden="1" outlineLevel="1" x14ac:dyDescent="0.25">
      <c r="B64" s="51" t="s">
        <v>157</v>
      </c>
      <c r="C64" s="14">
        <v>0.124174277</v>
      </c>
      <c r="D64" s="14">
        <v>0.13638629099999999</v>
      </c>
      <c r="E64" s="14">
        <v>7.2607635000000004E-2</v>
      </c>
      <c r="F64" s="14">
        <v>0.333168203</v>
      </c>
      <c r="G64" s="14">
        <v>0.104267017</v>
      </c>
      <c r="H64" s="14">
        <v>0.12912420100000002</v>
      </c>
      <c r="I64" s="14">
        <v>0.107907059</v>
      </c>
      <c r="J64" s="14">
        <v>0.34129827700000004</v>
      </c>
      <c r="K64" s="14">
        <v>0.244851337</v>
      </c>
      <c r="L64" s="20">
        <v>4.3756087999999999E-2</v>
      </c>
      <c r="M64" s="14">
        <v>0.117902115</v>
      </c>
      <c r="N64" s="14">
        <v>0.40650954000000006</v>
      </c>
      <c r="O64" s="14">
        <v>0</v>
      </c>
      <c r="P64" s="14">
        <v>0</v>
      </c>
      <c r="Q64" s="14">
        <v>0</v>
      </c>
      <c r="R64" s="14">
        <v>0</v>
      </c>
      <c r="S64" s="40">
        <v>1.08097602</v>
      </c>
    </row>
    <row r="65" spans="2:19" hidden="1" outlineLevel="1" x14ac:dyDescent="0.25">
      <c r="B65" s="39" t="s">
        <v>158</v>
      </c>
      <c r="C65" s="14">
        <v>18.757747602999999</v>
      </c>
      <c r="D65" s="14">
        <v>16.037939767000001</v>
      </c>
      <c r="E65" s="14">
        <v>15.256770623</v>
      </c>
      <c r="F65" s="14">
        <v>50.052457992999997</v>
      </c>
      <c r="G65" s="14">
        <v>15.047729058</v>
      </c>
      <c r="H65" s="14">
        <v>15.030186497000001</v>
      </c>
      <c r="I65" s="14">
        <v>14.387959288999999</v>
      </c>
      <c r="J65" s="14">
        <v>44.465874843999998</v>
      </c>
      <c r="K65" s="14">
        <v>14.888552569</v>
      </c>
      <c r="L65" s="14">
        <v>15.333334573</v>
      </c>
      <c r="M65" s="14">
        <v>14.704736597</v>
      </c>
      <c r="N65" s="14">
        <v>44.926623739</v>
      </c>
      <c r="O65" s="14">
        <v>15.917794107000001</v>
      </c>
      <c r="P65" s="14">
        <v>18.033204629</v>
      </c>
      <c r="Q65" s="14">
        <v>18.848186173999999</v>
      </c>
      <c r="R65" s="14">
        <v>52.799184910000001</v>
      </c>
      <c r="S65" s="40">
        <v>192.24414148599999</v>
      </c>
    </row>
    <row r="66" spans="2:19" hidden="1" outlineLevel="1" x14ac:dyDescent="0.25">
      <c r="B66" s="39" t="s">
        <v>159</v>
      </c>
      <c r="C66" s="14">
        <v>-5.7245299509999992</v>
      </c>
      <c r="D66" s="14">
        <v>-3.2728235850000011</v>
      </c>
      <c r="E66" s="14">
        <v>-1.4293444089999987</v>
      </c>
      <c r="F66" s="14">
        <v>-10.426697945000001</v>
      </c>
      <c r="G66" s="14">
        <v>-2.3255691519999999</v>
      </c>
      <c r="H66" s="14">
        <v>-2.4218892860000008</v>
      </c>
      <c r="I66" s="14">
        <v>-1.5222155669999999</v>
      </c>
      <c r="J66" s="14">
        <v>-6.2696740049999988</v>
      </c>
      <c r="K66" s="14">
        <v>-1.1250830369999996</v>
      </c>
      <c r="L66" s="14">
        <v>0.54074915099999998</v>
      </c>
      <c r="M66" s="14">
        <v>1.5052808880000015</v>
      </c>
      <c r="N66" s="14">
        <v>0.92094700199999835</v>
      </c>
      <c r="O66" s="14">
        <v>1.065545847000001</v>
      </c>
      <c r="P66" s="14">
        <v>-1.7088392460000001</v>
      </c>
      <c r="Q66" s="14">
        <v>-0.95801960599999703</v>
      </c>
      <c r="R66" s="14">
        <v>-1.6013130050000015</v>
      </c>
      <c r="S66" s="40">
        <v>-17.376737953000003</v>
      </c>
    </row>
    <row r="67" spans="2:19" hidden="1" outlineLevel="1" x14ac:dyDescent="0.25">
      <c r="B67" s="39" t="s">
        <v>160</v>
      </c>
      <c r="C67" s="29">
        <v>-0.3051821611078962</v>
      </c>
      <c r="D67" s="29">
        <v>-0.2040675817809362</v>
      </c>
      <c r="E67" s="29">
        <v>-9.3685908002393514E-2</v>
      </c>
      <c r="F67" s="29">
        <v>-0.20831540274122418</v>
      </c>
      <c r="G67" s="29">
        <v>-0.15454618720448254</v>
      </c>
      <c r="H67" s="29">
        <v>-0.16113501229564953</v>
      </c>
      <c r="I67" s="29">
        <v>-0.1057978783804161</v>
      </c>
      <c r="J67" s="29">
        <v>-0.14099967732549845</v>
      </c>
      <c r="K67" s="29">
        <v>-7.556698556060959E-2</v>
      </c>
      <c r="L67" s="29">
        <v>3.526624612706164E-2</v>
      </c>
      <c r="M67" s="29">
        <v>0.10236707594661043</v>
      </c>
      <c r="N67" s="29">
        <v>2.0498914126069634E-2</v>
      </c>
      <c r="O67" s="29">
        <v>6.6940547153541585E-2</v>
      </c>
      <c r="P67" s="29">
        <v>-9.4760708435146279E-2</v>
      </c>
      <c r="Q67" s="29">
        <v>-5.082821217680511E-2</v>
      </c>
      <c r="R67" s="29">
        <v>-3.0328366010376029E-2</v>
      </c>
      <c r="S67" s="50">
        <v>-9.0388907660239104E-2</v>
      </c>
    </row>
    <row r="68" spans="2:19" hidden="1" outlineLevel="1" x14ac:dyDescent="0.25">
      <c r="B68" s="39" t="s">
        <v>161</v>
      </c>
      <c r="C68" s="20">
        <v>0.38117791900000003</v>
      </c>
      <c r="D68" s="20">
        <v>0.26109115100000002</v>
      </c>
      <c r="E68" s="20">
        <v>0.35023055000000003</v>
      </c>
      <c r="F68" s="20">
        <v>0.99249962000000003</v>
      </c>
      <c r="G68" s="20">
        <v>7.1810113000000009E-2</v>
      </c>
      <c r="H68" s="20">
        <v>8.3330549000000004E-2</v>
      </c>
      <c r="I68" s="20">
        <v>9.2689370000000007E-2</v>
      </c>
      <c r="J68" s="20">
        <v>0.24783003200000003</v>
      </c>
      <c r="K68" s="20">
        <v>0.17867684</v>
      </c>
      <c r="L68" s="20">
        <v>0.21626041500000001</v>
      </c>
      <c r="M68" s="20">
        <v>0.177567682</v>
      </c>
      <c r="N68" s="20">
        <v>0.57250493699999994</v>
      </c>
      <c r="O68" s="20">
        <v>9.4607126E-2</v>
      </c>
      <c r="P68" s="20">
        <v>0.14603123600000001</v>
      </c>
      <c r="Q68" s="20">
        <v>0.10721417200000001</v>
      </c>
      <c r="R68" s="20">
        <v>0.34785253399999999</v>
      </c>
      <c r="S68" s="40">
        <v>2.1606871229999998</v>
      </c>
    </row>
    <row r="69" spans="2:19" hidden="1" outlineLevel="1" x14ac:dyDescent="0.25">
      <c r="B69" s="39" t="s">
        <v>162</v>
      </c>
      <c r="C69" s="14">
        <v>15.120158178000001</v>
      </c>
      <c r="D69" s="14">
        <v>14.116814571000001</v>
      </c>
      <c r="E69" s="14">
        <v>15.120233088000001</v>
      </c>
      <c r="F69" s="14">
        <v>44.357205837000002</v>
      </c>
      <c r="G69" s="14">
        <v>13.111453703</v>
      </c>
      <c r="H69" s="14">
        <v>14.098272486999999</v>
      </c>
      <c r="I69" s="14">
        <v>13.385087856</v>
      </c>
      <c r="J69" s="14">
        <v>40.594814045999996</v>
      </c>
      <c r="K69" s="14">
        <v>13.108638726000001</v>
      </c>
      <c r="L69" s="14">
        <v>14.289472010000001</v>
      </c>
      <c r="M69" s="14">
        <v>13.938525376999999</v>
      </c>
      <c r="N69" s="14">
        <v>41.336636112999997</v>
      </c>
      <c r="O69" s="14">
        <v>17.019273008999999</v>
      </c>
      <c r="P69" s="14">
        <v>17.409045476999999</v>
      </c>
      <c r="Q69" s="14">
        <v>17.561630909000002</v>
      </c>
      <c r="R69" s="14">
        <v>51.989949394999996</v>
      </c>
      <c r="S69" s="40">
        <v>178.27860539100001</v>
      </c>
    </row>
    <row r="70" spans="2:19" hidden="1" outlineLevel="1" x14ac:dyDescent="0.25">
      <c r="B70" s="39" t="s">
        <v>163</v>
      </c>
      <c r="C70" s="14">
        <v>-2.0869405260000011</v>
      </c>
      <c r="D70" s="14">
        <v>-1.3516983890000009</v>
      </c>
      <c r="E70" s="14">
        <v>-1.2928068740000001</v>
      </c>
      <c r="F70" s="14">
        <v>-4.7314457890000057</v>
      </c>
      <c r="G70" s="14">
        <v>-0.38929379700000055</v>
      </c>
      <c r="H70" s="14">
        <v>-1.4899752759999991</v>
      </c>
      <c r="I70" s="14">
        <v>-0.51934413400000068</v>
      </c>
      <c r="J70" s="14">
        <v>-2.3986132069999968</v>
      </c>
      <c r="K70" s="14">
        <v>0.65483080599999965</v>
      </c>
      <c r="L70" s="14">
        <v>1.5846117139999993</v>
      </c>
      <c r="M70" s="14">
        <v>2.2714921080000021</v>
      </c>
      <c r="N70" s="14">
        <v>4.5109346280000011</v>
      </c>
      <c r="O70" s="14">
        <v>-3.5933054999997438E-2</v>
      </c>
      <c r="P70" s="14">
        <v>-1.0846800939999994</v>
      </c>
      <c r="Q70" s="14">
        <v>0.32853565899999992</v>
      </c>
      <c r="R70" s="14">
        <v>-0.79207748999999694</v>
      </c>
      <c r="S70" s="40">
        <v>-3.4112018580000267</v>
      </c>
    </row>
    <row r="71" spans="2:19" hidden="1" outlineLevel="1" x14ac:dyDescent="0.25">
      <c r="B71" s="39" t="s">
        <v>164</v>
      </c>
      <c r="C71" s="29">
        <v>-0.13802372312721722</v>
      </c>
      <c r="D71" s="29">
        <v>-9.5750948785342738E-2</v>
      </c>
      <c r="E71" s="29">
        <v>-8.5501782047660457E-2</v>
      </c>
      <c r="F71" s="29">
        <v>-0.10666690337499418</v>
      </c>
      <c r="G71" s="29">
        <v>-2.9691123945388864E-2</v>
      </c>
      <c r="H71" s="29">
        <v>-0.1056849537681942</v>
      </c>
      <c r="I71" s="29">
        <v>-3.8800203598753358E-2</v>
      </c>
      <c r="J71" s="29">
        <v>-5.9086690341332959E-2</v>
      </c>
      <c r="K71" s="29">
        <v>4.9954142431371862E-2</v>
      </c>
      <c r="L71" s="29">
        <v>0.11089365043656363</v>
      </c>
      <c r="M71" s="29">
        <v>0.1629650229534465</v>
      </c>
      <c r="N71" s="29">
        <v>0.10912679531224256</v>
      </c>
      <c r="O71" s="29">
        <v>-2.1113155057208566E-3</v>
      </c>
      <c r="P71" s="29">
        <v>-6.2305546586860716E-2</v>
      </c>
      <c r="Q71" s="29">
        <v>1.8707582496317654E-2</v>
      </c>
      <c r="R71" s="29">
        <v>-1.5235204096508914E-2</v>
      </c>
      <c r="S71" s="50">
        <v>-1.9134106700681164E-2</v>
      </c>
    </row>
    <row r="72" spans="2:19" hidden="1" outlineLevel="1" x14ac:dyDescent="0.25">
      <c r="B72" s="100" t="s">
        <v>165</v>
      </c>
      <c r="C72" s="101">
        <v>2.7404501000000001E-2</v>
      </c>
      <c r="D72" s="101">
        <v>2.9808351E-2</v>
      </c>
      <c r="E72" s="101">
        <v>1.5401537000000002E-2</v>
      </c>
      <c r="F72" s="101">
        <v>7.2614389000000001E-2</v>
      </c>
      <c r="G72" s="101">
        <v>4.0107329000000004E-2</v>
      </c>
      <c r="H72" s="101">
        <v>4.0241740000000005E-2</v>
      </c>
      <c r="I72" s="101">
        <v>3.8270985E-2</v>
      </c>
      <c r="J72" s="101">
        <v>0.118620054</v>
      </c>
      <c r="K72" s="101">
        <v>0.10469263700000001</v>
      </c>
      <c r="L72" s="101">
        <v>0.10532311400000001</v>
      </c>
      <c r="M72" s="101">
        <v>0.11381606300000001</v>
      </c>
      <c r="N72" s="101">
        <v>0.32383181400000005</v>
      </c>
      <c r="O72" s="101">
        <v>0.12910794</v>
      </c>
      <c r="P72" s="101">
        <v>0.20517144300000001</v>
      </c>
      <c r="Q72" s="101">
        <v>0.18447427300000002</v>
      </c>
      <c r="R72" s="101">
        <v>0.51875365600000012</v>
      </c>
      <c r="S72" s="102">
        <v>1.0338199130000003</v>
      </c>
    </row>
    <row r="73" spans="2:19" collapsed="1" x14ac:dyDescent="0.25">
      <c r="B73" s="466" t="s">
        <v>166</v>
      </c>
      <c r="C73" s="467"/>
      <c r="D73" s="467"/>
      <c r="E73" s="467"/>
      <c r="F73" s="467"/>
      <c r="G73" s="467"/>
      <c r="H73" s="467"/>
      <c r="I73" s="467"/>
      <c r="J73" s="467"/>
      <c r="K73" s="467"/>
      <c r="L73" s="467"/>
      <c r="M73" s="467"/>
      <c r="N73" s="467"/>
      <c r="O73" s="467"/>
      <c r="P73" s="467"/>
      <c r="Q73" s="467"/>
      <c r="R73" s="467"/>
      <c r="S73" s="468"/>
    </row>
    <row r="74" spans="2:19" x14ac:dyDescent="0.25">
      <c r="B74" s="469" t="s">
        <v>167</v>
      </c>
      <c r="C74" s="470"/>
      <c r="D74" s="470"/>
      <c r="E74" s="470"/>
      <c r="F74" s="470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1"/>
    </row>
    <row r="75" spans="2:19" ht="16.5" thickBot="1" x14ac:dyDescent="0.3"/>
    <row r="76" spans="2:19" x14ac:dyDescent="0.25">
      <c r="B76" s="397" t="s">
        <v>268</v>
      </c>
      <c r="C76" s="398"/>
      <c r="D76" s="398"/>
      <c r="E76" s="398"/>
      <c r="F76" s="399">
        <f>C76+D76+E76</f>
        <v>0</v>
      </c>
      <c r="G76" s="400"/>
      <c r="H76" s="398"/>
      <c r="I76" s="398"/>
      <c r="J76" s="401">
        <f>G76+H76+I76</f>
        <v>0</v>
      </c>
      <c r="K76" s="402"/>
      <c r="L76" s="403"/>
      <c r="M76" s="403"/>
      <c r="N76" s="401">
        <f>K76+L76+M76</f>
        <v>0</v>
      </c>
      <c r="O76" s="403"/>
      <c r="P76" s="403"/>
      <c r="Q76" s="403"/>
      <c r="R76" s="401">
        <f>O76+P76+Q76</f>
        <v>0</v>
      </c>
      <c r="S76" s="399">
        <f>F76+J76+N76+R76</f>
        <v>0</v>
      </c>
    </row>
    <row r="77" spans="2:19" x14ac:dyDescent="0.25">
      <c r="B77" s="404" t="s">
        <v>269</v>
      </c>
      <c r="C77" s="398"/>
      <c r="D77" s="398"/>
      <c r="E77" s="398"/>
      <c r="F77" s="399">
        <f>C77+D77+E77</f>
        <v>0</v>
      </c>
      <c r="G77" s="400"/>
      <c r="H77" s="398"/>
      <c r="I77" s="398"/>
      <c r="J77" s="401">
        <f>G77+H77+I77</f>
        <v>0</v>
      </c>
      <c r="K77" s="402"/>
      <c r="L77" s="403"/>
      <c r="M77" s="403"/>
      <c r="N77" s="401">
        <f>K77+L77+M77</f>
        <v>0</v>
      </c>
      <c r="O77" s="403"/>
      <c r="P77" s="403"/>
      <c r="Q77" s="403"/>
      <c r="R77" s="401">
        <f>O77+P77+Q77</f>
        <v>0</v>
      </c>
      <c r="S77" s="399">
        <f>F77+J77+N77+R77</f>
        <v>0</v>
      </c>
    </row>
    <row r="78" spans="2:19" ht="16.5" thickBot="1" x14ac:dyDescent="0.3">
      <c r="B78" s="405" t="s">
        <v>270</v>
      </c>
      <c r="C78" s="398"/>
      <c r="D78" s="398"/>
      <c r="E78" s="398">
        <v>56.15</v>
      </c>
      <c r="F78" s="399">
        <f>C78+D78+E78</f>
        <v>56.15</v>
      </c>
      <c r="G78" s="400"/>
      <c r="H78" s="398"/>
      <c r="I78" s="398"/>
      <c r="J78" s="401">
        <f>G78+H78+I78</f>
        <v>0</v>
      </c>
      <c r="K78" s="402"/>
      <c r="L78" s="403"/>
      <c r="M78" s="403"/>
      <c r="N78" s="401">
        <f>K78+L78+M78</f>
        <v>0</v>
      </c>
      <c r="O78" s="403"/>
      <c r="P78" s="403"/>
      <c r="Q78" s="403"/>
      <c r="R78" s="401">
        <f>O78+P78+Q78</f>
        <v>0</v>
      </c>
      <c r="S78" s="399">
        <f>F78+J78+N78+R78</f>
        <v>56.15</v>
      </c>
    </row>
    <row r="79" spans="2:19" ht="17.25" x14ac:dyDescent="0.25">
      <c r="B79" s="406"/>
      <c r="C79" s="407"/>
      <c r="D79" s="408"/>
      <c r="E79" s="409"/>
      <c r="F79" s="407"/>
      <c r="G79" s="407"/>
      <c r="H79" s="407"/>
      <c r="I79" s="407"/>
      <c r="J79" s="407"/>
      <c r="K79" s="407"/>
      <c r="L79" s="407"/>
      <c r="M79" s="407"/>
      <c r="N79" s="407"/>
      <c r="O79" s="407"/>
      <c r="P79" s="407"/>
      <c r="Q79" s="407"/>
      <c r="R79" s="407"/>
      <c r="S79" s="410"/>
    </row>
    <row r="80" spans="2:19" ht="17.25" x14ac:dyDescent="0.25">
      <c r="B80" s="411" t="s">
        <v>272</v>
      </c>
      <c r="C80" s="407"/>
      <c r="D80" s="408"/>
      <c r="E80" s="409"/>
      <c r="F80" s="407"/>
      <c r="G80" s="407"/>
      <c r="H80" s="407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10"/>
    </row>
    <row r="81" spans="1:19" ht="18" thickBot="1" x14ac:dyDescent="0.3">
      <c r="B81" s="472"/>
      <c r="C81" s="472"/>
      <c r="D81" s="408"/>
      <c r="E81" s="409"/>
      <c r="F81" s="407"/>
      <c r="G81" s="407"/>
      <c r="H81" s="407"/>
      <c r="I81" s="407"/>
      <c r="J81" s="407"/>
      <c r="K81" s="407"/>
      <c r="L81" s="407"/>
      <c r="M81" s="407"/>
      <c r="N81" s="407"/>
      <c r="O81" s="407"/>
      <c r="P81" s="407"/>
      <c r="Q81" s="407"/>
      <c r="R81" s="407"/>
      <c r="S81" s="410"/>
    </row>
    <row r="82" spans="1:19" x14ac:dyDescent="0.2">
      <c r="A82" s="98" t="s">
        <v>277</v>
      </c>
      <c r="B82" s="412" t="str">
        <f ca="1">"c "&amp;TEXT(DATE(YEAR(TODAY()),1,1),"ДД.ММ.ГГГГ")&amp;" по "&amp;TEXT('WORD MONDAY'!L1,"ДД.ММ.ГГГГ")&amp;""</f>
        <v>c 01.01.2021 по 19.11.2021</v>
      </c>
      <c r="C82" s="413">
        <f>F10+J10+N10+O10+'Сверка 310'!AI6/1000000+0.1</f>
        <v>155.49715501491431</v>
      </c>
      <c r="D82" s="414"/>
      <c r="E82" s="415"/>
      <c r="F82" s="407"/>
      <c r="G82" s="407"/>
      <c r="H82" s="416"/>
      <c r="I82" s="416"/>
      <c r="J82" s="407"/>
      <c r="K82" s="407"/>
      <c r="L82" s="407"/>
      <c r="M82" s="407"/>
      <c r="N82" s="407"/>
      <c r="O82" s="407"/>
      <c r="P82" s="407"/>
      <c r="Q82" s="407"/>
      <c r="R82" s="407"/>
      <c r="S82" s="417"/>
    </row>
    <row r="83" spans="1:19" x14ac:dyDescent="0.2">
      <c r="A83" s="98" t="s">
        <v>278</v>
      </c>
      <c r="B83" s="418" t="s">
        <v>273</v>
      </c>
      <c r="C83" s="419">
        <f>C82+S19+0.1</f>
        <v>155.8500972900143</v>
      </c>
      <c r="D83" s="414"/>
      <c r="E83" s="415"/>
      <c r="F83" s="407"/>
      <c r="G83" s="407"/>
      <c r="H83" s="416"/>
      <c r="I83" s="416"/>
      <c r="J83" s="420"/>
      <c r="K83" s="407"/>
      <c r="L83" s="407"/>
      <c r="M83" s="407"/>
      <c r="N83" s="407"/>
      <c r="O83" s="407"/>
      <c r="P83" s="407"/>
      <c r="Q83" s="407"/>
      <c r="R83" s="407"/>
      <c r="S83" s="417"/>
    </row>
    <row r="84" spans="1:19" ht="16.5" thickBot="1" x14ac:dyDescent="0.25">
      <c r="A84" s="98" t="s">
        <v>279</v>
      </c>
      <c r="B84" s="421" t="s">
        <v>274</v>
      </c>
      <c r="C84" s="422">
        <f>C83+S20</f>
        <v>164.40805753318421</v>
      </c>
      <c r="D84" s="414"/>
      <c r="E84" s="415"/>
      <c r="F84" s="407"/>
      <c r="G84" s="407"/>
      <c r="H84" s="416"/>
      <c r="I84" s="416"/>
      <c r="J84" s="407"/>
      <c r="K84" s="407"/>
      <c r="L84" s="407"/>
      <c r="M84" s="407"/>
      <c r="N84" s="407"/>
      <c r="O84" s="407"/>
      <c r="P84" s="407"/>
      <c r="Q84" s="407"/>
      <c r="R84" s="407"/>
      <c r="S84" s="417"/>
    </row>
    <row r="85" spans="1:19" ht="16.5" thickBot="1" x14ac:dyDescent="0.25">
      <c r="A85" s="98" t="s">
        <v>280</v>
      </c>
      <c r="B85" s="423" t="str">
        <f>"c "&amp;TEXT(EOMONTH('WORD MONDAY'!L1,-1)+1,"ДД.ММ.ГГГГ")&amp;" по "&amp;TEXT(('WORD MONDAY'!L1),"ДД.ММ.ГГГГ")&amp;""</f>
        <v>c 01.11.2021 по 19.11.2021</v>
      </c>
      <c r="C85" s="424"/>
      <c r="D85" s="425"/>
      <c r="E85" s="425"/>
      <c r="F85" s="425"/>
      <c r="G85" s="426"/>
      <c r="H85" s="427"/>
      <c r="I85" s="427"/>
      <c r="J85" s="406"/>
      <c r="K85" s="428"/>
      <c r="L85" s="428"/>
      <c r="M85" s="407"/>
      <c r="N85" s="407"/>
      <c r="O85" s="407"/>
      <c r="P85" s="407"/>
      <c r="Q85" s="407"/>
      <c r="R85" s="407"/>
      <c r="S85" s="417"/>
    </row>
    <row r="86" spans="1:19" x14ac:dyDescent="0.2">
      <c r="A86" s="98" t="s">
        <v>281</v>
      </c>
      <c r="B86" s="423" t="s">
        <v>273</v>
      </c>
      <c r="C86" s="424"/>
      <c r="D86" s="425"/>
      <c r="E86" s="427"/>
      <c r="F86" s="427"/>
      <c r="G86" s="427"/>
      <c r="H86" s="427"/>
      <c r="I86" s="427"/>
      <c r="J86" s="406"/>
      <c r="K86" s="428"/>
      <c r="L86" s="428"/>
      <c r="M86" s="407"/>
      <c r="N86" s="407"/>
      <c r="O86" s="407"/>
      <c r="P86" s="407"/>
      <c r="Q86" s="407"/>
      <c r="R86" s="407"/>
      <c r="S86" s="417"/>
    </row>
    <row r="87" spans="1:19" ht="16.5" thickBot="1" x14ac:dyDescent="0.25">
      <c r="A87" s="98" t="s">
        <v>282</v>
      </c>
      <c r="B87" s="429" t="s">
        <v>274</v>
      </c>
      <c r="C87" s="430"/>
      <c r="D87" s="425">
        <f>C87-4.8045861</f>
        <v>-4.8045860999999999</v>
      </c>
      <c r="E87" s="427"/>
      <c r="F87" s="427"/>
      <c r="G87" s="427"/>
      <c r="H87" s="427"/>
      <c r="I87" s="427"/>
      <c r="J87" s="406"/>
      <c r="K87" s="428"/>
      <c r="L87" s="428"/>
      <c r="M87" s="407"/>
      <c r="N87" s="407"/>
      <c r="O87" s="407"/>
      <c r="P87" s="407"/>
      <c r="Q87" s="407"/>
      <c r="R87" s="407"/>
      <c r="S87" s="417"/>
    </row>
    <row r="88" spans="1:19" ht="16.5" thickBot="1" x14ac:dyDescent="0.25">
      <c r="B88" s="431" t="e">
        <f>"c "&amp;TEXT(EOMONTH($U$14,-1)+1,"ДД.ММ.ГГГГ")&amp;" по "&amp;TEXT(($U$14),"ДД.ММ.ГГГГ")&amp;""</f>
        <v>#NUM!</v>
      </c>
      <c r="C88" s="432" t="e">
        <f>'[2]Сверка 310 пред.мес.'!#REF!/1000000</f>
        <v>#REF!</v>
      </c>
      <c r="D88" s="433"/>
      <c r="E88" s="427"/>
      <c r="F88" s="427"/>
      <c r="G88" s="427"/>
      <c r="H88" s="427"/>
      <c r="I88" s="427"/>
      <c r="J88" s="406"/>
      <c r="K88" s="428"/>
      <c r="L88" s="428"/>
      <c r="M88" s="407"/>
      <c r="N88" s="407"/>
      <c r="O88" s="407"/>
      <c r="P88" s="407"/>
      <c r="Q88" s="407"/>
      <c r="R88" s="407"/>
      <c r="S88" s="417"/>
    </row>
    <row r="89" spans="1:19" x14ac:dyDescent="0.2">
      <c r="B89" s="431" t="s">
        <v>273</v>
      </c>
      <c r="C89" s="434" t="e">
        <f>'[2]Сверка 310 пред.мес.'!#REF!/1000000</f>
        <v>#REF!</v>
      </c>
      <c r="D89" s="433" t="s">
        <v>275</v>
      </c>
      <c r="E89" s="407"/>
      <c r="F89" s="417"/>
      <c r="G89" s="427"/>
      <c r="H89" s="427"/>
      <c r="I89" s="427"/>
      <c r="J89" s="406"/>
      <c r="K89" s="428"/>
      <c r="L89" s="428"/>
      <c r="M89" s="407"/>
      <c r="N89" s="407"/>
      <c r="O89" s="407"/>
      <c r="P89" s="407"/>
      <c r="Q89" s="407"/>
      <c r="R89" s="407"/>
      <c r="S89" s="417"/>
    </row>
    <row r="90" spans="1:19" ht="16.5" thickBot="1" x14ac:dyDescent="0.25">
      <c r="B90" s="435" t="s">
        <v>274</v>
      </c>
      <c r="C90" s="436">
        <f>'[2]Сверка 310 пред.мес.'!AJ99/1000000+[2]баланс!C89</f>
        <v>0</v>
      </c>
      <c r="D90" s="433" t="s">
        <v>275</v>
      </c>
      <c r="E90" s="427"/>
      <c r="F90" s="427"/>
      <c r="G90" s="427"/>
      <c r="H90" s="427"/>
      <c r="I90" s="427"/>
      <c r="J90" s="406"/>
      <c r="K90" s="428"/>
      <c r="L90" s="428"/>
      <c r="M90" s="407"/>
      <c r="N90" s="407"/>
      <c r="O90" s="407"/>
      <c r="P90" s="407"/>
      <c r="Q90" s="407"/>
      <c r="R90" s="407"/>
      <c r="S90" s="417"/>
    </row>
    <row r="91" spans="1:19" x14ac:dyDescent="0.2">
      <c r="B91" s="437" t="s">
        <v>276</v>
      </c>
      <c r="C91" s="434"/>
      <c r="D91" s="438"/>
      <c r="E91" s="407"/>
      <c r="F91" s="407"/>
      <c r="G91" s="407"/>
      <c r="H91" s="407"/>
      <c r="I91" s="407"/>
      <c r="J91" s="407"/>
      <c r="K91" s="407"/>
      <c r="L91" s="407"/>
      <c r="M91" s="407"/>
      <c r="N91" s="407"/>
      <c r="O91" s="407"/>
      <c r="P91" s="407"/>
      <c r="Q91" s="407"/>
      <c r="R91" s="407"/>
      <c r="S91" s="417"/>
    </row>
    <row r="92" spans="1:19" x14ac:dyDescent="0.2">
      <c r="B92" s="439" t="str">
        <f ca="1">"c 01.01.2019 по "&amp;TEXT((TODAY()),"ДД.ММ.ГГГГ")&amp;""</f>
        <v>c 01.01.2019 по 25.11.2021</v>
      </c>
      <c r="C92" s="440">
        <f>1.1+2+1.296332269+0.204413989+0.2+0.08+0.17+C93</f>
        <v>8.013223098000001</v>
      </c>
      <c r="D92" s="438"/>
      <c r="E92" s="407"/>
      <c r="F92" s="407"/>
      <c r="G92" s="407"/>
      <c r="H92" s="407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17"/>
    </row>
    <row r="93" spans="1:19" ht="16.5" thickBot="1" x14ac:dyDescent="0.25">
      <c r="B93" s="435" t="str">
        <f ca="1">"c 01.12.2019 по "&amp;TEXT((TODAY()),"ДД.ММ.ГГГГ")&amp;""</f>
        <v>c 01.12.2019 по 25.11.2021</v>
      </c>
      <c r="C93" s="436">
        <f>Q43-C98</f>
        <v>2.9624768399999999</v>
      </c>
      <c r="D93" s="441"/>
      <c r="E93" s="442"/>
      <c r="F93" s="407"/>
      <c r="G93" s="407"/>
      <c r="H93" s="407"/>
      <c r="I93" s="407"/>
      <c r="J93" s="407"/>
      <c r="K93" s="407"/>
      <c r="L93" s="407"/>
      <c r="M93" s="427"/>
      <c r="N93" s="426"/>
      <c r="O93" s="426"/>
      <c r="P93" s="407"/>
      <c r="Q93" s="407"/>
      <c r="R93" s="407"/>
      <c r="S93" s="407"/>
    </row>
  </sheetData>
  <mergeCells count="4">
    <mergeCell ref="B1:S1"/>
    <mergeCell ref="B73:S73"/>
    <mergeCell ref="B74:S74"/>
    <mergeCell ref="B81:C81"/>
  </mergeCells>
  <pageMargins left="0.11811023622047245" right="0.11811023622047245" top="0.15748031496062992" bottom="0.15748031496062992" header="0.31496062992125984" footer="0.31496062992125984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D6ED-786B-4351-9687-9D61149007C2}">
  <sheetPr codeName="Лист4"/>
  <dimension ref="A1:AT118"/>
  <sheetViews>
    <sheetView zoomScale="55" zoomScaleNormal="55" workbookViewId="0">
      <selection activeCell="AI6" sqref="AI6"/>
    </sheetView>
  </sheetViews>
  <sheetFormatPr defaultColWidth="9.42578125" defaultRowHeight="16.5" outlineLevelRow="1" outlineLevelCol="1" x14ac:dyDescent="0.3"/>
  <cols>
    <col min="1" max="1" width="1.5703125" style="144" customWidth="1"/>
    <col min="2" max="2" width="69" style="369" customWidth="1"/>
    <col min="3" max="3" width="21.42578125" style="370" customWidth="1" outlineLevel="1"/>
    <col min="4" max="4" width="26.28515625" style="371" customWidth="1"/>
    <col min="5" max="5" width="22.85546875" style="371" customWidth="1"/>
    <col min="6" max="6" width="23.5703125" style="371" customWidth="1"/>
    <col min="7" max="9" width="20" style="371" customWidth="1"/>
    <col min="10" max="10" width="23.5703125" style="371" customWidth="1"/>
    <col min="11" max="11" width="20" style="371" customWidth="1"/>
    <col min="12" max="16" width="21.42578125" style="371" bestFit="1" customWidth="1"/>
    <col min="17" max="17" width="24.42578125" style="371" bestFit="1" customWidth="1"/>
    <col min="18" max="18" width="22.5703125" style="371" customWidth="1"/>
    <col min="19" max="19" width="23.5703125" style="371" hidden="1" customWidth="1" outlineLevel="1"/>
    <col min="20" max="20" width="22.5703125" style="371" hidden="1" customWidth="1" outlineLevel="1"/>
    <col min="21" max="21" width="24.42578125" style="371" hidden="1" customWidth="1" outlineLevel="1"/>
    <col min="22" max="24" width="22.5703125" style="371" hidden="1" customWidth="1" outlineLevel="1"/>
    <col min="25" max="25" width="21.5703125" style="371" hidden="1" customWidth="1" outlineLevel="1"/>
    <col min="26" max="27" width="22.5703125" style="371" hidden="1" customWidth="1" outlineLevel="1"/>
    <col min="28" max="29" width="24" style="372" hidden="1" customWidth="1" outlineLevel="1"/>
    <col min="30" max="32" width="22.5703125" style="372" hidden="1" customWidth="1" outlineLevel="1"/>
    <col min="33" max="33" width="22.5703125" style="372" hidden="1" customWidth="1" outlineLevel="1" collapsed="1"/>
    <col min="34" max="34" width="22.5703125" style="372" customWidth="1" collapsed="1"/>
    <col min="35" max="35" width="32.42578125" style="373" bestFit="1" customWidth="1"/>
    <col min="36" max="36" width="30.42578125" style="144" customWidth="1"/>
    <col min="37" max="37" width="24.5703125" style="150" bestFit="1" customWidth="1"/>
    <col min="38" max="38" width="30.42578125" style="144" bestFit="1" customWidth="1"/>
    <col min="39" max="39" width="36" style="144" customWidth="1"/>
    <col min="40" max="40" width="22.5703125" style="144" customWidth="1"/>
    <col min="41" max="42" width="21.42578125" style="144" bestFit="1" customWidth="1"/>
    <col min="43" max="43" width="58.85546875" style="144" customWidth="1"/>
    <col min="44" max="44" width="25" style="151" customWidth="1"/>
    <col min="45" max="45" width="25" style="144" customWidth="1"/>
    <col min="46" max="46" width="22.5703125" style="144" bestFit="1" customWidth="1"/>
    <col min="47" max="16384" width="9.42578125" style="144"/>
  </cols>
  <sheetData>
    <row r="1" spans="2:46" ht="7.5" customHeight="1" thickBot="1" x14ac:dyDescent="0.35">
      <c r="B1" s="145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8"/>
      <c r="AC1" s="148"/>
      <c r="AD1" s="148"/>
      <c r="AE1" s="148"/>
      <c r="AF1" s="148"/>
      <c r="AG1" s="148"/>
      <c r="AH1" s="148"/>
      <c r="AI1" s="149"/>
    </row>
    <row r="2" spans="2:46" ht="65.25" customHeight="1" thickBot="1" x14ac:dyDescent="0.4">
      <c r="B2" s="473" t="s">
        <v>195</v>
      </c>
      <c r="C2" s="475" t="s">
        <v>196</v>
      </c>
      <c r="D2" s="478">
        <f ca="1">B4</f>
        <v>44525</v>
      </c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  <c r="S2" s="479"/>
      <c r="T2" s="479"/>
      <c r="U2" s="479"/>
      <c r="V2" s="479"/>
      <c r="W2" s="479"/>
      <c r="X2" s="479"/>
      <c r="Y2" s="479"/>
      <c r="Z2" s="479"/>
      <c r="AA2" s="479"/>
      <c r="AB2" s="479"/>
      <c r="AC2" s="479"/>
      <c r="AD2" s="479"/>
      <c r="AE2" s="479"/>
      <c r="AF2" s="479"/>
      <c r="AG2" s="479"/>
      <c r="AH2" s="479"/>
      <c r="AI2" s="480"/>
      <c r="AJ2" s="152">
        <v>1000</v>
      </c>
      <c r="AK2" s="150">
        <v>1242213.4099999999</v>
      </c>
      <c r="AL2" s="153">
        <v>1000</v>
      </c>
      <c r="AM2" s="154">
        <v>574370.25930000003</v>
      </c>
      <c r="AN2" s="155" t="s">
        <v>197</v>
      </c>
    </row>
    <row r="3" spans="2:46" s="156" customFormat="1" ht="30" customHeight="1" x14ac:dyDescent="0.35">
      <c r="B3" s="474"/>
      <c r="C3" s="476"/>
      <c r="D3" s="157">
        <v>44501</v>
      </c>
      <c r="E3" s="158">
        <f>D3+1</f>
        <v>44502</v>
      </c>
      <c r="F3" s="158">
        <f>E3+1</f>
        <v>44503</v>
      </c>
      <c r="G3" s="158">
        <f>F3+1</f>
        <v>44504</v>
      </c>
      <c r="H3" s="158">
        <f t="shared" ref="H3:AE3" si="0">G3+1</f>
        <v>44505</v>
      </c>
      <c r="I3" s="158">
        <f t="shared" si="0"/>
        <v>44506</v>
      </c>
      <c r="J3" s="158">
        <f t="shared" si="0"/>
        <v>44507</v>
      </c>
      <c r="K3" s="158">
        <f t="shared" si="0"/>
        <v>44508</v>
      </c>
      <c r="L3" s="158">
        <f t="shared" si="0"/>
        <v>44509</v>
      </c>
      <c r="M3" s="158">
        <f t="shared" si="0"/>
        <v>44510</v>
      </c>
      <c r="N3" s="158">
        <f t="shared" si="0"/>
        <v>44511</v>
      </c>
      <c r="O3" s="158">
        <f t="shared" si="0"/>
        <v>44512</v>
      </c>
      <c r="P3" s="158">
        <f t="shared" si="0"/>
        <v>44513</v>
      </c>
      <c r="Q3" s="158">
        <f t="shared" si="0"/>
        <v>44514</v>
      </c>
      <c r="R3" s="158">
        <f t="shared" si="0"/>
        <v>44515</v>
      </c>
      <c r="S3" s="158">
        <f t="shared" si="0"/>
        <v>44516</v>
      </c>
      <c r="T3" s="158">
        <f t="shared" si="0"/>
        <v>44517</v>
      </c>
      <c r="U3" s="158">
        <f t="shared" si="0"/>
        <v>44518</v>
      </c>
      <c r="V3" s="158">
        <f t="shared" si="0"/>
        <v>44519</v>
      </c>
      <c r="W3" s="158">
        <f t="shared" si="0"/>
        <v>44520</v>
      </c>
      <c r="X3" s="158">
        <f t="shared" si="0"/>
        <v>44521</v>
      </c>
      <c r="Y3" s="158">
        <f t="shared" si="0"/>
        <v>44522</v>
      </c>
      <c r="Z3" s="158">
        <f t="shared" si="0"/>
        <v>44523</v>
      </c>
      <c r="AA3" s="158">
        <f t="shared" si="0"/>
        <v>44524</v>
      </c>
      <c r="AB3" s="158">
        <f t="shared" si="0"/>
        <v>44525</v>
      </c>
      <c r="AC3" s="158">
        <f t="shared" si="0"/>
        <v>44526</v>
      </c>
      <c r="AD3" s="158">
        <f t="shared" si="0"/>
        <v>44527</v>
      </c>
      <c r="AE3" s="158">
        <f t="shared" si="0"/>
        <v>44528</v>
      </c>
      <c r="AF3" s="158">
        <f>AE3+1</f>
        <v>44529</v>
      </c>
      <c r="AG3" s="158">
        <f>AF3+1</f>
        <v>44530</v>
      </c>
      <c r="AH3" s="158"/>
      <c r="AI3" s="159" t="s">
        <v>198</v>
      </c>
      <c r="AJ3" s="160" t="s">
        <v>199</v>
      </c>
      <c r="AK3" s="161"/>
      <c r="AL3" s="160" t="s">
        <v>199</v>
      </c>
      <c r="AM3" s="154">
        <v>573108.68530000001</v>
      </c>
      <c r="AN3" s="162"/>
      <c r="AO3" s="163">
        <f>AO4/1000</f>
        <v>13.700546860650576</v>
      </c>
      <c r="AR3" s="151"/>
    </row>
    <row r="4" spans="2:46" s="156" customFormat="1" ht="52.5" customHeight="1" thickBot="1" x14ac:dyDescent="0.4">
      <c r="B4" s="164">
        <f ca="1">TODAY()</f>
        <v>44525</v>
      </c>
      <c r="C4" s="477"/>
      <c r="D4" s="165" t="s">
        <v>32</v>
      </c>
      <c r="E4" s="165" t="s">
        <v>32</v>
      </c>
      <c r="F4" s="165" t="s">
        <v>32</v>
      </c>
      <c r="G4" s="165" t="s">
        <v>32</v>
      </c>
      <c r="H4" s="165" t="s">
        <v>32</v>
      </c>
      <c r="I4" s="165" t="s">
        <v>32</v>
      </c>
      <c r="J4" s="165" t="s">
        <v>32</v>
      </c>
      <c r="K4" s="165" t="s">
        <v>32</v>
      </c>
      <c r="L4" s="165" t="s">
        <v>32</v>
      </c>
      <c r="M4" s="165" t="s">
        <v>32</v>
      </c>
      <c r="N4" s="165" t="s">
        <v>32</v>
      </c>
      <c r="O4" s="165" t="s">
        <v>32</v>
      </c>
      <c r="P4" s="165" t="s">
        <v>32</v>
      </c>
      <c r="Q4" s="165" t="s">
        <v>32</v>
      </c>
      <c r="R4" s="165" t="s">
        <v>32</v>
      </c>
      <c r="S4" s="165" t="s">
        <v>32</v>
      </c>
      <c r="T4" s="165" t="s">
        <v>32</v>
      </c>
      <c r="U4" s="165" t="s">
        <v>32</v>
      </c>
      <c r="V4" s="165" t="s">
        <v>32</v>
      </c>
      <c r="W4" s="165" t="s">
        <v>32</v>
      </c>
      <c r="X4" s="165" t="s">
        <v>32</v>
      </c>
      <c r="Y4" s="165" t="s">
        <v>32</v>
      </c>
      <c r="Z4" s="165" t="s">
        <v>200</v>
      </c>
      <c r="AA4" s="165" t="s">
        <v>30</v>
      </c>
      <c r="AB4" s="165"/>
      <c r="AC4" s="165"/>
      <c r="AD4" s="165"/>
      <c r="AE4" s="165"/>
      <c r="AF4" s="165"/>
      <c r="AG4" s="165"/>
      <c r="AH4" s="165"/>
      <c r="AI4" s="166" t="s">
        <v>115</v>
      </c>
      <c r="AJ4" s="167">
        <f ca="1">B4</f>
        <v>44525</v>
      </c>
      <c r="AK4" s="168" t="s">
        <v>201</v>
      </c>
      <c r="AL4" s="169">
        <v>44227</v>
      </c>
      <c r="AM4" s="154">
        <v>569976.03110000002</v>
      </c>
      <c r="AO4" s="162">
        <f>AP5+AO5</f>
        <v>13700.546860650576</v>
      </c>
      <c r="AP4" s="162"/>
      <c r="AR4" s="151"/>
    </row>
    <row r="5" spans="2:46" s="170" customFormat="1" ht="42" customHeight="1" x14ac:dyDescent="0.25">
      <c r="B5" s="171" t="s">
        <v>202</v>
      </c>
      <c r="C5" s="172">
        <v>1000</v>
      </c>
      <c r="D5" s="173">
        <f>D15+D31+D37+D38+D42+D57+D58+D80+D25+D36+D9+D63</f>
        <v>300128.05777129519</v>
      </c>
      <c r="E5" s="173">
        <f>E15+E31+E37+E38+E42+E57+E58+E80+E25+E36+E9+E63</f>
        <v>317643.99368150777</v>
      </c>
      <c r="F5" s="173">
        <f>F15+F31+F37+F38+F42+F57+F58+F80+F25+F36+F9+F63</f>
        <v>334317.9787448789</v>
      </c>
      <c r="G5" s="173">
        <f>G15+G31+G37+G38+G42+G57+G58+G80+G25+G36+G9+G63+G97</f>
        <v>349951.27754128585</v>
      </c>
      <c r="H5" s="173">
        <f t="shared" ref="H5:AH5" si="1">H15+H31+H37+H38+H42+H57+H58+H80+H25+H36+H9+H63+H97</f>
        <v>345682.48841135961</v>
      </c>
      <c r="I5" s="173">
        <f t="shared" si="1"/>
        <v>338550.29089239181</v>
      </c>
      <c r="J5" s="173">
        <f t="shared" si="1"/>
        <v>342818.84330509731</v>
      </c>
      <c r="K5" s="173">
        <f t="shared" si="1"/>
        <v>352973.85273512447</v>
      </c>
      <c r="L5" s="173">
        <f t="shared" si="1"/>
        <v>374445.43531161558</v>
      </c>
      <c r="M5" s="173">
        <f t="shared" si="1"/>
        <v>387958.42944793997</v>
      </c>
      <c r="N5" s="173">
        <f t="shared" si="1"/>
        <v>378176.36836272397</v>
      </c>
      <c r="O5" s="173">
        <f t="shared" si="1"/>
        <v>378099.33512939891</v>
      </c>
      <c r="P5" s="173">
        <f t="shared" si="1"/>
        <v>373819.56745591143</v>
      </c>
      <c r="Q5" s="173">
        <f t="shared" si="1"/>
        <v>366070.95686004544</v>
      </c>
      <c r="R5" s="173">
        <f t="shared" si="1"/>
        <v>0</v>
      </c>
      <c r="S5" s="173">
        <f t="shared" si="1"/>
        <v>0</v>
      </c>
      <c r="T5" s="173">
        <f t="shared" si="1"/>
        <v>0</v>
      </c>
      <c r="U5" s="173">
        <f t="shared" si="1"/>
        <v>0</v>
      </c>
      <c r="V5" s="173">
        <f t="shared" si="1"/>
        <v>0</v>
      </c>
      <c r="W5" s="173">
        <f t="shared" si="1"/>
        <v>0</v>
      </c>
      <c r="X5" s="173">
        <f t="shared" si="1"/>
        <v>0</v>
      </c>
      <c r="Y5" s="173">
        <f t="shared" si="1"/>
        <v>0</v>
      </c>
      <c r="Z5" s="173">
        <f>Z15+Z31+Z37+Z38+Z42+Z57+Z58+Z80+Z25+Z36+Z9+Z63+Z97</f>
        <v>0</v>
      </c>
      <c r="AA5" s="173">
        <f t="shared" si="1"/>
        <v>0</v>
      </c>
      <c r="AB5" s="173">
        <f t="shared" si="1"/>
        <v>0</v>
      </c>
      <c r="AC5" s="173">
        <f t="shared" si="1"/>
        <v>0</v>
      </c>
      <c r="AD5" s="173">
        <f t="shared" si="1"/>
        <v>0</v>
      </c>
      <c r="AE5" s="173">
        <f t="shared" si="1"/>
        <v>0</v>
      </c>
      <c r="AF5" s="173">
        <f t="shared" si="1"/>
        <v>0</v>
      </c>
      <c r="AG5" s="173">
        <f t="shared" si="1"/>
        <v>0</v>
      </c>
      <c r="AH5" s="173">
        <f t="shared" si="1"/>
        <v>0</v>
      </c>
      <c r="AI5" s="174">
        <f>SUM(D5:AH5)</f>
        <v>4940636.8756505754</v>
      </c>
      <c r="AJ5" s="175">
        <f ca="1">SUM(D5:AG5)/DAY($B$4)*0.001</f>
        <v>197.62547502602303</v>
      </c>
      <c r="AK5" s="176">
        <f>IFERROR(AVERAGE(D5:AH5)/1000,0)</f>
        <v>159.37538308550242</v>
      </c>
      <c r="AL5" s="177">
        <v>507.56447700835253</v>
      </c>
      <c r="AM5" s="178">
        <f>AI5+384400*11</f>
        <v>9169036.8756505754</v>
      </c>
      <c r="AN5" s="179">
        <v>0.48780000000000001</v>
      </c>
      <c r="AO5" s="179">
        <f>(AN5*18)*1000</f>
        <v>8780.4</v>
      </c>
      <c r="AP5" s="180">
        <f>AI6/1000</f>
        <v>4920.1468606505769</v>
      </c>
      <c r="AQ5" s="181"/>
      <c r="AR5" s="170" t="s">
        <v>203</v>
      </c>
      <c r="AS5" s="170" t="s">
        <v>115</v>
      </c>
    </row>
    <row r="6" spans="2:46" s="170" customFormat="1" ht="42" customHeight="1" x14ac:dyDescent="0.35">
      <c r="B6" s="182" t="s">
        <v>204</v>
      </c>
      <c r="C6" s="172"/>
      <c r="D6" s="183">
        <f t="shared" ref="D6:G6" si="2">D5-D68-D73</f>
        <v>298856.3997712952</v>
      </c>
      <c r="E6" s="183">
        <f t="shared" si="2"/>
        <v>316372.37468150776</v>
      </c>
      <c r="F6" s="183">
        <f t="shared" si="2"/>
        <v>332983.73774487892</v>
      </c>
      <c r="G6" s="183">
        <f t="shared" si="2"/>
        <v>348729.78854128584</v>
      </c>
      <c r="H6" s="183">
        <f>H5-H68-H73</f>
        <v>344213.31841135956</v>
      </c>
      <c r="I6" s="183">
        <f t="shared" ref="I6:K6" si="3">I5-I68-I73</f>
        <v>337083.64089239185</v>
      </c>
      <c r="J6" s="183">
        <f t="shared" si="3"/>
        <v>341276.28730509733</v>
      </c>
      <c r="K6" s="183">
        <f t="shared" si="3"/>
        <v>351408.88473512448</v>
      </c>
      <c r="L6" s="183">
        <f>L5-L68-L73</f>
        <v>372883.6183116156</v>
      </c>
      <c r="M6" s="183">
        <f>M5-M68-M73</f>
        <v>386412.08544793999</v>
      </c>
      <c r="N6" s="183">
        <f t="shared" ref="N6:AH6" si="4">N5-N68-N73</f>
        <v>376655.89736272395</v>
      </c>
      <c r="O6" s="183">
        <f t="shared" si="4"/>
        <v>376483.16712939891</v>
      </c>
      <c r="P6" s="183">
        <f t="shared" si="4"/>
        <v>372255.48845591146</v>
      </c>
      <c r="Q6" s="183">
        <f t="shared" si="4"/>
        <v>364532.1718600454</v>
      </c>
      <c r="R6" s="183">
        <f t="shared" si="4"/>
        <v>0</v>
      </c>
      <c r="S6" s="183">
        <f t="shared" si="4"/>
        <v>0</v>
      </c>
      <c r="T6" s="183">
        <f t="shared" si="4"/>
        <v>0</v>
      </c>
      <c r="U6" s="183">
        <f t="shared" si="4"/>
        <v>0</v>
      </c>
      <c r="V6" s="183">
        <f t="shared" si="4"/>
        <v>0</v>
      </c>
      <c r="W6" s="183">
        <f t="shared" si="4"/>
        <v>0</v>
      </c>
      <c r="X6" s="183">
        <f t="shared" si="4"/>
        <v>0</v>
      </c>
      <c r="Y6" s="183">
        <f t="shared" si="4"/>
        <v>0</v>
      </c>
      <c r="Z6" s="183">
        <f t="shared" si="4"/>
        <v>0</v>
      </c>
      <c r="AA6" s="183">
        <f t="shared" si="4"/>
        <v>0</v>
      </c>
      <c r="AB6" s="183">
        <f t="shared" si="4"/>
        <v>0</v>
      </c>
      <c r="AC6" s="183">
        <f t="shared" si="4"/>
        <v>0</v>
      </c>
      <c r="AD6" s="183">
        <f t="shared" si="4"/>
        <v>0</v>
      </c>
      <c r="AE6" s="183">
        <f t="shared" si="4"/>
        <v>0</v>
      </c>
      <c r="AF6" s="183">
        <f t="shared" si="4"/>
        <v>0</v>
      </c>
      <c r="AG6" s="183">
        <f t="shared" si="4"/>
        <v>0</v>
      </c>
      <c r="AH6" s="183">
        <f t="shared" si="4"/>
        <v>0</v>
      </c>
      <c r="AI6" s="174">
        <f>SUM(D6:AH6)</f>
        <v>4920146.8606505767</v>
      </c>
      <c r="AJ6" s="175">
        <f ca="1">SUM(D6:AH6)/DAY($B$4)*0.001</f>
        <v>196.80587442602308</v>
      </c>
      <c r="AK6" s="176">
        <f>IFERROR(AVERAGE(D6:AH6)/1000,0)</f>
        <v>158.71441485969603</v>
      </c>
      <c r="AL6" s="177">
        <v>506.33167704049538</v>
      </c>
      <c r="AM6" s="184"/>
      <c r="AQ6" s="181"/>
      <c r="AR6" s="179">
        <f>'[2]ОПЕРАТИВКА пн-пн'!D12*18</f>
        <v>8722.3567398000014</v>
      </c>
      <c r="AS6" s="179">
        <f>AP5</f>
        <v>4920.1468606505769</v>
      </c>
      <c r="AT6" s="163">
        <f>AR6+AS6</f>
        <v>13642.503600450578</v>
      </c>
    </row>
    <row r="7" spans="2:46" s="170" customFormat="1" ht="42" customHeight="1" x14ac:dyDescent="0.25">
      <c r="B7" s="185" t="s">
        <v>205</v>
      </c>
      <c r="C7" s="186"/>
      <c r="D7" s="187">
        <f>D5+D10-D8+D62</f>
        <v>304078.05777129519</v>
      </c>
      <c r="E7" s="188">
        <f t="shared" ref="E7" si="5">E5+E10-E8+E62</f>
        <v>315093.99368150777</v>
      </c>
      <c r="F7" s="188">
        <f>F5+F10-F8+F62</f>
        <v>332538.47174487892</v>
      </c>
      <c r="G7" s="188">
        <f>G5+G10-G8+G62</f>
        <v>349951.27754128585</v>
      </c>
      <c r="H7" s="188">
        <f t="shared" ref="H7:AH7" si="6">H5+H10-H8+H62+H96</f>
        <v>345682.48841135961</v>
      </c>
      <c r="I7" s="188">
        <f t="shared" si="6"/>
        <v>333550.29089239181</v>
      </c>
      <c r="J7" s="188">
        <f t="shared" si="6"/>
        <v>337818.84330509731</v>
      </c>
      <c r="K7" s="188">
        <f t="shared" si="6"/>
        <v>348803.80592282914</v>
      </c>
      <c r="L7" s="188">
        <f t="shared" si="6"/>
        <v>383298.38115025364</v>
      </c>
      <c r="M7" s="188">
        <f t="shared" si="6"/>
        <v>410906.67035604728</v>
      </c>
      <c r="N7" s="188">
        <f t="shared" si="6"/>
        <v>406486.89289836434</v>
      </c>
      <c r="O7" s="188">
        <f t="shared" si="6"/>
        <v>406821.95300087048</v>
      </c>
      <c r="P7" s="188">
        <f t="shared" si="6"/>
        <v>396276.07836912718</v>
      </c>
      <c r="Q7" s="188">
        <f t="shared" si="6"/>
        <v>391525.40370393463</v>
      </c>
      <c r="R7" s="188">
        <f t="shared" si="6"/>
        <v>0</v>
      </c>
      <c r="S7" s="188">
        <f t="shared" si="6"/>
        <v>0</v>
      </c>
      <c r="T7" s="188">
        <f t="shared" si="6"/>
        <v>0</v>
      </c>
      <c r="U7" s="188">
        <f t="shared" si="6"/>
        <v>0</v>
      </c>
      <c r="V7" s="188">
        <f t="shared" si="6"/>
        <v>0</v>
      </c>
      <c r="W7" s="188">
        <f t="shared" si="6"/>
        <v>0</v>
      </c>
      <c r="X7" s="188">
        <f t="shared" si="6"/>
        <v>0</v>
      </c>
      <c r="Y7" s="188">
        <f t="shared" si="6"/>
        <v>0</v>
      </c>
      <c r="Z7" s="188">
        <f t="shared" si="6"/>
        <v>0</v>
      </c>
      <c r="AA7" s="188">
        <f t="shared" si="6"/>
        <v>0</v>
      </c>
      <c r="AB7" s="188">
        <f t="shared" si="6"/>
        <v>0</v>
      </c>
      <c r="AC7" s="188">
        <f>AC5+AC10-AC8+AC62+AC96</f>
        <v>0</v>
      </c>
      <c r="AD7" s="188">
        <f>AD5+AD10-AD8+AD62+AD96</f>
        <v>0</v>
      </c>
      <c r="AE7" s="188">
        <f t="shared" si="6"/>
        <v>0</v>
      </c>
      <c r="AF7" s="188">
        <f t="shared" si="6"/>
        <v>0</v>
      </c>
      <c r="AG7" s="188">
        <f t="shared" si="6"/>
        <v>0</v>
      </c>
      <c r="AH7" s="189">
        <f t="shared" si="6"/>
        <v>0</v>
      </c>
      <c r="AI7" s="190">
        <f>SUM(D7:AH7)</f>
        <v>5062832.6087492434</v>
      </c>
      <c r="AJ7" s="175">
        <f t="shared" ref="AJ7:AJ23" ca="1" si="7">SUM(D7:AH7)/DAY($B$4)*0.001</f>
        <v>202.51330434996973</v>
      </c>
      <c r="AK7" s="176">
        <f t="shared" ref="AK7:AK23" si="8">IFERROR(AVERAGE(D7:AH7)/1000,0)</f>
        <v>163.31718092739496</v>
      </c>
      <c r="AL7" s="177">
        <v>486.99585893662282</v>
      </c>
      <c r="AM7" s="184"/>
      <c r="AN7" s="191" t="s">
        <v>206</v>
      </c>
      <c r="AQ7" s="181"/>
      <c r="AR7" s="151"/>
      <c r="AT7" s="179">
        <f>AT6/1000</f>
        <v>13.642503600450578</v>
      </c>
    </row>
    <row r="8" spans="2:46" s="192" customFormat="1" ht="30" customHeight="1" x14ac:dyDescent="0.45">
      <c r="B8" s="193" t="s">
        <v>207</v>
      </c>
      <c r="C8" s="194"/>
      <c r="D8" s="195">
        <f>D14+D30+D41+D61+D79</f>
        <v>2550</v>
      </c>
      <c r="E8" s="195">
        <f t="shared" ref="E8:AG8" si="9">E14+E30+E41+E61+E79</f>
        <v>2550</v>
      </c>
      <c r="F8" s="195">
        <f>F14+F30+F41+F61+F79</f>
        <v>1779.5070000000001</v>
      </c>
      <c r="G8" s="195">
        <f t="shared" si="9"/>
        <v>0</v>
      </c>
      <c r="H8" s="195">
        <f t="shared" si="9"/>
        <v>0</v>
      </c>
      <c r="I8" s="195">
        <f t="shared" si="9"/>
        <v>0</v>
      </c>
      <c r="J8" s="195">
        <f t="shared" si="9"/>
        <v>0</v>
      </c>
      <c r="K8" s="195">
        <f t="shared" si="9"/>
        <v>0</v>
      </c>
      <c r="L8" s="195">
        <f t="shared" si="9"/>
        <v>0</v>
      </c>
      <c r="M8" s="195">
        <f t="shared" si="9"/>
        <v>0</v>
      </c>
      <c r="N8" s="195">
        <f t="shared" si="9"/>
        <v>0</v>
      </c>
      <c r="O8" s="195">
        <f t="shared" si="9"/>
        <v>0</v>
      </c>
      <c r="P8" s="195">
        <f t="shared" si="9"/>
        <v>0</v>
      </c>
      <c r="Q8" s="195">
        <f t="shared" si="9"/>
        <v>0</v>
      </c>
      <c r="R8" s="195">
        <f t="shared" si="9"/>
        <v>0</v>
      </c>
      <c r="S8" s="195">
        <f t="shared" si="9"/>
        <v>0</v>
      </c>
      <c r="T8" s="195">
        <f t="shared" si="9"/>
        <v>0</v>
      </c>
      <c r="U8" s="195">
        <f t="shared" si="9"/>
        <v>0</v>
      </c>
      <c r="V8" s="195">
        <f t="shared" si="9"/>
        <v>0</v>
      </c>
      <c r="W8" s="195">
        <f t="shared" si="9"/>
        <v>0</v>
      </c>
      <c r="X8" s="195">
        <f t="shared" si="9"/>
        <v>0</v>
      </c>
      <c r="Y8" s="195">
        <f t="shared" si="9"/>
        <v>0</v>
      </c>
      <c r="Z8" s="195">
        <f t="shared" si="9"/>
        <v>0</v>
      </c>
      <c r="AA8" s="195">
        <f t="shared" si="9"/>
        <v>0</v>
      </c>
      <c r="AB8" s="195">
        <f t="shared" si="9"/>
        <v>0</v>
      </c>
      <c r="AC8" s="195">
        <f t="shared" si="9"/>
        <v>0</v>
      </c>
      <c r="AD8" s="195">
        <f t="shared" si="9"/>
        <v>0</v>
      </c>
      <c r="AE8" s="195">
        <f t="shared" si="9"/>
        <v>0</v>
      </c>
      <c r="AF8" s="195">
        <f t="shared" si="9"/>
        <v>0</v>
      </c>
      <c r="AG8" s="195">
        <f t="shared" si="9"/>
        <v>0</v>
      </c>
      <c r="AH8" s="196"/>
      <c r="AI8" s="197">
        <f>SUM(D8:AH8)</f>
        <v>6879.5069999999996</v>
      </c>
      <c r="AJ8" s="198">
        <f t="shared" ca="1" si="7"/>
        <v>0.27518028</v>
      </c>
      <c r="AK8" s="176">
        <f t="shared" si="8"/>
        <v>0.22931689999999996</v>
      </c>
      <c r="AL8" s="199">
        <v>23.773868439124975</v>
      </c>
      <c r="AP8" s="170"/>
      <c r="AQ8" s="200"/>
      <c r="AR8" s="151"/>
    </row>
    <row r="9" spans="2:46" s="192" customFormat="1" ht="30" customHeight="1" x14ac:dyDescent="0.45">
      <c r="B9" s="193" t="s">
        <v>208</v>
      </c>
      <c r="C9" s="194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196"/>
      <c r="AI9" s="202">
        <f>SUM(D9:AH9)</f>
        <v>0</v>
      </c>
      <c r="AJ9" s="198">
        <f t="shared" ca="1" si="7"/>
        <v>0</v>
      </c>
      <c r="AK9" s="176">
        <f t="shared" si="8"/>
        <v>0</v>
      </c>
      <c r="AL9" s="199">
        <v>0</v>
      </c>
      <c r="AP9" s="170"/>
      <c r="AQ9" s="200"/>
      <c r="AR9" s="151"/>
    </row>
    <row r="10" spans="2:46" s="192" customFormat="1" ht="30" customHeight="1" thickBot="1" x14ac:dyDescent="0.5">
      <c r="B10" s="193" t="s">
        <v>209</v>
      </c>
      <c r="C10" s="203"/>
      <c r="D10" s="204">
        <f>D13+D29+D40+D60+D78</f>
        <v>0</v>
      </c>
      <c r="E10" s="204">
        <f t="shared" ref="E10:AG10" si="10">E13+E29+E40+E60+E78</f>
        <v>0</v>
      </c>
      <c r="F10" s="204">
        <f t="shared" si="10"/>
        <v>0</v>
      </c>
      <c r="G10" s="204">
        <f t="shared" si="10"/>
        <v>0</v>
      </c>
      <c r="H10" s="204">
        <f t="shared" si="10"/>
        <v>0</v>
      </c>
      <c r="I10" s="204">
        <f t="shared" si="10"/>
        <v>0</v>
      </c>
      <c r="J10" s="204">
        <f t="shared" si="10"/>
        <v>0</v>
      </c>
      <c r="K10" s="204">
        <f t="shared" si="10"/>
        <v>829.95318770467998</v>
      </c>
      <c r="L10" s="204">
        <f t="shared" si="10"/>
        <v>10852.945838638059</v>
      </c>
      <c r="M10" s="204">
        <f t="shared" si="10"/>
        <v>22948.240908107327</v>
      </c>
      <c r="N10" s="204">
        <f t="shared" si="10"/>
        <v>28310.524535640383</v>
      </c>
      <c r="O10" s="204">
        <f t="shared" si="10"/>
        <v>28722.61787147159</v>
      </c>
      <c r="P10" s="204">
        <f t="shared" si="10"/>
        <v>22456.510913215749</v>
      </c>
      <c r="Q10" s="204">
        <f t="shared" si="10"/>
        <v>25454.446843889207</v>
      </c>
      <c r="R10" s="204">
        <f t="shared" si="10"/>
        <v>0</v>
      </c>
      <c r="S10" s="204">
        <f t="shared" si="10"/>
        <v>0</v>
      </c>
      <c r="T10" s="204">
        <f t="shared" si="10"/>
        <v>0</v>
      </c>
      <c r="U10" s="204">
        <f t="shared" si="10"/>
        <v>0</v>
      </c>
      <c r="V10" s="204">
        <f t="shared" si="10"/>
        <v>0</v>
      </c>
      <c r="W10" s="204">
        <f t="shared" si="10"/>
        <v>0</v>
      </c>
      <c r="X10" s="204">
        <f t="shared" si="10"/>
        <v>0</v>
      </c>
      <c r="Y10" s="204">
        <f t="shared" si="10"/>
        <v>0</v>
      </c>
      <c r="Z10" s="204">
        <f t="shared" si="10"/>
        <v>0</v>
      </c>
      <c r="AA10" s="204">
        <f t="shared" si="10"/>
        <v>0</v>
      </c>
      <c r="AB10" s="204">
        <f t="shared" si="10"/>
        <v>0</v>
      </c>
      <c r="AC10" s="204">
        <f t="shared" si="10"/>
        <v>0</v>
      </c>
      <c r="AD10" s="204">
        <f t="shared" si="10"/>
        <v>0</v>
      </c>
      <c r="AE10" s="204">
        <f t="shared" si="10"/>
        <v>0</v>
      </c>
      <c r="AF10" s="204">
        <f t="shared" si="10"/>
        <v>0</v>
      </c>
      <c r="AG10" s="204">
        <f t="shared" si="10"/>
        <v>0</v>
      </c>
      <c r="AH10" s="205"/>
      <c r="AI10" s="206">
        <f t="shared" ref="AI10" si="11">AI13+AI29+AI40+AI78</f>
        <v>139575.24009866701</v>
      </c>
      <c r="AJ10" s="198">
        <f t="shared" ca="1" si="7"/>
        <v>5.583009603946679</v>
      </c>
      <c r="AK10" s="176">
        <f t="shared" si="8"/>
        <v>4.652508003288899</v>
      </c>
      <c r="AL10" s="199">
        <v>3.2052503673952657</v>
      </c>
      <c r="AP10" s="170"/>
      <c r="AQ10" s="200"/>
      <c r="AR10" s="151"/>
    </row>
    <row r="11" spans="2:46" s="170" customFormat="1" ht="42" customHeight="1" x14ac:dyDescent="0.25">
      <c r="B11" s="185" t="s">
        <v>210</v>
      </c>
      <c r="C11" s="186"/>
      <c r="D11" s="187">
        <f t="shared" ref="D11:AI11" si="12">D12+D25+D28+D36+D37</f>
        <v>47118.082053459802</v>
      </c>
      <c r="E11" s="188">
        <f t="shared" si="12"/>
        <v>50812.777123728032</v>
      </c>
      <c r="F11" s="188">
        <f t="shared" si="12"/>
        <v>74125.414675766777</v>
      </c>
      <c r="G11" s="188">
        <f t="shared" si="12"/>
        <v>79292.845580507754</v>
      </c>
      <c r="H11" s="188">
        <f t="shared" si="12"/>
        <v>79128.278872929237</v>
      </c>
      <c r="I11" s="188">
        <f t="shared" si="12"/>
        <v>77053.984509680042</v>
      </c>
      <c r="J11" s="188">
        <f t="shared" si="12"/>
        <v>77715.626712758763</v>
      </c>
      <c r="K11" s="188">
        <f t="shared" si="12"/>
        <v>78606.953592015852</v>
      </c>
      <c r="L11" s="188">
        <f t="shared" si="12"/>
        <v>90397.998788574841</v>
      </c>
      <c r="M11" s="188">
        <f>M12+M25+M28+M36+M37</f>
        <v>98175.477053047609</v>
      </c>
      <c r="N11" s="188">
        <f>N12+N25+N28+N36+N37</f>
        <v>98759.875404110819</v>
      </c>
      <c r="O11" s="188">
        <f t="shared" si="12"/>
        <v>96809.67449000242</v>
      </c>
      <c r="P11" s="188">
        <f t="shared" si="12"/>
        <v>99192.90712651264</v>
      </c>
      <c r="Q11" s="188">
        <f t="shared" si="12"/>
        <v>97791.846419565991</v>
      </c>
      <c r="R11" s="188">
        <f>R12+R25+R28+R36+R37</f>
        <v>0</v>
      </c>
      <c r="S11" s="188">
        <f t="shared" si="12"/>
        <v>0</v>
      </c>
      <c r="T11" s="188">
        <f t="shared" si="12"/>
        <v>0</v>
      </c>
      <c r="U11" s="188">
        <f t="shared" si="12"/>
        <v>0</v>
      </c>
      <c r="V11" s="188">
        <f t="shared" si="12"/>
        <v>0</v>
      </c>
      <c r="W11" s="188">
        <f t="shared" si="12"/>
        <v>0</v>
      </c>
      <c r="X11" s="188">
        <f t="shared" si="12"/>
        <v>0</v>
      </c>
      <c r="Y11" s="188">
        <f>Y12+Y25+Y28+Y36+Y37</f>
        <v>0</v>
      </c>
      <c r="Z11" s="188">
        <f t="shared" si="12"/>
        <v>0</v>
      </c>
      <c r="AA11" s="188">
        <f t="shared" si="12"/>
        <v>0</v>
      </c>
      <c r="AB11" s="188">
        <f t="shared" si="12"/>
        <v>0</v>
      </c>
      <c r="AC11" s="188">
        <f t="shared" si="12"/>
        <v>0</v>
      </c>
      <c r="AD11" s="188">
        <f t="shared" si="12"/>
        <v>0</v>
      </c>
      <c r="AE11" s="188">
        <f t="shared" si="12"/>
        <v>0</v>
      </c>
      <c r="AF11" s="188">
        <f t="shared" si="12"/>
        <v>0</v>
      </c>
      <c r="AG11" s="188">
        <f t="shared" si="12"/>
        <v>0</v>
      </c>
      <c r="AH11" s="189">
        <f t="shared" si="12"/>
        <v>0</v>
      </c>
      <c r="AI11" s="190">
        <f t="shared" si="12"/>
        <v>1144981.7424026604</v>
      </c>
      <c r="AJ11" s="198">
        <f ca="1">SUM(D11:AH11)/DAY($B$4)*0.001</f>
        <v>45.799269696106428</v>
      </c>
      <c r="AK11" s="176">
        <f t="shared" si="8"/>
        <v>36.934894916214859</v>
      </c>
      <c r="AL11" s="177">
        <v>89.915607451963155</v>
      </c>
      <c r="AQ11" s="181"/>
      <c r="AR11" s="151"/>
    </row>
    <row r="12" spans="2:46" s="160" customFormat="1" ht="42" customHeight="1" x14ac:dyDescent="0.25">
      <c r="B12" s="207" t="s">
        <v>211</v>
      </c>
      <c r="C12" s="208"/>
      <c r="D12" s="209">
        <f t="shared" ref="D12:AI12" si="13">D15+D13-D14</f>
        <v>38089.64256176255</v>
      </c>
      <c r="E12" s="210">
        <f t="shared" si="13"/>
        <v>41796.89470151261</v>
      </c>
      <c r="F12" s="210">
        <f t="shared" si="13"/>
        <v>64155.904797508367</v>
      </c>
      <c r="G12" s="210">
        <f t="shared" si="13"/>
        <v>69320.485072763637</v>
      </c>
      <c r="H12" s="210">
        <f t="shared" si="13"/>
        <v>69170.793309118453</v>
      </c>
      <c r="I12" s="210">
        <f t="shared" si="13"/>
        <v>69089.798168629524</v>
      </c>
      <c r="J12" s="210">
        <f t="shared" si="13"/>
        <v>69756.596352718319</v>
      </c>
      <c r="K12" s="210">
        <f t="shared" si="13"/>
        <v>68650.796497434494</v>
      </c>
      <c r="L12" s="210">
        <f t="shared" si="13"/>
        <v>80442.264941118818</v>
      </c>
      <c r="M12" s="210">
        <f t="shared" si="13"/>
        <v>88221.339272274214</v>
      </c>
      <c r="N12" s="210">
        <f>N15+N13-N14</f>
        <v>88807.232755253703</v>
      </c>
      <c r="O12" s="210">
        <f t="shared" si="13"/>
        <v>86874.853664442344</v>
      </c>
      <c r="P12" s="210">
        <f t="shared" si="13"/>
        <v>89260.018383918825</v>
      </c>
      <c r="Q12" s="210">
        <f t="shared" si="13"/>
        <v>87861.847877189124</v>
      </c>
      <c r="R12" s="210">
        <f t="shared" si="13"/>
        <v>0</v>
      </c>
      <c r="S12" s="210">
        <f t="shared" si="13"/>
        <v>0</v>
      </c>
      <c r="T12" s="210">
        <f t="shared" si="13"/>
        <v>0</v>
      </c>
      <c r="U12" s="210">
        <f t="shared" si="13"/>
        <v>0</v>
      </c>
      <c r="V12" s="210">
        <f t="shared" si="13"/>
        <v>0</v>
      </c>
      <c r="W12" s="210">
        <f t="shared" si="13"/>
        <v>0</v>
      </c>
      <c r="X12" s="210">
        <f t="shared" si="13"/>
        <v>0</v>
      </c>
      <c r="Y12" s="210">
        <f t="shared" si="13"/>
        <v>0</v>
      </c>
      <c r="Z12" s="210">
        <f t="shared" si="13"/>
        <v>0</v>
      </c>
      <c r="AA12" s="210">
        <f t="shared" si="13"/>
        <v>0</v>
      </c>
      <c r="AB12" s="210">
        <f t="shared" si="13"/>
        <v>0</v>
      </c>
      <c r="AC12" s="210">
        <f t="shared" si="13"/>
        <v>0</v>
      </c>
      <c r="AD12" s="210">
        <f t="shared" si="13"/>
        <v>0</v>
      </c>
      <c r="AE12" s="210">
        <f t="shared" si="13"/>
        <v>0</v>
      </c>
      <c r="AF12" s="210">
        <f t="shared" si="13"/>
        <v>0</v>
      </c>
      <c r="AG12" s="210">
        <f t="shared" si="13"/>
        <v>0</v>
      </c>
      <c r="AH12" s="211">
        <f t="shared" si="13"/>
        <v>0</v>
      </c>
      <c r="AI12" s="212">
        <f t="shared" si="13"/>
        <v>1011498.4683556448</v>
      </c>
      <c r="AJ12" s="198">
        <f ca="1">SUM(D12:AH12)/DAY($B$4)*0.001</f>
        <v>40.459938734225794</v>
      </c>
      <c r="AK12" s="176">
        <f t="shared" si="8"/>
        <v>32.628982850182091</v>
      </c>
      <c r="AL12" s="177">
        <v>54.905273454505831</v>
      </c>
      <c r="AP12" s="170"/>
      <c r="AQ12" s="181"/>
      <c r="AR12" s="151"/>
    </row>
    <row r="13" spans="2:46" s="192" customFormat="1" ht="30" customHeight="1" x14ac:dyDescent="0.45">
      <c r="B13" s="213" t="s">
        <v>212</v>
      </c>
      <c r="C13" s="214"/>
      <c r="D13" s="215">
        <v>0</v>
      </c>
      <c r="E13" s="216">
        <v>0</v>
      </c>
      <c r="F13" s="216">
        <v>0</v>
      </c>
      <c r="G13" s="216">
        <v>0</v>
      </c>
      <c r="H13" s="216">
        <v>0</v>
      </c>
      <c r="I13" s="216">
        <v>0</v>
      </c>
      <c r="J13" s="216">
        <v>0</v>
      </c>
      <c r="K13" s="216">
        <v>120.58712478761601</v>
      </c>
      <c r="L13" s="216">
        <v>1635.1486985045999</v>
      </c>
      <c r="M13" s="216">
        <v>4534.3289919967292</v>
      </c>
      <c r="N13" s="216">
        <v>6009.9986313330392</v>
      </c>
      <c r="O13" s="216">
        <v>6797.4254977823903</v>
      </c>
      <c r="P13" s="216">
        <v>4571.5835908565496</v>
      </c>
      <c r="Q13" s="216">
        <v>6581.11910991679</v>
      </c>
      <c r="R13" s="216">
        <v>0</v>
      </c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7">
        <f t="shared" ref="AI13:AI23" si="14">SUM(D13:AH13)</f>
        <v>30250.191645177714</v>
      </c>
      <c r="AJ13" s="198">
        <f t="shared" ca="1" si="7"/>
        <v>1.2100076658071086</v>
      </c>
      <c r="AK13" s="176">
        <f t="shared" si="8"/>
        <v>2.0166794430118475</v>
      </c>
      <c r="AL13" s="199">
        <v>2.4310112222943174</v>
      </c>
      <c r="AP13" s="170"/>
      <c r="AQ13" s="200" t="str">
        <f>'[2]ОПЕРАТИВКА пн-пн'!B16</f>
        <v>ГИС ВЕЛКЕ КАПУШАНЫ - ПОДАЧА РЕСУРСА ЗАКАЧКА в ПХГ</v>
      </c>
      <c r="AR13" s="151"/>
    </row>
    <row r="14" spans="2:46" s="192" customFormat="1" ht="30" customHeight="1" x14ac:dyDescent="0.45">
      <c r="B14" s="213" t="s">
        <v>213</v>
      </c>
      <c r="C14" s="214"/>
      <c r="D14" s="215">
        <v>0</v>
      </c>
      <c r="E14" s="216">
        <v>0</v>
      </c>
      <c r="F14" s="216">
        <v>0</v>
      </c>
      <c r="G14" s="216">
        <v>0</v>
      </c>
      <c r="H14" s="216">
        <v>0</v>
      </c>
      <c r="I14" s="216">
        <v>0</v>
      </c>
      <c r="J14" s="216">
        <v>0</v>
      </c>
      <c r="K14" s="216">
        <v>0</v>
      </c>
      <c r="L14" s="216">
        <v>0</v>
      </c>
      <c r="M14" s="216">
        <v>0</v>
      </c>
      <c r="N14" s="216">
        <v>0</v>
      </c>
      <c r="O14" s="216">
        <v>0</v>
      </c>
      <c r="P14" s="216">
        <v>0</v>
      </c>
      <c r="Q14" s="216">
        <v>0</v>
      </c>
      <c r="R14" s="216">
        <v>0</v>
      </c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7">
        <f t="shared" si="14"/>
        <v>0</v>
      </c>
      <c r="AJ14" s="198">
        <f ca="1">SUM(D14:AH14)/DAY($B$4)*0.001</f>
        <v>0</v>
      </c>
      <c r="AK14" s="176">
        <f t="shared" si="8"/>
        <v>0</v>
      </c>
      <c r="AL14" s="199">
        <v>9.513525328410676</v>
      </c>
      <c r="AP14" s="170"/>
      <c r="AQ14" s="200" t="str">
        <f>'[2]ОПЕРАТИВКА пн-пн'!B18</f>
        <v>ГИС ВЕЛКЕ КАПУШАНЫ - ПОДАЧА РЕСУРСА ОТБОР из ПХГ</v>
      </c>
      <c r="AR14" s="151"/>
    </row>
    <row r="15" spans="2:46" s="156" customFormat="1" ht="30" customHeight="1" x14ac:dyDescent="0.45">
      <c r="B15" s="213" t="s">
        <v>214</v>
      </c>
      <c r="C15" s="214"/>
      <c r="D15" s="218">
        <f t="shared" ref="D15:AH15" si="15">SUM(D16:D24)</f>
        <v>38089.64256176255</v>
      </c>
      <c r="E15" s="219">
        <f t="shared" si="15"/>
        <v>41796.89470151261</v>
      </c>
      <c r="F15" s="219">
        <f t="shared" si="15"/>
        <v>64155.904797508367</v>
      </c>
      <c r="G15" s="219">
        <f t="shared" si="15"/>
        <v>69320.485072763637</v>
      </c>
      <c r="H15" s="219">
        <f t="shared" si="15"/>
        <v>69170.793309118453</v>
      </c>
      <c r="I15" s="219">
        <f t="shared" si="15"/>
        <v>69089.798168629524</v>
      </c>
      <c r="J15" s="219">
        <f t="shared" si="15"/>
        <v>69756.596352718319</v>
      </c>
      <c r="K15" s="219">
        <f t="shared" si="15"/>
        <v>68530.209372646874</v>
      </c>
      <c r="L15" s="219">
        <f t="shared" si="15"/>
        <v>78807.116242614211</v>
      </c>
      <c r="M15" s="219">
        <f>SUM(M16:M24)</f>
        <v>83687.010280277478</v>
      </c>
      <c r="N15" s="219">
        <f t="shared" si="15"/>
        <v>82797.234123920658</v>
      </c>
      <c r="O15" s="219">
        <f t="shared" si="15"/>
        <v>80077.428166659956</v>
      </c>
      <c r="P15" s="219">
        <f t="shared" si="15"/>
        <v>84688.434793062275</v>
      </c>
      <c r="Q15" s="219">
        <f t="shared" si="15"/>
        <v>81280.728767272332</v>
      </c>
      <c r="R15" s="219">
        <f t="shared" si="15"/>
        <v>0</v>
      </c>
      <c r="S15" s="219">
        <f t="shared" si="15"/>
        <v>0</v>
      </c>
      <c r="T15" s="219">
        <f t="shared" si="15"/>
        <v>0</v>
      </c>
      <c r="U15" s="219">
        <f t="shared" si="15"/>
        <v>0</v>
      </c>
      <c r="V15" s="219">
        <f t="shared" si="15"/>
        <v>0</v>
      </c>
      <c r="W15" s="219">
        <f t="shared" si="15"/>
        <v>0</v>
      </c>
      <c r="X15" s="219">
        <f t="shared" si="15"/>
        <v>0</v>
      </c>
      <c r="Y15" s="219">
        <f t="shared" si="15"/>
        <v>0</v>
      </c>
      <c r="Z15" s="219">
        <f t="shared" si="15"/>
        <v>0</v>
      </c>
      <c r="AA15" s="219">
        <f t="shared" si="15"/>
        <v>0</v>
      </c>
      <c r="AB15" s="219">
        <f t="shared" si="15"/>
        <v>0</v>
      </c>
      <c r="AC15" s="219">
        <f t="shared" si="15"/>
        <v>0</v>
      </c>
      <c r="AD15" s="219">
        <f t="shared" si="15"/>
        <v>0</v>
      </c>
      <c r="AE15" s="219">
        <f t="shared" si="15"/>
        <v>0</v>
      </c>
      <c r="AF15" s="219">
        <f t="shared" si="15"/>
        <v>0</v>
      </c>
      <c r="AG15" s="219">
        <f t="shared" si="15"/>
        <v>0</v>
      </c>
      <c r="AH15" s="219">
        <f t="shared" si="15"/>
        <v>0</v>
      </c>
      <c r="AI15" s="220">
        <f t="shared" si="14"/>
        <v>981248.27671046718</v>
      </c>
      <c r="AJ15" s="198">
        <f t="shared" ca="1" si="7"/>
        <v>39.24993106841869</v>
      </c>
      <c r="AK15" s="176">
        <f t="shared" si="8"/>
        <v>31.653170216466684</v>
      </c>
      <c r="AL15" s="199">
        <v>61.987787560622174</v>
      </c>
      <c r="AP15" s="160"/>
      <c r="AQ15" s="221"/>
      <c r="AR15" s="151"/>
    </row>
    <row r="16" spans="2:46" s="192" customFormat="1" ht="30" customHeight="1" x14ac:dyDescent="0.45">
      <c r="B16" s="213" t="s">
        <v>215</v>
      </c>
      <c r="C16" s="214"/>
      <c r="D16" s="215">
        <v>9363.1180346556703</v>
      </c>
      <c r="E16" s="216">
        <v>9359.5086981358309</v>
      </c>
      <c r="F16" s="216">
        <v>9615.1431722424186</v>
      </c>
      <c r="G16" s="216">
        <v>9756.6180401792299</v>
      </c>
      <c r="H16" s="216">
        <v>9860.7518815429703</v>
      </c>
      <c r="I16" s="216">
        <v>9861.46694529468</v>
      </c>
      <c r="J16" s="216">
        <v>9868.7361057937705</v>
      </c>
      <c r="K16" s="216">
        <v>9859.9028969421106</v>
      </c>
      <c r="L16" s="216">
        <v>9936.2640899943217</v>
      </c>
      <c r="M16" s="216">
        <v>9916.210913764291</v>
      </c>
      <c r="N16" s="216">
        <v>9854.0119845849313</v>
      </c>
      <c r="O16" s="216">
        <v>9852.1121360498801</v>
      </c>
      <c r="P16" s="216">
        <v>10012.2134016161</v>
      </c>
      <c r="Q16" s="216">
        <v>10023.2426806943</v>
      </c>
      <c r="R16" s="216">
        <v>0</v>
      </c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7">
        <f t="shared" si="14"/>
        <v>137139.30098149049</v>
      </c>
      <c r="AJ16" s="198">
        <f t="shared" ca="1" si="7"/>
        <v>5.4855720392596199</v>
      </c>
      <c r="AK16" s="176">
        <f t="shared" si="8"/>
        <v>9.1426200654327001</v>
      </c>
      <c r="AL16" s="222">
        <v>15.288865509086403</v>
      </c>
      <c r="AP16" s="170"/>
      <c r="AQ16" s="200" t="str">
        <f>'[2]ОПЕРАТИВКА пн-пн'!B21</f>
        <v>ГИС ВЕЛКЕ КАПУШАНЫ - ПОДАЧА РЕСУРСА СЛОВАКИЯ</v>
      </c>
      <c r="AR16" s="151"/>
    </row>
    <row r="17" spans="2:44" s="192" customFormat="1" ht="30" customHeight="1" x14ac:dyDescent="0.35">
      <c r="B17" s="213" t="s">
        <v>216</v>
      </c>
      <c r="C17" s="214"/>
      <c r="D17" s="215">
        <v>0</v>
      </c>
      <c r="E17" s="216">
        <v>0</v>
      </c>
      <c r="F17" s="216">
        <v>0</v>
      </c>
      <c r="G17" s="216">
        <v>0</v>
      </c>
      <c r="H17" s="216">
        <v>0</v>
      </c>
      <c r="I17" s="216">
        <v>0</v>
      </c>
      <c r="J17" s="216">
        <v>0</v>
      </c>
      <c r="K17" s="216">
        <v>0</v>
      </c>
      <c r="L17" s="216">
        <v>0</v>
      </c>
      <c r="M17" s="216">
        <v>0</v>
      </c>
      <c r="N17" s="216">
        <v>0</v>
      </c>
      <c r="O17" s="216">
        <v>0</v>
      </c>
      <c r="P17" s="216">
        <v>0</v>
      </c>
      <c r="Q17" s="216">
        <v>0</v>
      </c>
      <c r="R17" s="216">
        <v>0</v>
      </c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7">
        <f t="shared" si="14"/>
        <v>0</v>
      </c>
      <c r="AJ17" s="198">
        <f t="shared" ca="1" si="7"/>
        <v>0</v>
      </c>
      <c r="AK17" s="176">
        <f t="shared" si="8"/>
        <v>0</v>
      </c>
      <c r="AL17" s="223">
        <v>0</v>
      </c>
      <c r="AP17" s="170"/>
      <c r="AQ17" s="200" t="str">
        <f>'[2]ОПЕРАТИВКА пн-пн'!B22</f>
        <v>ГИС ВЕЛКЕ КАПУШАНЫ - ПОДАЧА РЕСУРСА ЧEXИЯ</v>
      </c>
      <c r="AR17" s="151"/>
    </row>
    <row r="18" spans="2:44" s="192" customFormat="1" ht="30" customHeight="1" x14ac:dyDescent="0.35">
      <c r="B18" s="213" t="s">
        <v>217</v>
      </c>
      <c r="C18" s="214"/>
      <c r="D18" s="215">
        <v>19045.8908814889</v>
      </c>
      <c r="E18" s="216">
        <v>19045.556339721097</v>
      </c>
      <c r="F18" s="216">
        <v>19056.218557576598</v>
      </c>
      <c r="G18" s="216">
        <v>19061.165187842198</v>
      </c>
      <c r="H18" s="216">
        <v>19061.4650661548</v>
      </c>
      <c r="I18" s="216">
        <v>19065.664353491004</v>
      </c>
      <c r="J18" s="216">
        <v>19072.022418136003</v>
      </c>
      <c r="K18" s="216">
        <v>19033.028506701899</v>
      </c>
      <c r="L18" s="216">
        <v>19033.7771135043</v>
      </c>
      <c r="M18" s="216">
        <v>19041.266421663098</v>
      </c>
      <c r="N18" s="216">
        <v>19032.5793708852</v>
      </c>
      <c r="O18" s="216">
        <v>19027.6402755497</v>
      </c>
      <c r="P18" s="216">
        <v>19026.293694416301</v>
      </c>
      <c r="Q18" s="216">
        <v>19011.9420125875</v>
      </c>
      <c r="R18" s="216">
        <v>0</v>
      </c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7">
        <f t="shared" si="14"/>
        <v>266614.51019971858</v>
      </c>
      <c r="AJ18" s="198">
        <f ca="1">SUM(D18:AH18)/DAY($B$4)*0.001</f>
        <v>10.664580407988744</v>
      </c>
      <c r="AK18" s="176">
        <f t="shared" si="8"/>
        <v>17.774300679981238</v>
      </c>
      <c r="AL18" s="223">
        <v>28.382377616235225</v>
      </c>
      <c r="AP18" s="170"/>
      <c r="AQ18" s="200" t="str">
        <f>'[2]ОПЕРАТИВКА пн-пн'!B23</f>
        <v>ГИС ВЕЛКЕ КАПУШАНЫ - ПОДАЧА РЕСУРСА ABCTPИЯ</v>
      </c>
      <c r="AR18" s="151"/>
    </row>
    <row r="19" spans="2:44" s="192" customFormat="1" ht="30" customHeight="1" x14ac:dyDescent="0.35">
      <c r="B19" s="213" t="s">
        <v>218</v>
      </c>
      <c r="C19" s="214"/>
      <c r="D19" s="215">
        <v>6732.58004427795</v>
      </c>
      <c r="E19" s="224">
        <v>10417.031542033101</v>
      </c>
      <c r="F19" s="224">
        <v>32462.432137451302</v>
      </c>
      <c r="G19" s="224">
        <v>37462.2518730601</v>
      </c>
      <c r="H19" s="216">
        <v>37198.743502682097</v>
      </c>
      <c r="I19" s="216">
        <v>37160.715588155705</v>
      </c>
      <c r="J19" s="216">
        <v>37794.780492516504</v>
      </c>
      <c r="K19" s="216">
        <v>36606.279290505598</v>
      </c>
      <c r="L19" s="216">
        <v>46740.342709010103</v>
      </c>
      <c r="M19" s="216">
        <v>51604.372792811504</v>
      </c>
      <c r="N19" s="216">
        <v>50764.487731520101</v>
      </c>
      <c r="O19" s="216">
        <v>48043.713124127105</v>
      </c>
      <c r="P19" s="216">
        <v>52542.4365786321</v>
      </c>
      <c r="Q19" s="216">
        <v>49178.3082820852</v>
      </c>
      <c r="R19" s="216">
        <v>0</v>
      </c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7">
        <f t="shared" si="14"/>
        <v>534708.47568886844</v>
      </c>
      <c r="AJ19" s="198">
        <f ca="1">SUM(D19:AH19)/DAY($B$4)*0.001</f>
        <v>21.388339027554739</v>
      </c>
      <c r="AK19" s="176">
        <f t="shared" si="8"/>
        <v>35.647231712591228</v>
      </c>
      <c r="AL19" s="223">
        <v>9.373766869300276</v>
      </c>
      <c r="AP19" s="170"/>
      <c r="AQ19" s="200" t="str">
        <f>'[2]ОПЕРАТИВКА пн-пн'!B24</f>
        <v>ГИС ВЕЛКЕ КАПУШАНЫ - ПОДАЧА РЕСУРСА ИTAЛИЯ</v>
      </c>
      <c r="AR19" s="151"/>
    </row>
    <row r="20" spans="2:44" s="192" customFormat="1" ht="30" customHeight="1" x14ac:dyDescent="0.35">
      <c r="B20" s="213" t="s">
        <v>219</v>
      </c>
      <c r="C20" s="214"/>
      <c r="D20" s="215">
        <v>0</v>
      </c>
      <c r="E20" s="224">
        <v>0</v>
      </c>
      <c r="F20" s="224">
        <v>0</v>
      </c>
      <c r="G20" s="224">
        <v>0</v>
      </c>
      <c r="H20" s="216">
        <v>0</v>
      </c>
      <c r="I20" s="216">
        <v>0</v>
      </c>
      <c r="J20" s="216">
        <v>0</v>
      </c>
      <c r="K20" s="216">
        <v>0</v>
      </c>
      <c r="L20" s="216">
        <v>0</v>
      </c>
      <c r="M20" s="216">
        <v>0</v>
      </c>
      <c r="N20" s="216">
        <v>0</v>
      </c>
      <c r="O20" s="216">
        <v>0</v>
      </c>
      <c r="P20" s="216">
        <v>0</v>
      </c>
      <c r="Q20" s="216">
        <v>0</v>
      </c>
      <c r="R20" s="216">
        <v>0</v>
      </c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7">
        <f t="shared" si="14"/>
        <v>0</v>
      </c>
      <c r="AJ20" s="198">
        <f t="shared" ca="1" si="7"/>
        <v>0</v>
      </c>
      <c r="AK20" s="176">
        <f t="shared" si="8"/>
        <v>0</v>
      </c>
      <c r="AL20" s="223">
        <v>5.86713759428382</v>
      </c>
      <c r="AP20" s="170"/>
      <c r="AQ20" s="200" t="str">
        <f>'[2]ОПЕРАТИВКА пн-пн'!B25</f>
        <v>ГИС ВЕЛКЕ КАПУШАНЫ - ПОДАЧА РЕСУРСА ФPAHЦИЯ</v>
      </c>
      <c r="AR20" s="151"/>
    </row>
    <row r="21" spans="2:44" s="192" customFormat="1" ht="30" customHeight="1" x14ac:dyDescent="0.35">
      <c r="B21" s="213" t="s">
        <v>220</v>
      </c>
      <c r="C21" s="214"/>
      <c r="D21" s="215">
        <v>1020.6702054875301</v>
      </c>
      <c r="E21" s="216">
        <v>1046.9599074969899</v>
      </c>
      <c r="F21" s="216">
        <v>1094.7275343855501</v>
      </c>
      <c r="G21" s="216">
        <v>1112.5662639229802</v>
      </c>
      <c r="H21" s="216">
        <v>1121.91882069758</v>
      </c>
      <c r="I21" s="216">
        <v>1073.6125194731601</v>
      </c>
      <c r="J21" s="216">
        <v>1091.8381926952102</v>
      </c>
      <c r="K21" s="216">
        <v>1103.1149707381501</v>
      </c>
      <c r="L21" s="216">
        <v>1168.7727948522199</v>
      </c>
      <c r="M21" s="216">
        <v>1196.4420136456999</v>
      </c>
      <c r="N21" s="216">
        <v>1218.3168228048301</v>
      </c>
      <c r="O21" s="216">
        <v>1226.6247051052098</v>
      </c>
      <c r="P21" s="216">
        <v>1180.28958977141</v>
      </c>
      <c r="Q21" s="216">
        <v>1141.4879664333</v>
      </c>
      <c r="R21" s="216">
        <v>0</v>
      </c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7">
        <f t="shared" si="14"/>
        <v>15797.342307509824</v>
      </c>
      <c r="AJ21" s="198">
        <f t="shared" ca="1" si="7"/>
        <v>0.63189369230039294</v>
      </c>
      <c r="AK21" s="176">
        <f t="shared" si="8"/>
        <v>1.0531561538339882</v>
      </c>
      <c r="AL21" s="223">
        <v>1.0853807044401058</v>
      </c>
      <c r="AP21" s="170"/>
      <c r="AQ21" s="200" t="str">
        <f>'[2]ОПЕРАТИВКА пн-пн'!B26</f>
        <v>ГИС ВЕЛКЕ КАПУШАНЫ - ПОДАЧА РЕСУРСА ГЕРМАНИЯ</v>
      </c>
      <c r="AR21" s="151"/>
    </row>
    <row r="22" spans="2:44" s="192" customFormat="1" ht="30" customHeight="1" x14ac:dyDescent="0.35">
      <c r="B22" s="213" t="s">
        <v>221</v>
      </c>
      <c r="C22" s="214"/>
      <c r="D22" s="215">
        <v>0</v>
      </c>
      <c r="E22" s="224">
        <v>0</v>
      </c>
      <c r="F22" s="216">
        <v>0</v>
      </c>
      <c r="G22" s="224">
        <v>0</v>
      </c>
      <c r="H22" s="216">
        <v>0</v>
      </c>
      <c r="I22" s="216">
        <v>0</v>
      </c>
      <c r="J22" s="216">
        <v>0</v>
      </c>
      <c r="K22" s="216">
        <v>0</v>
      </c>
      <c r="L22" s="216">
        <v>0</v>
      </c>
      <c r="M22" s="216">
        <v>0</v>
      </c>
      <c r="N22" s="216">
        <v>0</v>
      </c>
      <c r="O22" s="216">
        <v>0</v>
      </c>
      <c r="P22" s="216">
        <v>0</v>
      </c>
      <c r="Q22" s="216">
        <v>0</v>
      </c>
      <c r="R22" s="216">
        <v>0</v>
      </c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7">
        <f t="shared" si="14"/>
        <v>0</v>
      </c>
      <c r="AJ22" s="198">
        <f t="shared" ca="1" si="7"/>
        <v>0</v>
      </c>
      <c r="AK22" s="176">
        <f t="shared" si="8"/>
        <v>0</v>
      </c>
      <c r="AL22" s="223">
        <v>1.4821557494192286</v>
      </c>
      <c r="AP22" s="170"/>
      <c r="AQ22" s="200" t="str">
        <f>'[2]ОПЕРАТИВКА пн-пн'!B27</f>
        <v>ГИС ВЕЛКЕ КАПУШАНЫ - ПОДАЧА РЕСУРСА ВЕНГРИЯ</v>
      </c>
      <c r="AR22" s="151"/>
    </row>
    <row r="23" spans="2:44" s="192" customFormat="1" ht="30" customHeight="1" x14ac:dyDescent="0.35">
      <c r="B23" s="213" t="s">
        <v>222</v>
      </c>
      <c r="C23" s="214"/>
      <c r="D23" s="215">
        <v>1927.3833958524999</v>
      </c>
      <c r="E23" s="224">
        <v>1927.8382141255902</v>
      </c>
      <c r="F23" s="216">
        <v>1927.3833958524999</v>
      </c>
      <c r="G23" s="224">
        <v>1927.8837077591099</v>
      </c>
      <c r="H23" s="216">
        <v>1927.9140380410001</v>
      </c>
      <c r="I23" s="216">
        <v>1928.3387622149799</v>
      </c>
      <c r="J23" s="216">
        <v>1929.21914357683</v>
      </c>
      <c r="K23" s="216">
        <v>1927.8837077591099</v>
      </c>
      <c r="L23" s="216">
        <v>1927.9595352532599</v>
      </c>
      <c r="M23" s="216">
        <v>1928.7181383928901</v>
      </c>
      <c r="N23" s="216">
        <v>1927.8382141255902</v>
      </c>
      <c r="O23" s="216">
        <v>1927.3379258280602</v>
      </c>
      <c r="P23" s="216">
        <v>1927.20152862636</v>
      </c>
      <c r="Q23" s="216">
        <v>1925.7478254720299</v>
      </c>
      <c r="R23" s="216">
        <v>0</v>
      </c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7">
        <f t="shared" si="14"/>
        <v>26988.647532879811</v>
      </c>
      <c r="AJ23" s="198">
        <f t="shared" ca="1" si="7"/>
        <v>1.0795459013151925</v>
      </c>
      <c r="AK23" s="176">
        <f t="shared" si="8"/>
        <v>1.7992431688586541</v>
      </c>
      <c r="AL23" s="223">
        <v>0.50810351785714281</v>
      </c>
      <c r="AP23" s="170"/>
      <c r="AQ23" s="200" t="str">
        <f>'[2]ОПЕРАТИВКА пн-пн'!B28</f>
        <v>ГИС ВЕЛКЕ КАПУШАНЫ - ПОДАЧА РЕСУРСА CЛOBEHИЯ</v>
      </c>
      <c r="AR23" s="151"/>
    </row>
    <row r="24" spans="2:44" s="192" customFormat="1" ht="30" customHeight="1" x14ac:dyDescent="0.35">
      <c r="B24" s="213" t="s">
        <v>223</v>
      </c>
      <c r="C24" s="214"/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/>
      <c r="T24" s="224"/>
      <c r="U24" s="224"/>
      <c r="V24" s="224"/>
      <c r="W24" s="224"/>
      <c r="X24" s="216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17"/>
      <c r="AJ24" s="225"/>
      <c r="AK24" s="176"/>
      <c r="AL24" s="223"/>
      <c r="AP24" s="170"/>
      <c r="AQ24" s="200" t="str">
        <f>'[2]ОПЕРАТИВКА пн-пн'!B29</f>
        <v>ГИС ВЕЛКЕ КАПУШАНЫ - ПОДАЧА РЕСУРСА НИДЕРЛАНДЫ</v>
      </c>
      <c r="AR24" s="151"/>
    </row>
    <row r="25" spans="2:44" s="170" customFormat="1" ht="42" customHeight="1" x14ac:dyDescent="0.35">
      <c r="B25" s="226" t="s">
        <v>224</v>
      </c>
      <c r="C25" s="227"/>
      <c r="D25" s="228">
        <f>D26+D27</f>
        <v>0</v>
      </c>
      <c r="E25" s="228">
        <f t="shared" ref="E25:AH25" si="16">E26+E27</f>
        <v>0</v>
      </c>
      <c r="F25" s="228">
        <f t="shared" si="16"/>
        <v>0</v>
      </c>
      <c r="G25" s="228">
        <f t="shared" si="16"/>
        <v>0</v>
      </c>
      <c r="H25" s="228">
        <f t="shared" si="16"/>
        <v>0</v>
      </c>
      <c r="I25" s="228">
        <f t="shared" si="16"/>
        <v>0</v>
      </c>
      <c r="J25" s="228">
        <f t="shared" si="16"/>
        <v>0</v>
      </c>
      <c r="K25" s="228">
        <f t="shared" si="16"/>
        <v>0</v>
      </c>
      <c r="L25" s="228">
        <f t="shared" si="16"/>
        <v>0</v>
      </c>
      <c r="M25" s="228">
        <f t="shared" si="16"/>
        <v>0</v>
      </c>
      <c r="N25" s="228">
        <f t="shared" si="16"/>
        <v>0</v>
      </c>
      <c r="O25" s="228">
        <f t="shared" si="16"/>
        <v>0</v>
      </c>
      <c r="P25" s="228">
        <f t="shared" si="16"/>
        <v>0</v>
      </c>
      <c r="Q25" s="228">
        <f t="shared" si="16"/>
        <v>0</v>
      </c>
      <c r="R25" s="228">
        <f t="shared" si="16"/>
        <v>0</v>
      </c>
      <c r="S25" s="228">
        <f t="shared" si="16"/>
        <v>0</v>
      </c>
      <c r="T25" s="228">
        <f t="shared" si="16"/>
        <v>0</v>
      </c>
      <c r="U25" s="228">
        <f t="shared" si="16"/>
        <v>0</v>
      </c>
      <c r="V25" s="228">
        <f t="shared" si="16"/>
        <v>0</v>
      </c>
      <c r="W25" s="228">
        <f t="shared" si="16"/>
        <v>0</v>
      </c>
      <c r="X25" s="228">
        <f t="shared" si="16"/>
        <v>0</v>
      </c>
      <c r="Y25" s="228">
        <f t="shared" si="16"/>
        <v>0</v>
      </c>
      <c r="Z25" s="228">
        <f t="shared" si="16"/>
        <v>0</v>
      </c>
      <c r="AA25" s="228">
        <f t="shared" si="16"/>
        <v>0</v>
      </c>
      <c r="AB25" s="228">
        <f t="shared" si="16"/>
        <v>0</v>
      </c>
      <c r="AC25" s="228">
        <f t="shared" si="16"/>
        <v>0</v>
      </c>
      <c r="AD25" s="228">
        <f t="shared" si="16"/>
        <v>0</v>
      </c>
      <c r="AE25" s="228">
        <f t="shared" si="16"/>
        <v>0</v>
      </c>
      <c r="AF25" s="228">
        <f t="shared" si="16"/>
        <v>0</v>
      </c>
      <c r="AG25" s="228">
        <f t="shared" si="16"/>
        <v>0</v>
      </c>
      <c r="AH25" s="228">
        <f t="shared" si="16"/>
        <v>0</v>
      </c>
      <c r="AI25" s="229">
        <f t="shared" ref="AI25:AI33" si="17">SUM(D25:AH25)</f>
        <v>0</v>
      </c>
      <c r="AJ25" s="225">
        <f t="shared" ref="AJ25:AJ56" ca="1" si="18">SUM(D25:AH25)/DAY($B$4)*0.001</f>
        <v>0</v>
      </c>
      <c r="AK25" s="176">
        <f>IFERROR(AVERAGE(D25:AD25)/1000,0)</f>
        <v>0</v>
      </c>
      <c r="AL25" s="223">
        <v>5.539609636137909</v>
      </c>
      <c r="AM25" s="192"/>
      <c r="AQ25" s="200"/>
      <c r="AR25" s="151"/>
    </row>
    <row r="26" spans="2:44" s="170" customFormat="1" ht="42" customHeight="1" x14ac:dyDescent="0.35">
      <c r="B26" s="213" t="s">
        <v>225</v>
      </c>
      <c r="C26" s="214"/>
      <c r="D26" s="215">
        <v>0</v>
      </c>
      <c r="E26" s="224">
        <v>0</v>
      </c>
      <c r="F26" s="216">
        <v>0</v>
      </c>
      <c r="G26" s="224">
        <v>0</v>
      </c>
      <c r="H26" s="216">
        <v>0</v>
      </c>
      <c r="I26" s="216">
        <v>0</v>
      </c>
      <c r="J26" s="216">
        <v>0</v>
      </c>
      <c r="K26" s="216">
        <v>0</v>
      </c>
      <c r="L26" s="216">
        <v>0</v>
      </c>
      <c r="M26" s="216">
        <v>0</v>
      </c>
      <c r="N26" s="216">
        <v>0</v>
      </c>
      <c r="O26" s="216">
        <v>0</v>
      </c>
      <c r="P26" s="216">
        <v>0</v>
      </c>
      <c r="Q26" s="216">
        <v>0</v>
      </c>
      <c r="R26" s="216">
        <v>0</v>
      </c>
      <c r="S26" s="216">
        <v>0</v>
      </c>
      <c r="T26" s="216">
        <v>0</v>
      </c>
      <c r="U26" s="216">
        <v>0</v>
      </c>
      <c r="V26" s="216">
        <v>0</v>
      </c>
      <c r="W26" s="216">
        <v>0</v>
      </c>
      <c r="X26" s="216">
        <v>0</v>
      </c>
      <c r="Y26" s="216">
        <v>0</v>
      </c>
      <c r="Z26" s="216">
        <v>0</v>
      </c>
      <c r="AA26" s="216">
        <v>0</v>
      </c>
      <c r="AB26" s="216">
        <v>0</v>
      </c>
      <c r="AC26" s="216">
        <v>0</v>
      </c>
      <c r="AD26" s="216">
        <v>0</v>
      </c>
      <c r="AE26" s="216">
        <v>0</v>
      </c>
      <c r="AF26" s="216">
        <v>0</v>
      </c>
      <c r="AG26" s="216">
        <v>0</v>
      </c>
      <c r="AH26" s="216">
        <v>0</v>
      </c>
      <c r="AI26" s="217">
        <f t="shared" si="17"/>
        <v>0</v>
      </c>
      <c r="AJ26" s="225">
        <f t="shared" ca="1" si="18"/>
        <v>0</v>
      </c>
      <c r="AK26" s="176"/>
      <c r="AL26" s="223">
        <v>5.539609636137909</v>
      </c>
      <c r="AM26" s="192"/>
      <c r="AQ26" s="200" t="str">
        <f>'[2]ОПЕРАТИВКА пн-пн'!B31</f>
        <v>ГИС ИСАКЧА РУМЫНИЯ</v>
      </c>
      <c r="AR26" s="151"/>
    </row>
    <row r="27" spans="2:44" s="170" customFormat="1" ht="42" customHeight="1" x14ac:dyDescent="0.35">
      <c r="B27" s="213" t="s">
        <v>226</v>
      </c>
      <c r="C27" s="214"/>
      <c r="D27" s="215">
        <v>0</v>
      </c>
      <c r="E27" s="224">
        <v>0</v>
      </c>
      <c r="F27" s="216">
        <v>0</v>
      </c>
      <c r="G27" s="224">
        <v>0</v>
      </c>
      <c r="H27" s="216">
        <v>0</v>
      </c>
      <c r="I27" s="216">
        <v>0</v>
      </c>
      <c r="J27" s="216">
        <v>0</v>
      </c>
      <c r="K27" s="216">
        <v>0</v>
      </c>
      <c r="L27" s="216">
        <v>0</v>
      </c>
      <c r="M27" s="216">
        <v>0</v>
      </c>
      <c r="N27" s="216">
        <v>0</v>
      </c>
      <c r="O27" s="216">
        <v>0</v>
      </c>
      <c r="P27" s="216">
        <v>0</v>
      </c>
      <c r="Q27" s="216">
        <v>0</v>
      </c>
      <c r="R27" s="216">
        <v>0</v>
      </c>
      <c r="S27" s="216">
        <v>0</v>
      </c>
      <c r="T27" s="216">
        <v>0</v>
      </c>
      <c r="U27" s="216">
        <v>0</v>
      </c>
      <c r="V27" s="216">
        <v>0</v>
      </c>
      <c r="W27" s="216">
        <v>0</v>
      </c>
      <c r="X27" s="216">
        <v>0</v>
      </c>
      <c r="Y27" s="216">
        <v>0</v>
      </c>
      <c r="Z27" s="216">
        <v>0</v>
      </c>
      <c r="AA27" s="216">
        <v>0</v>
      </c>
      <c r="AB27" s="216">
        <v>0</v>
      </c>
      <c r="AC27" s="216">
        <v>0</v>
      </c>
      <c r="AD27" s="216">
        <v>0</v>
      </c>
      <c r="AE27" s="216">
        <v>0</v>
      </c>
      <c r="AF27" s="216">
        <v>0</v>
      </c>
      <c r="AG27" s="216">
        <v>0</v>
      </c>
      <c r="AH27" s="216">
        <v>0</v>
      </c>
      <c r="AI27" s="217">
        <f t="shared" si="17"/>
        <v>0</v>
      </c>
      <c r="AJ27" s="225">
        <f t="shared" ca="1" si="18"/>
        <v>0</v>
      </c>
      <c r="AK27" s="176"/>
      <c r="AL27" s="223">
        <v>0</v>
      </c>
      <c r="AM27" s="192"/>
      <c r="AQ27" s="200" t="str">
        <f>'[2]ОПЕРАТИВКА пн-пн'!B32</f>
        <v>ГИС ИСАКЧА БОЛГАРИЯ</v>
      </c>
      <c r="AR27" s="151"/>
    </row>
    <row r="28" spans="2:44" s="170" customFormat="1" ht="42" customHeight="1" x14ac:dyDescent="0.25">
      <c r="B28" s="230" t="s">
        <v>227</v>
      </c>
      <c r="C28" s="231"/>
      <c r="D28" s="232">
        <f t="shared" ref="D28:AH28" si="19">D31+D29-D30</f>
        <v>0</v>
      </c>
      <c r="E28" s="233">
        <f t="shared" si="19"/>
        <v>0</v>
      </c>
      <c r="F28" s="233">
        <f t="shared" si="19"/>
        <v>0</v>
      </c>
      <c r="G28" s="233">
        <f t="shared" si="19"/>
        <v>0</v>
      </c>
      <c r="H28" s="233">
        <f t="shared" si="19"/>
        <v>0</v>
      </c>
      <c r="I28" s="233">
        <f t="shared" si="19"/>
        <v>0</v>
      </c>
      <c r="J28" s="233">
        <f t="shared" si="19"/>
        <v>0</v>
      </c>
      <c r="K28" s="233">
        <f t="shared" si="19"/>
        <v>0</v>
      </c>
      <c r="L28" s="233">
        <f t="shared" si="19"/>
        <v>0</v>
      </c>
      <c r="M28" s="233">
        <f t="shared" si="19"/>
        <v>0</v>
      </c>
      <c r="N28" s="233">
        <f t="shared" si="19"/>
        <v>0</v>
      </c>
      <c r="O28" s="233">
        <f t="shared" si="19"/>
        <v>0</v>
      </c>
      <c r="P28" s="233">
        <f t="shared" si="19"/>
        <v>0</v>
      </c>
      <c r="Q28" s="233">
        <f t="shared" si="19"/>
        <v>0</v>
      </c>
      <c r="R28" s="233">
        <f t="shared" si="19"/>
        <v>0</v>
      </c>
      <c r="S28" s="233">
        <f t="shared" si="19"/>
        <v>0</v>
      </c>
      <c r="T28" s="233">
        <f t="shared" si="19"/>
        <v>0</v>
      </c>
      <c r="U28" s="233">
        <f t="shared" si="19"/>
        <v>0</v>
      </c>
      <c r="V28" s="233">
        <f t="shared" si="19"/>
        <v>0</v>
      </c>
      <c r="W28" s="233">
        <f t="shared" si="19"/>
        <v>0</v>
      </c>
      <c r="X28" s="233">
        <f t="shared" si="19"/>
        <v>0</v>
      </c>
      <c r="Y28" s="233">
        <f t="shared" si="19"/>
        <v>0</v>
      </c>
      <c r="Z28" s="233">
        <f t="shared" si="19"/>
        <v>0</v>
      </c>
      <c r="AA28" s="233">
        <f t="shared" si="19"/>
        <v>0</v>
      </c>
      <c r="AB28" s="233">
        <f t="shared" si="19"/>
        <v>0</v>
      </c>
      <c r="AC28" s="233">
        <f t="shared" si="19"/>
        <v>0</v>
      </c>
      <c r="AD28" s="233">
        <f t="shared" si="19"/>
        <v>0</v>
      </c>
      <c r="AE28" s="233">
        <f t="shared" si="19"/>
        <v>0</v>
      </c>
      <c r="AF28" s="233">
        <f t="shared" si="19"/>
        <v>0</v>
      </c>
      <c r="AG28" s="233">
        <f t="shared" si="19"/>
        <v>0</v>
      </c>
      <c r="AH28" s="233">
        <f t="shared" si="19"/>
        <v>0</v>
      </c>
      <c r="AI28" s="234">
        <f t="shared" si="17"/>
        <v>0</v>
      </c>
      <c r="AJ28" s="225">
        <f t="shared" ca="1" si="18"/>
        <v>0</v>
      </c>
      <c r="AK28" s="176">
        <f t="shared" ref="AK28:AK62" si="20">IFERROR(AVERAGE(D28:AD28)/1000,0)</f>
        <v>0</v>
      </c>
      <c r="AL28" s="177">
        <v>20.836112683470699</v>
      </c>
      <c r="AR28" s="151"/>
    </row>
    <row r="29" spans="2:44" s="192" customFormat="1" ht="30" customHeight="1" x14ac:dyDescent="0.45">
      <c r="B29" s="235" t="s">
        <v>212</v>
      </c>
      <c r="C29" s="236"/>
      <c r="D29" s="237">
        <v>0</v>
      </c>
      <c r="E29" s="238">
        <v>0</v>
      </c>
      <c r="F29" s="238">
        <v>0</v>
      </c>
      <c r="G29" s="238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0</v>
      </c>
      <c r="O29" s="239">
        <v>0</v>
      </c>
      <c r="P29" s="239">
        <v>0</v>
      </c>
      <c r="Q29" s="239">
        <v>0</v>
      </c>
      <c r="R29" s="239">
        <v>0</v>
      </c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40">
        <f t="shared" si="17"/>
        <v>0</v>
      </c>
      <c r="AJ29" s="225">
        <f t="shared" ca="1" si="18"/>
        <v>0</v>
      </c>
      <c r="AK29" s="176">
        <f t="shared" si="20"/>
        <v>0</v>
      </c>
      <c r="AL29" s="199">
        <v>0</v>
      </c>
      <c r="AP29" s="170"/>
      <c r="AQ29" s="200" t="str">
        <f>'[2]ОПЕРАТИВКА пн-пн'!B34</f>
        <v>ГИС БEPEГ - ПОДАЧА РЕСУРСАЗАКАЧКА в ПХГ</v>
      </c>
      <c r="AR29" s="151"/>
    </row>
    <row r="30" spans="2:44" s="192" customFormat="1" ht="30" customHeight="1" x14ac:dyDescent="0.45">
      <c r="B30" s="235" t="s">
        <v>213</v>
      </c>
      <c r="C30" s="236"/>
      <c r="D30" s="237">
        <v>0</v>
      </c>
      <c r="E30" s="239">
        <v>0</v>
      </c>
      <c r="F30" s="239">
        <v>0</v>
      </c>
      <c r="G30" s="239">
        <v>0</v>
      </c>
      <c r="H30" s="239">
        <v>0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239">
        <v>0</v>
      </c>
      <c r="P30" s="239">
        <v>0</v>
      </c>
      <c r="Q30" s="239">
        <v>0</v>
      </c>
      <c r="R30" s="239">
        <v>0</v>
      </c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40">
        <f t="shared" si="17"/>
        <v>0</v>
      </c>
      <c r="AJ30" s="225">
        <f t="shared" ca="1" si="18"/>
        <v>0</v>
      </c>
      <c r="AK30" s="176">
        <f t="shared" si="20"/>
        <v>0</v>
      </c>
      <c r="AL30" s="199">
        <v>0</v>
      </c>
      <c r="AP30" s="170"/>
      <c r="AQ30" s="200" t="str">
        <f>'[2]ОПЕРАТИВКА пн-пн'!B35</f>
        <v>ГИС БEPEГ - ПОДАЧА РЕСУРСАОТБОР из ПХГ</v>
      </c>
      <c r="AR30" s="151"/>
    </row>
    <row r="31" spans="2:44" s="156" customFormat="1" ht="30" customHeight="1" x14ac:dyDescent="0.45">
      <c r="B31" s="235" t="s">
        <v>214</v>
      </c>
      <c r="C31" s="241"/>
      <c r="D31" s="242">
        <f>D32+D33+D34+D35</f>
        <v>0</v>
      </c>
      <c r="E31" s="239">
        <f t="shared" ref="E31:AG31" si="21">E32+E33+E34+E35</f>
        <v>0</v>
      </c>
      <c r="F31" s="239">
        <f t="shared" si="21"/>
        <v>0</v>
      </c>
      <c r="G31" s="239">
        <f t="shared" si="21"/>
        <v>0</v>
      </c>
      <c r="H31" s="239">
        <f t="shared" si="21"/>
        <v>0</v>
      </c>
      <c r="I31" s="239">
        <f t="shared" si="21"/>
        <v>0</v>
      </c>
      <c r="J31" s="239">
        <f t="shared" si="21"/>
        <v>0</v>
      </c>
      <c r="K31" s="239">
        <f t="shared" si="21"/>
        <v>0</v>
      </c>
      <c r="L31" s="239">
        <f t="shared" si="21"/>
        <v>0</v>
      </c>
      <c r="M31" s="239">
        <f t="shared" si="21"/>
        <v>0</v>
      </c>
      <c r="N31" s="239">
        <f t="shared" si="21"/>
        <v>0</v>
      </c>
      <c r="O31" s="239">
        <f t="shared" si="21"/>
        <v>0</v>
      </c>
      <c r="P31" s="239">
        <f t="shared" si="21"/>
        <v>0</v>
      </c>
      <c r="Q31" s="239">
        <f t="shared" si="21"/>
        <v>0</v>
      </c>
      <c r="R31" s="239">
        <f t="shared" si="21"/>
        <v>0</v>
      </c>
      <c r="S31" s="239">
        <f t="shared" si="21"/>
        <v>0</v>
      </c>
      <c r="T31" s="239">
        <f t="shared" si="21"/>
        <v>0</v>
      </c>
      <c r="U31" s="239">
        <f t="shared" si="21"/>
        <v>0</v>
      </c>
      <c r="V31" s="239">
        <f t="shared" si="21"/>
        <v>0</v>
      </c>
      <c r="W31" s="239">
        <f t="shared" si="21"/>
        <v>0</v>
      </c>
      <c r="X31" s="239">
        <f t="shared" si="21"/>
        <v>0</v>
      </c>
      <c r="Y31" s="239">
        <f t="shared" si="21"/>
        <v>0</v>
      </c>
      <c r="Z31" s="239">
        <f t="shared" si="21"/>
        <v>0</v>
      </c>
      <c r="AA31" s="239">
        <f t="shared" si="21"/>
        <v>0</v>
      </c>
      <c r="AB31" s="239">
        <f t="shared" si="21"/>
        <v>0</v>
      </c>
      <c r="AC31" s="239">
        <f t="shared" si="21"/>
        <v>0</v>
      </c>
      <c r="AD31" s="239">
        <f t="shared" si="21"/>
        <v>0</v>
      </c>
      <c r="AE31" s="239">
        <f t="shared" si="21"/>
        <v>0</v>
      </c>
      <c r="AF31" s="239">
        <f t="shared" si="21"/>
        <v>0</v>
      </c>
      <c r="AG31" s="239">
        <f t="shared" si="21"/>
        <v>0</v>
      </c>
      <c r="AH31" s="243"/>
      <c r="AI31" s="244">
        <f t="shared" si="17"/>
        <v>0</v>
      </c>
      <c r="AJ31" s="225">
        <f t="shared" ca="1" si="18"/>
        <v>0</v>
      </c>
      <c r="AK31" s="176">
        <f t="shared" si="20"/>
        <v>0</v>
      </c>
      <c r="AL31" s="199">
        <v>20.836112683470699</v>
      </c>
      <c r="AP31" s="160"/>
      <c r="AQ31" s="221"/>
      <c r="AR31" s="151"/>
    </row>
    <row r="32" spans="2:44" s="192" customFormat="1" ht="30" customHeight="1" x14ac:dyDescent="0.45">
      <c r="B32" s="235" t="s">
        <v>228</v>
      </c>
      <c r="C32" s="241"/>
      <c r="D32" s="237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239">
        <v>0</v>
      </c>
      <c r="P32" s="239">
        <v>0</v>
      </c>
      <c r="Q32" s="239">
        <v>0</v>
      </c>
      <c r="R32" s="239">
        <v>0</v>
      </c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40">
        <f t="shared" si="17"/>
        <v>0</v>
      </c>
      <c r="AJ32" s="225">
        <f t="shared" ca="1" si="18"/>
        <v>0</v>
      </c>
      <c r="AK32" s="176">
        <f t="shared" si="20"/>
        <v>0</v>
      </c>
      <c r="AL32" s="199">
        <v>2.3524052571428569</v>
      </c>
      <c r="AP32" s="170"/>
      <c r="AQ32" s="200" t="str">
        <f>'[2]ОПЕРАТИВКА пн-пн'!B37</f>
        <v>ГИС БEPEГ - ПОДАЧА РЕСУРСАИТАЛИЯ</v>
      </c>
      <c r="AR32" s="151"/>
    </row>
    <row r="33" spans="1:44" s="192" customFormat="1" ht="30" customHeight="1" x14ac:dyDescent="0.45">
      <c r="B33" s="235" t="s">
        <v>221</v>
      </c>
      <c r="C33" s="241"/>
      <c r="D33" s="237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0</v>
      </c>
      <c r="P33" s="239">
        <v>0</v>
      </c>
      <c r="Q33" s="239">
        <v>0</v>
      </c>
      <c r="R33" s="239">
        <v>0</v>
      </c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40">
        <f t="shared" si="17"/>
        <v>0</v>
      </c>
      <c r="AJ33" s="225">
        <f t="shared" ca="1" si="18"/>
        <v>0</v>
      </c>
      <c r="AK33" s="176">
        <f t="shared" si="20"/>
        <v>0</v>
      </c>
      <c r="AL33" s="199">
        <v>17.638776289489744</v>
      </c>
      <c r="AP33" s="170"/>
      <c r="AQ33" s="200" t="str">
        <f>'[2]ОПЕРАТИВКА пн-пн'!B38</f>
        <v>ГИС БEPEГ - ПОДАЧА РЕСУРСАВЕНГРИЯ</v>
      </c>
      <c r="AR33" s="151"/>
    </row>
    <row r="34" spans="1:44" s="192" customFormat="1" ht="30" customHeight="1" x14ac:dyDescent="0.45">
      <c r="B34" s="235" t="s">
        <v>229</v>
      </c>
      <c r="C34" s="241"/>
      <c r="D34" s="237">
        <v>0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40">
        <f>SUM(D34:AG34)</f>
        <v>0</v>
      </c>
      <c r="AJ34" s="225">
        <f t="shared" ca="1" si="18"/>
        <v>0</v>
      </c>
      <c r="AK34" s="176">
        <f t="shared" si="20"/>
        <v>0</v>
      </c>
      <c r="AL34" s="199">
        <v>0.84493113683810861</v>
      </c>
      <c r="AP34" s="170"/>
      <c r="AQ34" s="200" t="str">
        <f>'[2]ОПЕРАТИВКА пн-пн'!B39</f>
        <v>ГИС БEPEГ - ПОДАЧА РЕСУРСАБОСНИЯ и ГЕРЦЕГОВИНА</v>
      </c>
      <c r="AR34" s="151"/>
    </row>
    <row r="35" spans="1:44" s="192" customFormat="1" ht="30" customHeight="1" x14ac:dyDescent="0.45">
      <c r="B35" s="235" t="s">
        <v>230</v>
      </c>
      <c r="C35" s="241"/>
      <c r="D35" s="237">
        <v>0</v>
      </c>
      <c r="E35" s="239">
        <v>0</v>
      </c>
      <c r="F35" s="239">
        <v>0</v>
      </c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>
        <v>0</v>
      </c>
      <c r="P35" s="239">
        <v>0</v>
      </c>
      <c r="Q35" s="239">
        <v>0</v>
      </c>
      <c r="R35" s="239">
        <v>0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40">
        <f>SUM(D35:AH35)</f>
        <v>0</v>
      </c>
      <c r="AJ35" s="225">
        <f t="shared" ca="1" si="18"/>
        <v>0</v>
      </c>
      <c r="AK35" s="176">
        <f t="shared" si="20"/>
        <v>0</v>
      </c>
      <c r="AL35" s="199">
        <v>0</v>
      </c>
      <c r="AQ35" s="200" t="str">
        <f>'[2]ОПЕРАТИВКА пн-пн'!B40</f>
        <v>ГИС БEPEГ - ПОДАЧА РЕСУРСАХОРВАТИЯ</v>
      </c>
      <c r="AR35" s="151"/>
    </row>
    <row r="36" spans="1:44" s="170" customFormat="1" ht="56.25" hidden="1" customHeight="1" outlineLevel="1" x14ac:dyDescent="0.25">
      <c r="B36" s="245" t="s">
        <v>231</v>
      </c>
      <c r="C36" s="246"/>
      <c r="D36" s="247">
        <v>0</v>
      </c>
      <c r="E36" s="248">
        <v>0</v>
      </c>
      <c r="F36" s="248">
        <v>0</v>
      </c>
      <c r="G36" s="248">
        <v>0</v>
      </c>
      <c r="H36" s="248">
        <v>0</v>
      </c>
      <c r="I36" s="248">
        <v>0</v>
      </c>
      <c r="J36" s="248">
        <v>0</v>
      </c>
      <c r="K36" s="248">
        <v>0</v>
      </c>
      <c r="L36" s="248">
        <v>0</v>
      </c>
      <c r="M36" s="248">
        <v>0</v>
      </c>
      <c r="N36" s="248">
        <v>0</v>
      </c>
      <c r="O36" s="248">
        <v>0</v>
      </c>
      <c r="P36" s="248">
        <v>0</v>
      </c>
      <c r="Q36" s="248">
        <v>0</v>
      </c>
      <c r="R36" s="248">
        <v>0</v>
      </c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9">
        <f>SUM(D36:AF36)</f>
        <v>0</v>
      </c>
      <c r="AJ36" s="225">
        <f t="shared" ca="1" si="18"/>
        <v>0</v>
      </c>
      <c r="AK36" s="176">
        <f t="shared" si="20"/>
        <v>0</v>
      </c>
      <c r="AL36" s="177">
        <v>0</v>
      </c>
      <c r="AQ36" s="200" t="s">
        <v>232</v>
      </c>
      <c r="AR36" s="151"/>
    </row>
    <row r="37" spans="1:44" s="170" customFormat="1" ht="42" customHeight="1" collapsed="1" x14ac:dyDescent="0.25">
      <c r="B37" s="245" t="s">
        <v>233</v>
      </c>
      <c r="C37" s="246"/>
      <c r="D37" s="247">
        <v>9028.4394916972506</v>
      </c>
      <c r="E37" s="248">
        <v>9015.8824222154199</v>
      </c>
      <c r="F37" s="248">
        <v>9969.50987825841</v>
      </c>
      <c r="G37" s="248">
        <v>9972.3605077441207</v>
      </c>
      <c r="H37" s="248">
        <v>9957.4855638107801</v>
      </c>
      <c r="I37" s="248">
        <v>7964.1863410505202</v>
      </c>
      <c r="J37" s="248">
        <v>7959.0303600404504</v>
      </c>
      <c r="K37" s="248">
        <v>9956.1570945813601</v>
      </c>
      <c r="L37" s="248">
        <v>9955.7338474560293</v>
      </c>
      <c r="M37" s="248">
        <v>9954.1377807733897</v>
      </c>
      <c r="N37" s="248">
        <v>9952.6426488571196</v>
      </c>
      <c r="O37" s="248">
        <v>9934.8208255600712</v>
      </c>
      <c r="P37" s="248">
        <v>9932.8887425938101</v>
      </c>
      <c r="Q37" s="248">
        <v>9929.9985423768594</v>
      </c>
      <c r="R37" s="248">
        <v>0</v>
      </c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9">
        <f t="shared" ref="AI37:AI58" si="22">SUM(D37:AH37)</f>
        <v>133483.27404701561</v>
      </c>
      <c r="AJ37" s="225">
        <f t="shared" ca="1" si="18"/>
        <v>5.3393309618806244</v>
      </c>
      <c r="AK37" s="176">
        <f t="shared" si="20"/>
        <v>8.8988849364677076</v>
      </c>
      <c r="AL37" s="177">
        <v>8.6346116778487101</v>
      </c>
      <c r="AQ37" s="200" t="str">
        <f>'[2]ОПЕРАТИВКА пн-пн'!B42</f>
        <v>GCP GAZ-SYSTEM/UATSO (ПОЛЬША)</v>
      </c>
      <c r="AR37" s="151"/>
    </row>
    <row r="38" spans="1:44" s="170" customFormat="1" ht="42" customHeight="1" x14ac:dyDescent="0.25">
      <c r="B38" s="250" t="s">
        <v>234</v>
      </c>
      <c r="C38" s="251"/>
      <c r="D38" s="252">
        <v>9272.976999999999</v>
      </c>
      <c r="E38" s="252">
        <v>9271.7310000000016</v>
      </c>
      <c r="F38" s="252">
        <v>5710.2269999999999</v>
      </c>
      <c r="G38" s="252">
        <v>6128.585</v>
      </c>
      <c r="H38" s="252">
        <v>4663.6930000000002</v>
      </c>
      <c r="I38" s="252">
        <v>2961.0409999999997</v>
      </c>
      <c r="J38" s="252">
        <v>2833.1309999999999</v>
      </c>
      <c r="K38" s="252">
        <v>6248.5280000000002</v>
      </c>
      <c r="L38" s="252">
        <v>6301.6569999999992</v>
      </c>
      <c r="M38" s="252">
        <v>6267.6959999999999</v>
      </c>
      <c r="N38" s="252">
        <v>6249.5940000000001</v>
      </c>
      <c r="O38" s="252">
        <v>6254.8050000000003</v>
      </c>
      <c r="P38" s="252">
        <v>6237.4159999999993</v>
      </c>
      <c r="Q38" s="252">
        <v>6274.3419999999996</v>
      </c>
      <c r="R38" s="252">
        <v>0</v>
      </c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3">
        <f t="shared" si="22"/>
        <v>84675.422999999981</v>
      </c>
      <c r="AJ38" s="225">
        <f t="shared" ca="1" si="18"/>
        <v>3.3870169199999993</v>
      </c>
      <c r="AK38" s="176">
        <f t="shared" si="20"/>
        <v>5.6450281999999987</v>
      </c>
      <c r="AL38" s="177">
        <v>10.020112546428571</v>
      </c>
      <c r="AQ38" s="200" t="str">
        <f>'[2]ОПЕРАТИВКА пн-пн'!B43</f>
        <v>ГИС ВЫСОКОЕ,ТЕТЕРЕВКА (ПОЛЬША)</v>
      </c>
      <c r="AR38" s="151"/>
    </row>
    <row r="39" spans="1:44" s="170" customFormat="1" ht="42" customHeight="1" x14ac:dyDescent="0.25">
      <c r="B39" s="254" t="s">
        <v>235</v>
      </c>
      <c r="C39" s="255"/>
      <c r="D39" s="256">
        <f t="shared" ref="D39:AH39" si="23">D42+D40-D41</f>
        <v>99.999616821534701</v>
      </c>
      <c r="E39" s="257">
        <f t="shared" si="23"/>
        <v>99.999616821534502</v>
      </c>
      <c r="F39" s="257">
        <f t="shared" si="23"/>
        <v>981.04200000000696</v>
      </c>
      <c r="G39" s="257">
        <f t="shared" si="23"/>
        <v>20583.893999999993</v>
      </c>
      <c r="H39" s="257">
        <f t="shared" si="23"/>
        <v>19937.838687017051</v>
      </c>
      <c r="I39" s="257">
        <f t="shared" si="23"/>
        <v>9884.7819848863219</v>
      </c>
      <c r="J39" s="257">
        <f t="shared" si="23"/>
        <v>13173.750999999989</v>
      </c>
      <c r="K39" s="258">
        <f t="shared" si="23"/>
        <v>18205.364021611582</v>
      </c>
      <c r="L39" s="257">
        <f t="shared" si="23"/>
        <v>28148.762000000032</v>
      </c>
      <c r="M39" s="257">
        <f t="shared" si="23"/>
        <v>38781.391375114559</v>
      </c>
      <c r="N39" s="257">
        <f t="shared" si="23"/>
        <v>30835.700999999965</v>
      </c>
      <c r="O39" s="257">
        <f t="shared" si="23"/>
        <v>30797.885517912229</v>
      </c>
      <c r="P39" s="257">
        <f t="shared" si="23"/>
        <v>37234.31916709878</v>
      </c>
      <c r="Q39" s="257">
        <f t="shared" si="23"/>
        <v>37405.816999999966</v>
      </c>
      <c r="R39" s="257">
        <f t="shared" si="23"/>
        <v>0</v>
      </c>
      <c r="S39" s="257">
        <f t="shared" si="23"/>
        <v>0</v>
      </c>
      <c r="T39" s="257">
        <f t="shared" si="23"/>
        <v>0</v>
      </c>
      <c r="U39" s="257">
        <f t="shared" si="23"/>
        <v>0</v>
      </c>
      <c r="V39" s="257">
        <f t="shared" si="23"/>
        <v>0</v>
      </c>
      <c r="W39" s="257">
        <f t="shared" si="23"/>
        <v>0</v>
      </c>
      <c r="X39" s="257">
        <f>X42+X40-X41</f>
        <v>0</v>
      </c>
      <c r="Y39" s="257">
        <f t="shared" ref="Y39:Z39" si="24">Y42+Y40-Y41</f>
        <v>0</v>
      </c>
      <c r="Z39" s="257">
        <f t="shared" si="24"/>
        <v>0</v>
      </c>
      <c r="AA39" s="257">
        <f>AA42+AA40-AA41</f>
        <v>0</v>
      </c>
      <c r="AB39" s="257">
        <f t="shared" si="23"/>
        <v>0</v>
      </c>
      <c r="AC39" s="257">
        <f t="shared" si="23"/>
        <v>0</v>
      </c>
      <c r="AD39" s="257">
        <f t="shared" si="23"/>
        <v>0</v>
      </c>
      <c r="AE39" s="257">
        <f t="shared" si="23"/>
        <v>0</v>
      </c>
      <c r="AF39" s="257">
        <f t="shared" si="23"/>
        <v>0</v>
      </c>
      <c r="AG39" s="257">
        <f t="shared" si="23"/>
        <v>0</v>
      </c>
      <c r="AH39" s="257">
        <f t="shared" si="23"/>
        <v>0</v>
      </c>
      <c r="AI39" s="259">
        <f t="shared" si="22"/>
        <v>286170.54698728351</v>
      </c>
      <c r="AJ39" s="225">
        <f t="shared" ca="1" si="18"/>
        <v>11.446821879491342</v>
      </c>
      <c r="AK39" s="176">
        <f t="shared" si="20"/>
        <v>10.598909147677166</v>
      </c>
      <c r="AL39" s="177">
        <v>93.447808109877542</v>
      </c>
      <c r="AR39" s="151"/>
    </row>
    <row r="40" spans="1:44" s="192" customFormat="1" ht="30" customHeight="1" x14ac:dyDescent="0.45">
      <c r="B40" s="260" t="s">
        <v>212</v>
      </c>
      <c r="C40" s="261"/>
      <c r="D40" s="262">
        <v>0</v>
      </c>
      <c r="E40" s="263">
        <v>0</v>
      </c>
      <c r="F40" s="263">
        <v>0</v>
      </c>
      <c r="G40" s="263">
        <v>0</v>
      </c>
      <c r="H40" s="263">
        <v>0</v>
      </c>
      <c r="I40" s="263">
        <v>0</v>
      </c>
      <c r="J40" s="263">
        <v>0</v>
      </c>
      <c r="K40" s="263">
        <v>0</v>
      </c>
      <c r="L40" s="263">
        <v>0</v>
      </c>
      <c r="M40" s="263">
        <v>0</v>
      </c>
      <c r="N40" s="263">
        <v>9153.0638848156414</v>
      </c>
      <c r="O40" s="263">
        <v>0</v>
      </c>
      <c r="P40" s="263">
        <v>3286.5109132157004</v>
      </c>
      <c r="Q40" s="263">
        <v>6291.9899219365197</v>
      </c>
      <c r="R40" s="263">
        <v>0</v>
      </c>
      <c r="S40" s="263"/>
      <c r="T40" s="263"/>
      <c r="U40" s="263"/>
      <c r="V40" s="263"/>
      <c r="W40" s="263"/>
      <c r="X40" s="263"/>
      <c r="Y40" s="264"/>
      <c r="Z40" s="263"/>
      <c r="AA40" s="263"/>
      <c r="AB40" s="263"/>
      <c r="AC40" s="263"/>
      <c r="AD40" s="263"/>
      <c r="AE40" s="263"/>
      <c r="AF40" s="263"/>
      <c r="AG40" s="263"/>
      <c r="AH40" s="263"/>
      <c r="AI40" s="265">
        <f t="shared" si="22"/>
        <v>18731.564719967864</v>
      </c>
      <c r="AJ40" s="225">
        <f t="shared" ca="1" si="18"/>
        <v>0.74926258879871455</v>
      </c>
      <c r="AK40" s="176">
        <f t="shared" si="20"/>
        <v>1.2487709813311911</v>
      </c>
      <c r="AL40" s="199">
        <v>0.5760399365349661</v>
      </c>
      <c r="AQ40" s="200" t="str">
        <f>'[2]ОПЕРАТИВКА пн-пн'!B45</f>
        <v>ГИС КОНДРАТКИ - ПОДАЧА РЕСУРСАЗАКАЧКА в ПХГ</v>
      </c>
      <c r="AR40" s="151"/>
    </row>
    <row r="41" spans="1:44" s="271" customFormat="1" ht="30" customHeight="1" x14ac:dyDescent="0.45">
      <c r="A41" s="266"/>
      <c r="B41" s="267" t="s">
        <v>213</v>
      </c>
      <c r="C41" s="268"/>
      <c r="D41" s="262">
        <v>0</v>
      </c>
      <c r="E41" s="269">
        <v>0</v>
      </c>
      <c r="F41" s="269">
        <v>0</v>
      </c>
      <c r="G41" s="269">
        <v>0</v>
      </c>
      <c r="H41" s="263">
        <v>0</v>
      </c>
      <c r="I41" s="263">
        <v>0</v>
      </c>
      <c r="J41" s="263">
        <v>0</v>
      </c>
      <c r="K41" s="263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3">
        <v>0</v>
      </c>
      <c r="R41" s="263">
        <v>0</v>
      </c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70">
        <f t="shared" si="22"/>
        <v>0</v>
      </c>
      <c r="AJ41" s="225">
        <f t="shared" ca="1" si="18"/>
        <v>0</v>
      </c>
      <c r="AK41" s="176">
        <f t="shared" si="20"/>
        <v>0</v>
      </c>
      <c r="AL41" s="199">
        <v>14.260343110714285</v>
      </c>
      <c r="AQ41" s="200" t="str">
        <f>'[2]ОПЕРАТИВКА пн-пн'!B46</f>
        <v>ГИС КОНДРАТКИ - ПОДАЧА РЕСУРСАОТБОР из ПХГ</v>
      </c>
      <c r="AR41" s="151"/>
    </row>
    <row r="42" spans="1:44" s="156" customFormat="1" ht="30" customHeight="1" x14ac:dyDescent="0.45">
      <c r="B42" s="260" t="s">
        <v>214</v>
      </c>
      <c r="C42" s="261"/>
      <c r="D42" s="272">
        <f t="shared" ref="D42:AH42" si="25">SUM(D43:D56)</f>
        <v>99.999616821534701</v>
      </c>
      <c r="E42" s="273">
        <f t="shared" si="25"/>
        <v>99.999616821534502</v>
      </c>
      <c r="F42" s="273">
        <f t="shared" si="25"/>
        <v>981.04200000000696</v>
      </c>
      <c r="G42" s="273">
        <f t="shared" si="25"/>
        <v>20583.893999999993</v>
      </c>
      <c r="H42" s="273">
        <f t="shared" si="25"/>
        <v>19937.838687017051</v>
      </c>
      <c r="I42" s="273">
        <f t="shared" si="25"/>
        <v>9884.7819848863219</v>
      </c>
      <c r="J42" s="273">
        <f t="shared" si="25"/>
        <v>13173.750999999989</v>
      </c>
      <c r="K42" s="274">
        <f t="shared" si="25"/>
        <v>18205.364021611582</v>
      </c>
      <c r="L42" s="273">
        <f t="shared" si="25"/>
        <v>28148.762000000032</v>
      </c>
      <c r="M42" s="273">
        <f t="shared" si="25"/>
        <v>38781.391375114559</v>
      </c>
      <c r="N42" s="273">
        <f t="shared" si="25"/>
        <v>21682.637115184323</v>
      </c>
      <c r="O42" s="273">
        <f t="shared" si="25"/>
        <v>30797.885517912229</v>
      </c>
      <c r="P42" s="273">
        <f t="shared" si="25"/>
        <v>33947.808253883079</v>
      </c>
      <c r="Q42" s="273">
        <f t="shared" si="25"/>
        <v>31113.827078063448</v>
      </c>
      <c r="R42" s="273">
        <f t="shared" si="25"/>
        <v>0</v>
      </c>
      <c r="S42" s="273">
        <f t="shared" si="25"/>
        <v>0</v>
      </c>
      <c r="T42" s="273">
        <f t="shared" si="25"/>
        <v>0</v>
      </c>
      <c r="U42" s="273">
        <f t="shared" si="25"/>
        <v>0</v>
      </c>
      <c r="V42" s="273">
        <f t="shared" si="25"/>
        <v>0</v>
      </c>
      <c r="W42" s="273">
        <f t="shared" si="25"/>
        <v>0</v>
      </c>
      <c r="X42" s="273">
        <f t="shared" si="25"/>
        <v>0</v>
      </c>
      <c r="Y42" s="273">
        <f t="shared" si="25"/>
        <v>0</v>
      </c>
      <c r="Z42" s="273">
        <f t="shared" si="25"/>
        <v>0</v>
      </c>
      <c r="AA42" s="273">
        <f t="shared" si="25"/>
        <v>0</v>
      </c>
      <c r="AB42" s="273">
        <f t="shared" si="25"/>
        <v>0</v>
      </c>
      <c r="AC42" s="273">
        <f t="shared" si="25"/>
        <v>0</v>
      </c>
      <c r="AD42" s="273">
        <f t="shared" si="25"/>
        <v>0</v>
      </c>
      <c r="AE42" s="273">
        <f t="shared" si="25"/>
        <v>0</v>
      </c>
      <c r="AF42" s="273">
        <f t="shared" si="25"/>
        <v>0</v>
      </c>
      <c r="AG42" s="273">
        <f t="shared" si="25"/>
        <v>0</v>
      </c>
      <c r="AH42" s="273">
        <f t="shared" si="25"/>
        <v>0</v>
      </c>
      <c r="AI42" s="275">
        <f t="shared" si="22"/>
        <v>267438.98226731567</v>
      </c>
      <c r="AJ42" s="225">
        <f t="shared" ca="1" si="18"/>
        <v>10.697559290692627</v>
      </c>
      <c r="AK42" s="176">
        <f t="shared" si="20"/>
        <v>9.9051474913820616</v>
      </c>
      <c r="AL42" s="199">
        <v>107.13211128405689</v>
      </c>
      <c r="AQ42" s="221"/>
      <c r="AR42" s="151"/>
    </row>
    <row r="43" spans="1:44" s="192" customFormat="1" ht="30" customHeight="1" x14ac:dyDescent="0.35">
      <c r="B43" s="260" t="s">
        <v>236</v>
      </c>
      <c r="C43" s="261"/>
      <c r="D43" s="262">
        <v>99.999616821534701</v>
      </c>
      <c r="E43" s="263">
        <v>99.999616821534502</v>
      </c>
      <c r="F43" s="263">
        <v>981.04200000000696</v>
      </c>
      <c r="G43" s="263">
        <v>4327.9891240540301</v>
      </c>
      <c r="H43" s="263">
        <v>1487.4565744939</v>
      </c>
      <c r="I43" s="263">
        <v>122.859500307221</v>
      </c>
      <c r="J43" s="263">
        <v>3490.9355267542201</v>
      </c>
      <c r="K43" s="263">
        <v>123.833587384181</v>
      </c>
      <c r="L43" s="263">
        <v>4940.4012194421202</v>
      </c>
      <c r="M43" s="263">
        <v>7982.2127258946102</v>
      </c>
      <c r="N43" s="263">
        <v>198.97332424070598</v>
      </c>
      <c r="O43" s="263">
        <v>209.911256049814</v>
      </c>
      <c r="P43" s="263">
        <v>6167.2195620088605</v>
      </c>
      <c r="Q43" s="263">
        <v>6605.7024855301906</v>
      </c>
      <c r="R43" s="263">
        <v>0</v>
      </c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5">
        <f t="shared" si="22"/>
        <v>36838.536119802928</v>
      </c>
      <c r="AJ43" s="225">
        <f t="shared" ca="1" si="18"/>
        <v>1.4735414447921171</v>
      </c>
      <c r="AK43" s="176">
        <f t="shared" si="20"/>
        <v>2.4559024079868617</v>
      </c>
      <c r="AL43" s="223">
        <v>4.6719078234102298</v>
      </c>
      <c r="AM43" s="276"/>
      <c r="AQ43" s="200" t="str">
        <f>'[2]ОПЕРАТИВКА пн-пн'!B48</f>
        <v>ГИС КОНДРАТКИ - ПОДАЧА РЕСУРСАПОЛЬША</v>
      </c>
      <c r="AR43" s="151"/>
    </row>
    <row r="44" spans="1:44" s="192" customFormat="1" ht="30" customHeight="1" x14ac:dyDescent="0.35">
      <c r="B44" s="260" t="s">
        <v>220</v>
      </c>
      <c r="C44" s="261"/>
      <c r="D44" s="262">
        <v>0</v>
      </c>
      <c r="E44" s="263">
        <v>0</v>
      </c>
      <c r="F44" s="263">
        <v>0</v>
      </c>
      <c r="G44" s="263">
        <v>1287.4320337197</v>
      </c>
      <c r="H44" s="263">
        <v>1465.4959767545802</v>
      </c>
      <c r="I44" s="263">
        <v>6429.5733220552602</v>
      </c>
      <c r="J44" s="263">
        <v>6350.7056157541101</v>
      </c>
      <c r="K44" s="263">
        <v>10164.338347844801</v>
      </c>
      <c r="L44" s="263">
        <v>13421.457392553601</v>
      </c>
      <c r="M44" s="263">
        <v>13417.1740056648</v>
      </c>
      <c r="N44" s="263">
        <v>2426.56974168241</v>
      </c>
      <c r="O44" s="263">
        <v>9339.014041158689</v>
      </c>
      <c r="P44" s="263">
        <v>8645.5052023054595</v>
      </c>
      <c r="Q44" s="263">
        <v>5381.28115678021</v>
      </c>
      <c r="R44" s="263">
        <v>0</v>
      </c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5">
        <f t="shared" si="22"/>
        <v>78328.546836273628</v>
      </c>
      <c r="AJ44" s="225">
        <f t="shared" ca="1" si="18"/>
        <v>3.1331418734509455</v>
      </c>
      <c r="AK44" s="176">
        <f t="shared" si="20"/>
        <v>5.2219031224182419</v>
      </c>
      <c r="AL44" s="223">
        <v>38.431965187422279</v>
      </c>
      <c r="AM44" s="276"/>
      <c r="AQ44" s="200" t="str">
        <f>'[2]ОПЕРАТИВКА пн-пн'!B49</f>
        <v>ГИС КОНДРАТКИ - ПОДАЧА РЕСУРСАГЕРМАНИЯ</v>
      </c>
      <c r="AR44" s="151"/>
    </row>
    <row r="45" spans="1:44" s="192" customFormat="1" ht="30" customHeight="1" x14ac:dyDescent="0.35">
      <c r="B45" s="260" t="s">
        <v>237</v>
      </c>
      <c r="C45" s="261"/>
      <c r="D45" s="262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5">
        <f t="shared" si="22"/>
        <v>0</v>
      </c>
      <c r="AJ45" s="225">
        <f t="shared" ca="1" si="18"/>
        <v>0</v>
      </c>
      <c r="AK45" s="176">
        <f t="shared" si="20"/>
        <v>0</v>
      </c>
      <c r="AL45" s="223">
        <v>0</v>
      </c>
      <c r="AM45" s="276"/>
      <c r="AQ45" s="200" t="str">
        <f>'[2]ОПЕРАТИВКА пн-пн'!B50</f>
        <v>ГИС КОНДРАТКИ - ПОДАЧА РЕСУРСАБЕЛЬГИЯ</v>
      </c>
      <c r="AR45" s="151"/>
    </row>
    <row r="46" spans="1:44" s="192" customFormat="1" ht="30" customHeight="1" x14ac:dyDescent="0.35">
      <c r="B46" s="260" t="s">
        <v>223</v>
      </c>
      <c r="C46" s="261"/>
      <c r="D46" s="262">
        <v>0</v>
      </c>
      <c r="E46" s="263">
        <v>0</v>
      </c>
      <c r="F46" s="263">
        <v>0</v>
      </c>
      <c r="G46" s="263">
        <v>11600.334131621799</v>
      </c>
      <c r="H46" s="263">
        <v>11599.9637269302</v>
      </c>
      <c r="I46" s="263">
        <v>0</v>
      </c>
      <c r="J46" s="263">
        <v>0</v>
      </c>
      <c r="K46" s="263">
        <v>0</v>
      </c>
      <c r="L46" s="263">
        <v>0</v>
      </c>
      <c r="M46" s="263">
        <v>9908.4626640601909</v>
      </c>
      <c r="N46" s="263">
        <v>11588.200202530799</v>
      </c>
      <c r="O46" s="263">
        <v>6437.3179393543196</v>
      </c>
      <c r="P46" s="263">
        <v>11662.137747816001</v>
      </c>
      <c r="Q46" s="263">
        <v>11657.1157345752</v>
      </c>
      <c r="R46" s="263">
        <v>0</v>
      </c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5">
        <f t="shared" si="22"/>
        <v>74453.532146888494</v>
      </c>
      <c r="AJ46" s="225">
        <f t="shared" ca="1" si="18"/>
        <v>2.9781412858755401</v>
      </c>
      <c r="AK46" s="176">
        <f t="shared" si="20"/>
        <v>4.9635688097925659</v>
      </c>
      <c r="AL46" s="223">
        <v>22.980795510748109</v>
      </c>
      <c r="AM46" s="276"/>
      <c r="AQ46" s="200" t="str">
        <f>'[2]ОПЕРАТИВКА пн-пн'!B51</f>
        <v>ГИС КОНДРАТКИ - ПОДАЧА РЕСУРСАНИДЕРЛАНДЫ</v>
      </c>
      <c r="AR46" s="151"/>
    </row>
    <row r="47" spans="1:44" s="192" customFormat="1" ht="30" customHeight="1" x14ac:dyDescent="0.35">
      <c r="B47" s="260" t="s">
        <v>238</v>
      </c>
      <c r="C47" s="261"/>
      <c r="D47" s="262">
        <v>0</v>
      </c>
      <c r="E47" s="263">
        <v>0</v>
      </c>
      <c r="F47" s="263">
        <v>0</v>
      </c>
      <c r="G47" s="263">
        <v>0</v>
      </c>
      <c r="H47" s="263">
        <v>0</v>
      </c>
      <c r="I47" s="263">
        <v>0</v>
      </c>
      <c r="J47" s="263">
        <v>0</v>
      </c>
      <c r="K47" s="263">
        <v>0</v>
      </c>
      <c r="L47" s="263">
        <v>0</v>
      </c>
      <c r="M47" s="263">
        <v>0</v>
      </c>
      <c r="N47" s="263">
        <v>0</v>
      </c>
      <c r="O47" s="263">
        <v>0</v>
      </c>
      <c r="P47" s="263">
        <v>0</v>
      </c>
      <c r="Q47" s="263">
        <v>0</v>
      </c>
      <c r="R47" s="263">
        <v>0</v>
      </c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5">
        <f t="shared" si="22"/>
        <v>0</v>
      </c>
      <c r="AJ47" s="225">
        <f t="shared" ca="1" si="18"/>
        <v>0</v>
      </c>
      <c r="AK47" s="176">
        <f t="shared" si="20"/>
        <v>0</v>
      </c>
      <c r="AL47" s="223">
        <v>16.515393180365518</v>
      </c>
      <c r="AM47" s="276"/>
      <c r="AQ47" s="200" t="str">
        <f>'[2]ОПЕРАТИВКА пн-пн'!B52</f>
        <v>ГИС КОНДРАТКИ - ПОДАЧА РЕСУРСАВЕЛИКОБРИТАНИЯ</v>
      </c>
      <c r="AR47" s="151"/>
    </row>
    <row r="48" spans="1:44" s="192" customFormat="1" ht="30" customHeight="1" x14ac:dyDescent="0.35">
      <c r="B48" s="260" t="s">
        <v>239</v>
      </c>
      <c r="C48" s="261"/>
      <c r="D48" s="262">
        <v>0</v>
      </c>
      <c r="E48" s="263">
        <v>0</v>
      </c>
      <c r="F48" s="263">
        <v>0</v>
      </c>
      <c r="G48" s="263">
        <v>0</v>
      </c>
      <c r="H48" s="263">
        <v>0</v>
      </c>
      <c r="I48" s="263">
        <v>0</v>
      </c>
      <c r="J48" s="263">
        <v>0</v>
      </c>
      <c r="K48" s="263">
        <v>0</v>
      </c>
      <c r="L48" s="263">
        <v>0</v>
      </c>
      <c r="M48" s="263">
        <v>0</v>
      </c>
      <c r="N48" s="263">
        <v>0</v>
      </c>
      <c r="O48" s="263">
        <v>0</v>
      </c>
      <c r="P48" s="263">
        <v>0</v>
      </c>
      <c r="Q48" s="263">
        <v>0</v>
      </c>
      <c r="R48" s="263">
        <v>0</v>
      </c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5">
        <f t="shared" si="22"/>
        <v>0</v>
      </c>
      <c r="AJ48" s="225">
        <f t="shared" ca="1" si="18"/>
        <v>0</v>
      </c>
      <c r="AK48" s="176">
        <f t="shared" si="20"/>
        <v>0</v>
      </c>
      <c r="AL48" s="223">
        <v>2.7142099321428566</v>
      </c>
      <c r="AM48" s="276"/>
      <c r="AQ48" s="200" t="str">
        <f>'[2]ОПЕРАТИВКА пн-пн'!B53</f>
        <v>ГИС КОНДРАТКИ - ПОДАЧА РЕСУРСАДАНИЯ</v>
      </c>
      <c r="AR48" s="151"/>
    </row>
    <row r="49" spans="2:44" s="192" customFormat="1" ht="30" customHeight="1" x14ac:dyDescent="0.35">
      <c r="B49" s="260" t="s">
        <v>240</v>
      </c>
      <c r="C49" s="261"/>
      <c r="D49" s="262">
        <v>0</v>
      </c>
      <c r="E49" s="263">
        <v>0</v>
      </c>
      <c r="F49" s="263">
        <v>0</v>
      </c>
      <c r="G49" s="263">
        <v>0</v>
      </c>
      <c r="H49" s="263">
        <v>0</v>
      </c>
      <c r="I49" s="263">
        <v>0</v>
      </c>
      <c r="J49" s="263">
        <v>0</v>
      </c>
      <c r="K49" s="263">
        <v>0</v>
      </c>
      <c r="L49" s="263">
        <v>0</v>
      </c>
      <c r="M49" s="263">
        <v>-1.1102230246251599E-13</v>
      </c>
      <c r="N49" s="263">
        <v>-1.1102230246251599E-13</v>
      </c>
      <c r="O49" s="263">
        <v>-1.1102230246251599E-13</v>
      </c>
      <c r="P49" s="263">
        <v>0</v>
      </c>
      <c r="Q49" s="263">
        <v>0</v>
      </c>
      <c r="R49" s="263">
        <v>0</v>
      </c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5">
        <f t="shared" si="22"/>
        <v>-3.3306690738754797E-13</v>
      </c>
      <c r="AJ49" s="225">
        <f t="shared" ca="1" si="18"/>
        <v>-1.332267629550192E-17</v>
      </c>
      <c r="AK49" s="176">
        <f t="shared" si="20"/>
        <v>-2.2204460492503197E-17</v>
      </c>
      <c r="AL49" s="223">
        <v>0</v>
      </c>
      <c r="AM49" s="276"/>
      <c r="AQ49" s="200" t="str">
        <f>'[2]ОПЕРАТИВКА пн-пн'!B54</f>
        <v>ГИС КОНДРАТКИ - ПОДАЧА РЕСУРСАШBEЙЦAPИЯ</v>
      </c>
      <c r="AR49" s="151"/>
    </row>
    <row r="50" spans="2:44" s="192" customFormat="1" ht="30" customHeight="1" x14ac:dyDescent="0.35">
      <c r="B50" s="260" t="s">
        <v>241</v>
      </c>
      <c r="C50" s="261"/>
      <c r="D50" s="262">
        <v>0</v>
      </c>
      <c r="E50" s="263">
        <v>0</v>
      </c>
      <c r="F50" s="263">
        <v>0</v>
      </c>
      <c r="G50" s="263">
        <v>0</v>
      </c>
      <c r="H50" s="263">
        <v>0</v>
      </c>
      <c r="I50" s="263">
        <v>0</v>
      </c>
      <c r="J50" s="263">
        <v>0</v>
      </c>
      <c r="K50" s="263">
        <v>0</v>
      </c>
      <c r="L50" s="263">
        <v>0</v>
      </c>
      <c r="M50" s="263">
        <v>0</v>
      </c>
      <c r="N50" s="263">
        <v>0</v>
      </c>
      <c r="O50" s="263">
        <v>7342.98664455376</v>
      </c>
      <c r="P50" s="263">
        <v>0</v>
      </c>
      <c r="Q50" s="263">
        <v>0</v>
      </c>
      <c r="R50" s="263">
        <v>0</v>
      </c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5">
        <f t="shared" si="22"/>
        <v>7342.98664455376</v>
      </c>
      <c r="AJ50" s="225">
        <f t="shared" ca="1" si="18"/>
        <v>0.29371946578215041</v>
      </c>
      <c r="AK50" s="176">
        <f t="shared" si="20"/>
        <v>0.48953244297025067</v>
      </c>
      <c r="AL50" s="223">
        <v>9.8563130068073459</v>
      </c>
      <c r="AM50" s="276"/>
      <c r="AQ50" s="200" t="str">
        <f>'[2]ОПЕРАТИВКА пн-пн'!B55</f>
        <v>ГИС КОНДРАТКИ - ПОДАЧА РЕСУРСАФPAHЦИЯ</v>
      </c>
      <c r="AR50" s="151"/>
    </row>
    <row r="51" spans="2:44" s="192" customFormat="1" ht="30" customHeight="1" x14ac:dyDescent="0.35">
      <c r="B51" s="260" t="s">
        <v>242</v>
      </c>
      <c r="C51" s="261"/>
      <c r="D51" s="262">
        <v>0</v>
      </c>
      <c r="E51" s="263">
        <v>0</v>
      </c>
      <c r="F51" s="263">
        <v>0</v>
      </c>
      <c r="G51" s="263">
        <v>34.486061883322201</v>
      </c>
      <c r="H51" s="263">
        <v>2051.3762053771002</v>
      </c>
      <c r="I51" s="263">
        <v>0</v>
      </c>
      <c r="J51" s="263">
        <v>0</v>
      </c>
      <c r="K51" s="263">
        <v>4584.4706032577005</v>
      </c>
      <c r="L51" s="263">
        <v>6453.9691128935701</v>
      </c>
      <c r="M51" s="263">
        <v>4141.6713926676503</v>
      </c>
      <c r="N51" s="263">
        <v>4139.0955004664593</v>
      </c>
      <c r="O51" s="263">
        <v>4138.9634897980304</v>
      </c>
      <c r="P51" s="263">
        <v>4141.3409709202606</v>
      </c>
      <c r="Q51" s="263">
        <v>4139.5576041276299</v>
      </c>
      <c r="R51" s="263">
        <v>0</v>
      </c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5">
        <f t="shared" si="22"/>
        <v>33824.930941391722</v>
      </c>
      <c r="AJ51" s="225">
        <f t="shared" ca="1" si="18"/>
        <v>1.3529972376556689</v>
      </c>
      <c r="AK51" s="176">
        <f t="shared" si="20"/>
        <v>2.2549953960927813</v>
      </c>
      <c r="AL51" s="223">
        <v>1.8986633250000002</v>
      </c>
      <c r="AM51" s="276"/>
      <c r="AQ51" s="200" t="str">
        <f>'[2]ОПЕРАТИВКА пн-пн'!B56</f>
        <v>ГИС КОНДРАТКИ - ПОДАЧА РЕСУРСАИТАЛИЯ</v>
      </c>
      <c r="AR51" s="151"/>
    </row>
    <row r="52" spans="2:44" s="192" customFormat="1" ht="30" customHeight="1" x14ac:dyDescent="0.35">
      <c r="B52" s="260" t="s">
        <v>243</v>
      </c>
      <c r="C52" s="261"/>
      <c r="D52" s="262">
        <v>0</v>
      </c>
      <c r="E52" s="263">
        <v>0</v>
      </c>
      <c r="F52" s="263">
        <v>0</v>
      </c>
      <c r="G52" s="263">
        <v>3333.6526487211404</v>
      </c>
      <c r="H52" s="263">
        <v>3333.5462034612701</v>
      </c>
      <c r="I52" s="263">
        <v>3332.3491625238398</v>
      </c>
      <c r="J52" s="263">
        <v>3332.10985749166</v>
      </c>
      <c r="K52" s="263">
        <v>3332.7214831248998</v>
      </c>
      <c r="L52" s="263">
        <v>3332.9342751107397</v>
      </c>
      <c r="M52" s="263">
        <v>3331.8705868273</v>
      </c>
      <c r="N52" s="263">
        <v>3329.7983462639504</v>
      </c>
      <c r="O52" s="263">
        <v>3329.6921469976201</v>
      </c>
      <c r="P52" s="263">
        <v>3331.6047708325</v>
      </c>
      <c r="Q52" s="263">
        <v>3330.1700970502202</v>
      </c>
      <c r="R52" s="263">
        <v>0</v>
      </c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5">
        <f t="shared" si="22"/>
        <v>36650.44957840514</v>
      </c>
      <c r="AJ52" s="225">
        <f t="shared" ca="1" si="18"/>
        <v>1.4660179831362057</v>
      </c>
      <c r="AK52" s="176">
        <f t="shared" si="20"/>
        <v>2.4433633052270092</v>
      </c>
      <c r="AL52" s="223">
        <v>8.0707670288748297</v>
      </c>
      <c r="AM52" s="276"/>
      <c r="AQ52" s="200" t="str">
        <f>'[2]ОПЕРАТИВКА пн-пн'!B57</f>
        <v>ГИС КОНДРАТКИ - ПОДАЧА РЕСУРСАЧEXИЯ</v>
      </c>
      <c r="AR52" s="151"/>
    </row>
    <row r="53" spans="2:44" s="192" customFormat="1" ht="30" customHeight="1" x14ac:dyDescent="0.35">
      <c r="B53" s="260" t="s">
        <v>244</v>
      </c>
      <c r="C53" s="261"/>
      <c r="D53" s="262">
        <v>0</v>
      </c>
      <c r="E53" s="263">
        <v>0</v>
      </c>
      <c r="F53" s="263">
        <v>0</v>
      </c>
      <c r="G53" s="263">
        <v>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  <c r="O53" s="263">
        <v>0</v>
      </c>
      <c r="P53" s="263">
        <v>0</v>
      </c>
      <c r="Q53" s="263">
        <v>0</v>
      </c>
      <c r="R53" s="263">
        <v>0</v>
      </c>
      <c r="S53" s="263"/>
      <c r="T53" s="263"/>
      <c r="U53" s="263"/>
      <c r="V53" s="263"/>
      <c r="W53" s="263"/>
      <c r="X53" s="263"/>
      <c r="Y53" s="263"/>
      <c r="Z53" s="263"/>
      <c r="AA53" s="263"/>
      <c r="AB53" s="263"/>
      <c r="AC53" s="263"/>
      <c r="AD53" s="263"/>
      <c r="AE53" s="263"/>
      <c r="AF53" s="263"/>
      <c r="AG53" s="263"/>
      <c r="AH53" s="263"/>
      <c r="AI53" s="265">
        <f t="shared" si="22"/>
        <v>0</v>
      </c>
      <c r="AJ53" s="225">
        <f t="shared" ca="1" si="18"/>
        <v>0</v>
      </c>
      <c r="AK53" s="176">
        <f t="shared" si="20"/>
        <v>0</v>
      </c>
      <c r="AL53" s="223">
        <v>1.9920962892857139</v>
      </c>
      <c r="AQ53" s="200" t="str">
        <f>'[2]ОПЕРАТИВКА пн-пн'!B58</f>
        <v>ГИС КОНДРАТКИ - ПОДАЧА РЕСУРСААВСТРИЯ</v>
      </c>
      <c r="AR53" s="151"/>
    </row>
    <row r="54" spans="2:44" s="192" customFormat="1" ht="30" customHeight="1" x14ac:dyDescent="0.45">
      <c r="B54" s="260" t="s">
        <v>221</v>
      </c>
      <c r="C54" s="261"/>
      <c r="D54" s="262">
        <v>0</v>
      </c>
      <c r="E54" s="263">
        <v>0</v>
      </c>
      <c r="F54" s="263">
        <v>0</v>
      </c>
      <c r="G54" s="263">
        <v>0</v>
      </c>
      <c r="H54" s="263">
        <v>0</v>
      </c>
      <c r="I54" s="263">
        <v>0</v>
      </c>
      <c r="J54" s="263">
        <v>0</v>
      </c>
      <c r="K54" s="263">
        <v>0</v>
      </c>
      <c r="L54" s="263">
        <v>0</v>
      </c>
      <c r="M54" s="263">
        <v>0</v>
      </c>
      <c r="N54" s="263">
        <v>0</v>
      </c>
      <c r="O54" s="263">
        <v>0</v>
      </c>
      <c r="P54" s="263">
        <v>0</v>
      </c>
      <c r="Q54" s="263">
        <v>0</v>
      </c>
      <c r="R54" s="263">
        <v>0</v>
      </c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5">
        <f t="shared" si="22"/>
        <v>0</v>
      </c>
      <c r="AJ54" s="225">
        <f t="shared" ca="1" si="18"/>
        <v>0</v>
      </c>
      <c r="AK54" s="176">
        <f t="shared" si="20"/>
        <v>0</v>
      </c>
      <c r="AL54" s="199">
        <v>0</v>
      </c>
      <c r="AQ54" s="200" t="str">
        <f>'[2]ОПЕРАТИВКА пн-пн'!B59</f>
        <v>ГИС КОНДРАТКИ - ПОДАЧА РЕСУРСАВЕНГРИЯ</v>
      </c>
      <c r="AR54" s="151"/>
    </row>
    <row r="55" spans="2:44" s="192" customFormat="1" ht="30" customHeight="1" x14ac:dyDescent="0.45">
      <c r="B55" s="260" t="s">
        <v>245</v>
      </c>
      <c r="C55" s="261"/>
      <c r="D55" s="262">
        <v>0</v>
      </c>
      <c r="E55" s="263">
        <v>0</v>
      </c>
      <c r="F55" s="263">
        <v>0</v>
      </c>
      <c r="G55" s="263">
        <v>0</v>
      </c>
      <c r="H55" s="263">
        <v>0</v>
      </c>
      <c r="I55" s="263">
        <v>0</v>
      </c>
      <c r="J55" s="263">
        <v>0</v>
      </c>
      <c r="K55" s="263">
        <v>0</v>
      </c>
      <c r="L55" s="263">
        <v>0</v>
      </c>
      <c r="M55" s="263">
        <v>0</v>
      </c>
      <c r="N55" s="263">
        <v>0</v>
      </c>
      <c r="O55" s="263">
        <v>0</v>
      </c>
      <c r="P55" s="263">
        <v>0</v>
      </c>
      <c r="Q55" s="263">
        <v>0</v>
      </c>
      <c r="R55" s="263">
        <v>0</v>
      </c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5">
        <f t="shared" si="22"/>
        <v>0</v>
      </c>
      <c r="AJ55" s="225">
        <f t="shared" ca="1" si="18"/>
        <v>0</v>
      </c>
      <c r="AK55" s="176">
        <f t="shared" si="20"/>
        <v>0</v>
      </c>
      <c r="AL55" s="199">
        <v>0</v>
      </c>
      <c r="AQ55" s="200" t="str">
        <f>'[2]ОПЕРАТИВКА пн-пн'!B60</f>
        <v>ГИС КОНДРАТКИ - ПОДАЧА РЕСУРСАСЛОВЕНИЯ</v>
      </c>
      <c r="AR55" s="151"/>
    </row>
    <row r="56" spans="2:44" s="192" customFormat="1" ht="30" customHeight="1" x14ac:dyDescent="0.45">
      <c r="B56" s="260" t="s">
        <v>215</v>
      </c>
      <c r="C56" s="261"/>
      <c r="D56" s="262">
        <v>0</v>
      </c>
      <c r="E56" s="263">
        <v>0</v>
      </c>
      <c r="F56" s="263">
        <v>0</v>
      </c>
      <c r="G56" s="263">
        <v>0</v>
      </c>
      <c r="H56" s="263">
        <v>0</v>
      </c>
      <c r="I56" s="263">
        <v>0</v>
      </c>
      <c r="J56" s="263">
        <v>0</v>
      </c>
      <c r="K56" s="263">
        <v>0</v>
      </c>
      <c r="L56" s="263">
        <v>0</v>
      </c>
      <c r="M56" s="263">
        <v>0</v>
      </c>
      <c r="N56" s="263">
        <v>0</v>
      </c>
      <c r="O56" s="263">
        <v>0</v>
      </c>
      <c r="P56" s="263">
        <v>0</v>
      </c>
      <c r="Q56" s="263">
        <v>0</v>
      </c>
      <c r="R56" s="263">
        <v>0</v>
      </c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5">
        <f t="shared" si="22"/>
        <v>0</v>
      </c>
      <c r="AJ56" s="225">
        <f t="shared" ca="1" si="18"/>
        <v>0</v>
      </c>
      <c r="AK56" s="176">
        <f t="shared" si="20"/>
        <v>0</v>
      </c>
      <c r="AL56" s="199">
        <v>0</v>
      </c>
      <c r="AQ56" s="200" t="str">
        <f>'[2]ОПЕРАТИВКА пн-пн'!B61</f>
        <v>ГИС КОНДРАТКИ - ПОДАЧА РЕСУРСАСЛОВАКИЯ</v>
      </c>
      <c r="AR56" s="151"/>
    </row>
    <row r="57" spans="2:44" s="170" customFormat="1" ht="42" customHeight="1" thickBot="1" x14ac:dyDescent="0.3">
      <c r="B57" s="277" t="s">
        <v>246</v>
      </c>
      <c r="C57" s="278"/>
      <c r="D57" s="279">
        <v>2340.8289999999997</v>
      </c>
      <c r="E57" s="280">
        <v>2720.1019999999999</v>
      </c>
      <c r="F57" s="280">
        <v>2083.7599999999998</v>
      </c>
      <c r="G57" s="280">
        <v>1867.492</v>
      </c>
      <c r="H57" s="280">
        <v>2233.8680000000004</v>
      </c>
      <c r="I57" s="280">
        <v>2268.857</v>
      </c>
      <c r="J57" s="280">
        <v>2712.509</v>
      </c>
      <c r="K57" s="280">
        <v>3512.471</v>
      </c>
      <c r="L57" s="280">
        <v>2866.8830000000003</v>
      </c>
      <c r="M57" s="280">
        <v>2118.1590000000001</v>
      </c>
      <c r="N57" s="280">
        <v>2063.2199999999998</v>
      </c>
      <c r="O57" s="280">
        <v>1308.954</v>
      </c>
      <c r="P57" s="280">
        <v>1833.95</v>
      </c>
      <c r="Q57" s="280">
        <v>2413.0189999999998</v>
      </c>
      <c r="R57" s="280">
        <v>0</v>
      </c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1">
        <f t="shared" si="22"/>
        <v>32344.073000000004</v>
      </c>
      <c r="AJ57" s="225">
        <f t="shared" ref="AJ57:AJ111" ca="1" si="26">SUM(D57:AH57)/DAY($B$4)*0.001</f>
        <v>1.29376292</v>
      </c>
      <c r="AK57" s="176">
        <f t="shared" si="20"/>
        <v>2.1562715333333333</v>
      </c>
      <c r="AL57" s="177">
        <v>10.063132135714286</v>
      </c>
      <c r="AQ57" s="200" t="str">
        <f>'[2]ОПЕРАТИВКА пн-пн'!B62</f>
        <v>ГИС ИМАТРА (ФИНЛЯНДИЯ)</v>
      </c>
      <c r="AR57" s="151"/>
    </row>
    <row r="58" spans="2:44" s="170" customFormat="1" ht="42" customHeight="1" x14ac:dyDescent="0.25">
      <c r="B58" s="282" t="s">
        <v>247</v>
      </c>
      <c r="C58" s="283"/>
      <c r="D58" s="284">
        <v>24847.25</v>
      </c>
      <c r="E58" s="285">
        <v>39855.417000000001</v>
      </c>
      <c r="F58" s="285">
        <v>29787.197</v>
      </c>
      <c r="G58" s="285">
        <v>19935.266</v>
      </c>
      <c r="H58" s="285">
        <v>17966.66</v>
      </c>
      <c r="I58" s="285">
        <v>24926.615999999998</v>
      </c>
      <c r="J58" s="285">
        <v>24893.814999999999</v>
      </c>
      <c r="K58" s="285">
        <v>24915.580999999998</v>
      </c>
      <c r="L58" s="285">
        <v>34844.881999999998</v>
      </c>
      <c r="M58" s="285">
        <v>42725.504000000001</v>
      </c>
      <c r="N58" s="285">
        <v>45661.502</v>
      </c>
      <c r="O58" s="285">
        <v>47804.397000000004</v>
      </c>
      <c r="P58" s="285">
        <v>29766.870999999999</v>
      </c>
      <c r="Q58" s="285">
        <v>24814.077000000001</v>
      </c>
      <c r="R58" s="285">
        <v>0</v>
      </c>
      <c r="S58" s="285"/>
      <c r="T58" s="285"/>
      <c r="U58" s="285"/>
      <c r="V58" s="285"/>
      <c r="W58" s="285"/>
      <c r="X58" s="285"/>
      <c r="Y58" s="285"/>
      <c r="Z58" s="285"/>
      <c r="AA58" s="285"/>
      <c r="AB58" s="285"/>
      <c r="AC58" s="285"/>
      <c r="AD58" s="285"/>
      <c r="AE58" s="285"/>
      <c r="AF58" s="285"/>
      <c r="AG58" s="285"/>
      <c r="AH58" s="285"/>
      <c r="AI58" s="286">
        <f t="shared" si="22"/>
        <v>432745.03499999997</v>
      </c>
      <c r="AJ58" s="225">
        <f t="shared" ca="1" si="26"/>
        <v>17.309801400000001</v>
      </c>
      <c r="AK58" s="176">
        <f t="shared" si="20"/>
        <v>28.849668999999999</v>
      </c>
      <c r="AL58" s="177">
        <v>46.782028153571424</v>
      </c>
      <c r="AQ58" s="200" t="str">
        <f>'[2]ОПЕРАТИВКА пн-пн'!B63</f>
        <v>ГОЛУБОЙ ПОТОК (ТУРЦИЯ)</v>
      </c>
      <c r="AR58" s="151"/>
    </row>
    <row r="59" spans="2:44" s="170" customFormat="1" ht="42" customHeight="1" x14ac:dyDescent="0.25">
      <c r="B59" s="287" t="s">
        <v>248</v>
      </c>
      <c r="C59" s="288"/>
      <c r="D59" s="289">
        <f>D63+D62+D60-D61</f>
        <v>52998.923056209256</v>
      </c>
      <c r="E59" s="289">
        <f t="shared" ref="E59:AH59" si="27">E63+E62+E60-E61</f>
        <v>44933.978571082218</v>
      </c>
      <c r="F59" s="289">
        <f t="shared" si="27"/>
        <v>52450.8533760711</v>
      </c>
      <c r="G59" s="289">
        <f t="shared" si="27"/>
        <v>54743.214979843964</v>
      </c>
      <c r="H59" s="289">
        <f t="shared" si="27"/>
        <v>54352.155189830955</v>
      </c>
      <c r="I59" s="289">
        <f t="shared" si="27"/>
        <v>49055.029463602332</v>
      </c>
      <c r="J59" s="289">
        <f t="shared" si="27"/>
        <v>49090.011450298611</v>
      </c>
      <c r="K59" s="289">
        <f t="shared" si="27"/>
        <v>49914.897823024483</v>
      </c>
      <c r="L59" s="289">
        <f t="shared" si="27"/>
        <v>53338.210849762552</v>
      </c>
      <c r="M59" s="289">
        <f t="shared" si="27"/>
        <v>55438.439686703015</v>
      </c>
      <c r="N59" s="289">
        <f t="shared" si="27"/>
        <v>55516.992200640729</v>
      </c>
      <c r="O59" s="289">
        <f t="shared" si="27"/>
        <v>56446.259776559404</v>
      </c>
      <c r="P59" s="289">
        <f t="shared" si="27"/>
        <v>54610.635857212619</v>
      </c>
      <c r="Q59" s="289">
        <f t="shared" si="27"/>
        <v>55426.337270069431</v>
      </c>
      <c r="R59" s="289">
        <f t="shared" si="27"/>
        <v>0</v>
      </c>
      <c r="S59" s="289">
        <f t="shared" si="27"/>
        <v>0</v>
      </c>
      <c r="T59" s="289">
        <f t="shared" si="27"/>
        <v>0</v>
      </c>
      <c r="U59" s="289">
        <f t="shared" si="27"/>
        <v>0</v>
      </c>
      <c r="V59" s="289">
        <f t="shared" si="27"/>
        <v>0</v>
      </c>
      <c r="W59" s="289">
        <f t="shared" si="27"/>
        <v>0</v>
      </c>
      <c r="X59" s="289">
        <f t="shared" si="27"/>
        <v>0</v>
      </c>
      <c r="Y59" s="289">
        <f t="shared" si="27"/>
        <v>0</v>
      </c>
      <c r="Z59" s="289">
        <f t="shared" si="27"/>
        <v>0</v>
      </c>
      <c r="AA59" s="289">
        <f t="shared" si="27"/>
        <v>0</v>
      </c>
      <c r="AB59" s="289">
        <f t="shared" si="27"/>
        <v>0</v>
      </c>
      <c r="AC59" s="289">
        <f t="shared" si="27"/>
        <v>0</v>
      </c>
      <c r="AD59" s="289">
        <f t="shared" si="27"/>
        <v>0</v>
      </c>
      <c r="AE59" s="289">
        <f t="shared" si="27"/>
        <v>0</v>
      </c>
      <c r="AF59" s="289">
        <f t="shared" si="27"/>
        <v>0</v>
      </c>
      <c r="AG59" s="289">
        <f t="shared" si="27"/>
        <v>0</v>
      </c>
      <c r="AH59" s="289">
        <f t="shared" si="27"/>
        <v>0</v>
      </c>
      <c r="AI59" s="290">
        <f>SUM(D59:AH59)</f>
        <v>738315.93955091061</v>
      </c>
      <c r="AJ59" s="225">
        <f t="shared" ca="1" si="26"/>
        <v>29.532637582036422</v>
      </c>
      <c r="AK59" s="176">
        <f t="shared" si="20"/>
        <v>27.345034798181874</v>
      </c>
      <c r="AL59" s="177">
        <v>69.386309121428582</v>
      </c>
      <c r="AQ59" s="200"/>
      <c r="AR59" s="151"/>
    </row>
    <row r="60" spans="2:44" s="170" customFormat="1" ht="42" customHeight="1" x14ac:dyDescent="0.25">
      <c r="B60" s="291" t="s">
        <v>212</v>
      </c>
      <c r="C60" s="292"/>
      <c r="D60" s="293">
        <v>0</v>
      </c>
      <c r="E60" s="294">
        <v>0</v>
      </c>
      <c r="F60" s="294">
        <v>0</v>
      </c>
      <c r="G60" s="294">
        <v>0</v>
      </c>
      <c r="H60" s="294">
        <v>0</v>
      </c>
      <c r="I60" s="294">
        <v>0</v>
      </c>
      <c r="J60" s="294">
        <v>0</v>
      </c>
      <c r="K60" s="294">
        <v>0</v>
      </c>
      <c r="L60" s="294">
        <v>0</v>
      </c>
      <c r="M60" s="294">
        <v>0</v>
      </c>
      <c r="N60" s="294">
        <v>0</v>
      </c>
      <c r="O60" s="294">
        <v>0</v>
      </c>
      <c r="P60" s="294">
        <v>0</v>
      </c>
      <c r="Q60" s="294">
        <v>0</v>
      </c>
      <c r="R60" s="295">
        <v>0</v>
      </c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6"/>
      <c r="AJ60" s="225">
        <f ca="1">SUM(D60:AH60)/DAY($B$4)*0.001</f>
        <v>0</v>
      </c>
      <c r="AK60" s="176">
        <f>IFERROR(AVERAGE(D60:AD60)/1000,0)</f>
        <v>0</v>
      </c>
      <c r="AL60" s="177">
        <v>0</v>
      </c>
      <c r="AQ60" s="200" t="str">
        <f>'[2]ОПЕРАТИВКА пн-пн'!B65</f>
        <v>ТУРЕЦКИЙ ПОТОК - ПОДАЧА РЕСУРСАЗАКАЧКА в ПХГ</v>
      </c>
      <c r="AR60" s="151"/>
    </row>
    <row r="61" spans="2:44" s="170" customFormat="1" ht="42" customHeight="1" x14ac:dyDescent="0.25">
      <c r="B61" s="291" t="s">
        <v>213</v>
      </c>
      <c r="C61" s="292"/>
      <c r="D61" s="293">
        <v>2550</v>
      </c>
      <c r="E61" s="294">
        <v>2550</v>
      </c>
      <c r="F61" s="294">
        <v>1779.5070000000001</v>
      </c>
      <c r="G61" s="294">
        <v>0</v>
      </c>
      <c r="H61" s="294">
        <v>0</v>
      </c>
      <c r="I61" s="294">
        <v>0</v>
      </c>
      <c r="J61" s="294">
        <v>0</v>
      </c>
      <c r="K61" s="294">
        <v>0</v>
      </c>
      <c r="L61" s="294">
        <v>0</v>
      </c>
      <c r="M61" s="294">
        <v>0</v>
      </c>
      <c r="N61" s="294">
        <v>0</v>
      </c>
      <c r="O61" s="294">
        <v>0</v>
      </c>
      <c r="P61" s="294">
        <v>0</v>
      </c>
      <c r="Q61" s="294">
        <v>0</v>
      </c>
      <c r="R61" s="295">
        <v>0</v>
      </c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6"/>
      <c r="AJ61" s="225">
        <f ca="1">SUM(D61:AH61)/DAY($B$4)*0.001</f>
        <v>0.27518028</v>
      </c>
      <c r="AK61" s="176">
        <f>IFERROR(AVERAGE(D61:AD61)/1000,0)</f>
        <v>0.45863379999999992</v>
      </c>
      <c r="AL61" s="177">
        <v>0</v>
      </c>
      <c r="AQ61" s="200" t="str">
        <f>'[2]ОПЕРАТИВКА пн-пн'!B66</f>
        <v>ТУРЕЦКИЙ ПОТОК - ПОДАЧА РЕСУРСАОТБОР из ПХГ</v>
      </c>
      <c r="AR61" s="151"/>
    </row>
    <row r="62" spans="2:44" s="170" customFormat="1" ht="42" customHeight="1" x14ac:dyDescent="0.25">
      <c r="B62" s="291" t="s">
        <v>249</v>
      </c>
      <c r="C62" s="292"/>
      <c r="D62" s="293">
        <v>6500</v>
      </c>
      <c r="E62" s="294">
        <v>0</v>
      </c>
      <c r="F62" s="294">
        <v>0</v>
      </c>
      <c r="G62" s="294">
        <v>0</v>
      </c>
      <c r="H62" s="294">
        <v>0</v>
      </c>
      <c r="I62" s="294">
        <v>-5000</v>
      </c>
      <c r="J62" s="294">
        <v>-5000</v>
      </c>
      <c r="K62" s="294">
        <v>-5000</v>
      </c>
      <c r="L62" s="294">
        <v>-2000</v>
      </c>
      <c r="M62" s="294">
        <v>0</v>
      </c>
      <c r="N62" s="294">
        <v>0</v>
      </c>
      <c r="O62" s="294">
        <v>0</v>
      </c>
      <c r="P62" s="294">
        <v>0</v>
      </c>
      <c r="Q62" s="294">
        <v>0</v>
      </c>
      <c r="R62" s="295">
        <v>0</v>
      </c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6"/>
      <c r="AJ62" s="225">
        <f t="shared" ca="1" si="26"/>
        <v>-0.42</v>
      </c>
      <c r="AK62" s="176">
        <f t="shared" si="20"/>
        <v>-0.7</v>
      </c>
      <c r="AL62" s="177">
        <v>1.8626857142857139E-2</v>
      </c>
      <c r="AQ62" s="200" t="str">
        <f>'[2]ОПЕРАТИВКА пн-пн'!B67</f>
        <v>ТУРЕЦКИЙ ПОТОК - ПОДАЧА РЕСУРСАТех.нужды SSTBV/аккумуляция</v>
      </c>
      <c r="AR62" s="151"/>
    </row>
    <row r="63" spans="2:44" s="170" customFormat="1" ht="42" customHeight="1" x14ac:dyDescent="0.25">
      <c r="B63" s="297" t="s">
        <v>46</v>
      </c>
      <c r="C63" s="292"/>
      <c r="D63" s="298">
        <f t="shared" ref="D63:AH63" si="28">SUM(D64:D76)</f>
        <v>49048.923056209256</v>
      </c>
      <c r="E63" s="299">
        <f t="shared" si="28"/>
        <v>47483.978571082218</v>
      </c>
      <c r="F63" s="299">
        <f t="shared" si="28"/>
        <v>54230.360376071098</v>
      </c>
      <c r="G63" s="299">
        <f t="shared" si="28"/>
        <v>54743.214979843964</v>
      </c>
      <c r="H63" s="299">
        <f t="shared" si="28"/>
        <v>54352.155189830955</v>
      </c>
      <c r="I63" s="299">
        <f t="shared" si="28"/>
        <v>54055.029463602332</v>
      </c>
      <c r="J63" s="299">
        <f t="shared" si="28"/>
        <v>54090.011450298611</v>
      </c>
      <c r="K63" s="299">
        <f t="shared" si="28"/>
        <v>54914.897823024483</v>
      </c>
      <c r="L63" s="299">
        <f t="shared" si="28"/>
        <v>55338.210849762552</v>
      </c>
      <c r="M63" s="299">
        <f t="shared" si="28"/>
        <v>55438.439686703015</v>
      </c>
      <c r="N63" s="299">
        <f t="shared" si="28"/>
        <v>55516.992200640729</v>
      </c>
      <c r="O63" s="299">
        <f t="shared" si="28"/>
        <v>56446.259776559404</v>
      </c>
      <c r="P63" s="299">
        <f t="shared" si="28"/>
        <v>54610.635857212619</v>
      </c>
      <c r="Q63" s="299">
        <f t="shared" si="28"/>
        <v>55426.337270069431</v>
      </c>
      <c r="R63" s="299">
        <f t="shared" si="28"/>
        <v>0</v>
      </c>
      <c r="S63" s="299">
        <f t="shared" si="28"/>
        <v>0</v>
      </c>
      <c r="T63" s="299">
        <f t="shared" si="28"/>
        <v>0</v>
      </c>
      <c r="U63" s="299">
        <f t="shared" si="28"/>
        <v>0</v>
      </c>
      <c r="V63" s="299">
        <f t="shared" si="28"/>
        <v>0</v>
      </c>
      <c r="W63" s="299">
        <f t="shared" si="28"/>
        <v>0</v>
      </c>
      <c r="X63" s="299">
        <f t="shared" si="28"/>
        <v>0</v>
      </c>
      <c r="Y63" s="299">
        <f t="shared" si="28"/>
        <v>0</v>
      </c>
      <c r="Z63" s="299">
        <f t="shared" si="28"/>
        <v>0</v>
      </c>
      <c r="AA63" s="299">
        <f t="shared" si="28"/>
        <v>0</v>
      </c>
      <c r="AB63" s="299">
        <f t="shared" si="28"/>
        <v>0</v>
      </c>
      <c r="AC63" s="299">
        <f t="shared" si="28"/>
        <v>0</v>
      </c>
      <c r="AD63" s="299">
        <f t="shared" si="28"/>
        <v>0</v>
      </c>
      <c r="AE63" s="299">
        <f t="shared" si="28"/>
        <v>0</v>
      </c>
      <c r="AF63" s="299">
        <f t="shared" si="28"/>
        <v>0</v>
      </c>
      <c r="AG63" s="299">
        <f t="shared" si="28"/>
        <v>0</v>
      </c>
      <c r="AH63" s="299">
        <f t="shared" si="28"/>
        <v>0</v>
      </c>
      <c r="AI63" s="300">
        <f t="shared" ref="AI63:AI116" si="29">SUM(D63:AH63)</f>
        <v>755695.44655091059</v>
      </c>
      <c r="AJ63" s="225">
        <f t="shared" ca="1" si="26"/>
        <v>30.227817862036424</v>
      </c>
      <c r="AK63" s="176"/>
      <c r="AL63" s="177">
        <v>69.367682264285719</v>
      </c>
      <c r="AM63" s="301"/>
      <c r="AN63" s="301"/>
      <c r="AQ63" s="200"/>
      <c r="AR63" s="151"/>
    </row>
    <row r="64" spans="2:44" s="170" customFormat="1" ht="42" customHeight="1" x14ac:dyDescent="0.25">
      <c r="B64" s="297" t="s">
        <v>250</v>
      </c>
      <c r="C64" s="292"/>
      <c r="D64" s="293">
        <v>7854.6850562092495</v>
      </c>
      <c r="E64" s="295">
        <v>7688.0705710822203</v>
      </c>
      <c r="F64" s="295">
        <v>7626.7023760710899</v>
      </c>
      <c r="G64" s="295">
        <v>7359.6559798439694</v>
      </c>
      <c r="H64" s="295">
        <v>6781.00818983095</v>
      </c>
      <c r="I64" s="295">
        <v>6545.0934636023303</v>
      </c>
      <c r="J64" s="295">
        <v>6631.3954502986107</v>
      </c>
      <c r="K64" s="295">
        <v>6858.9598230244801</v>
      </c>
      <c r="L64" s="295">
        <v>7455.6898497625498</v>
      </c>
      <c r="M64" s="295">
        <v>7963.3866867030001</v>
      </c>
      <c r="N64" s="295">
        <v>8153.3342006407302</v>
      </c>
      <c r="O64" s="295">
        <v>8136.6207765594008</v>
      </c>
      <c r="P64" s="295">
        <v>7677.2508572126198</v>
      </c>
      <c r="Q64" s="295">
        <v>7741.7492700694302</v>
      </c>
      <c r="R64" s="295">
        <v>0</v>
      </c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302">
        <f t="shared" si="29"/>
        <v>104473.60255091064</v>
      </c>
      <c r="AJ64" s="225">
        <f t="shared" ca="1" si="26"/>
        <v>4.178944102036426</v>
      </c>
      <c r="AK64" s="176">
        <f t="shared" ref="AK64:AK111" si="30">IFERROR(AVERAGE(D64:AD64)/1000,0)</f>
        <v>6.9649068367273754</v>
      </c>
      <c r="AL64" s="177">
        <v>7.9609623821428563</v>
      </c>
      <c r="AM64" s="184"/>
      <c r="AN64" s="184"/>
      <c r="AQ64" s="200" t="str">
        <f>'[2]ОПЕРАТИВКА пн-пн'!B69</f>
        <v>ТУРЕЦКИЙ ПОТОК - ПОДАЧА РЕСУРСАБОЛГАРИЯ</v>
      </c>
      <c r="AR64" s="151"/>
    </row>
    <row r="65" spans="2:44" s="170" customFormat="1" ht="42" customHeight="1" x14ac:dyDescent="0.25">
      <c r="B65" s="291" t="s">
        <v>251</v>
      </c>
      <c r="C65" s="292"/>
      <c r="D65" s="293">
        <v>22929.002</v>
      </c>
      <c r="E65" s="295">
        <v>22913.645</v>
      </c>
      <c r="F65" s="295">
        <v>22845.296999999999</v>
      </c>
      <c r="G65" s="295">
        <v>22775.864999999998</v>
      </c>
      <c r="H65" s="295">
        <v>22770.233</v>
      </c>
      <c r="I65" s="295">
        <v>22774.317999999999</v>
      </c>
      <c r="J65" s="295">
        <v>22852.174999999999</v>
      </c>
      <c r="K65" s="295">
        <v>22373.89</v>
      </c>
      <c r="L65" s="295">
        <v>22110.143999999997</v>
      </c>
      <c r="M65" s="295">
        <v>22128.870999999999</v>
      </c>
      <c r="N65" s="295">
        <v>22185.797999999999</v>
      </c>
      <c r="O65" s="295">
        <v>22188.185000000001</v>
      </c>
      <c r="P65" s="295">
        <v>22150.210999999999</v>
      </c>
      <c r="Q65" s="295">
        <v>22160.011000000002</v>
      </c>
      <c r="R65" s="295">
        <v>0</v>
      </c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5"/>
      <c r="AD65" s="295"/>
      <c r="AE65" s="295"/>
      <c r="AF65" s="295"/>
      <c r="AG65" s="295"/>
      <c r="AH65" s="295"/>
      <c r="AI65" s="302">
        <f t="shared" si="29"/>
        <v>315157.64500000002</v>
      </c>
      <c r="AJ65" s="225">
        <f t="shared" ca="1" si="26"/>
        <v>12.606305800000001</v>
      </c>
      <c r="AK65" s="176">
        <f t="shared" si="30"/>
        <v>21.010509666666668</v>
      </c>
      <c r="AL65" s="177">
        <v>39.150291357142869</v>
      </c>
      <c r="AM65" s="184"/>
      <c r="AN65" s="184"/>
      <c r="AQ65" s="200" t="str">
        <f>'[2]ОПЕРАТИВКА пн-пн'!B70</f>
        <v>ТУРЕЦКИЙ ПОТОК - ПОДАЧА РЕСУРСАTУPЦИЯ</v>
      </c>
      <c r="AR65" s="151"/>
    </row>
    <row r="66" spans="2:44" s="170" customFormat="1" ht="42" customHeight="1" x14ac:dyDescent="0.25">
      <c r="B66" s="291" t="s">
        <v>252</v>
      </c>
      <c r="C66" s="292"/>
      <c r="D66" s="293">
        <v>7191.0079999999998</v>
      </c>
      <c r="E66" s="295">
        <v>5795.1540000000005</v>
      </c>
      <c r="F66" s="295">
        <v>5990.7649999999994</v>
      </c>
      <c r="G66" s="295">
        <v>5988.165</v>
      </c>
      <c r="H66" s="295">
        <v>6132.9070000000002</v>
      </c>
      <c r="I66" s="295">
        <v>5783.277</v>
      </c>
      <c r="J66" s="295">
        <v>5783.277</v>
      </c>
      <c r="K66" s="295">
        <v>6498.8119999999999</v>
      </c>
      <c r="L66" s="295">
        <v>6404.3829999999998</v>
      </c>
      <c r="M66" s="295">
        <v>6071.8959999999997</v>
      </c>
      <c r="N66" s="295">
        <v>6078.7649999999994</v>
      </c>
      <c r="O66" s="295">
        <v>6823.7129999999997</v>
      </c>
      <c r="P66" s="295">
        <v>5525.6149999999998</v>
      </c>
      <c r="Q66" s="295">
        <v>6316.3320000000003</v>
      </c>
      <c r="R66" s="295">
        <v>0</v>
      </c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302">
        <f t="shared" si="29"/>
        <v>86384.069000000003</v>
      </c>
      <c r="AJ66" s="225">
        <f t="shared" ca="1" si="26"/>
        <v>3.4553627599999999</v>
      </c>
      <c r="AK66" s="176">
        <f t="shared" si="30"/>
        <v>5.7589379333333337</v>
      </c>
      <c r="AL66" s="177">
        <v>9.3116063607142863</v>
      </c>
      <c r="AM66" s="184"/>
      <c r="AN66" s="184"/>
      <c r="AQ66" s="200" t="str">
        <f>'[2]ОПЕРАТИВКА пн-пн'!B71</f>
        <v>ТУРЕЦКИЙ ПОТОК - ПОДАЧА РЕСУРСАГРЕЦИЯ</v>
      </c>
      <c r="AR66" s="151"/>
    </row>
    <row r="67" spans="2:44" s="170" customFormat="1" ht="42" customHeight="1" x14ac:dyDescent="0.25">
      <c r="B67" s="291" t="s">
        <v>253</v>
      </c>
      <c r="C67" s="292"/>
      <c r="D67" s="293">
        <v>309.54900000000004</v>
      </c>
      <c r="E67" s="295">
        <v>318.947</v>
      </c>
      <c r="F67" s="295">
        <v>307.12</v>
      </c>
      <c r="G67" s="295">
        <v>296.37700000000001</v>
      </c>
      <c r="H67" s="295">
        <v>230.1</v>
      </c>
      <c r="I67" s="294">
        <v>272.714</v>
      </c>
      <c r="J67" s="295">
        <v>247.547</v>
      </c>
      <c r="K67" s="295">
        <v>279.72699999999998</v>
      </c>
      <c r="L67" s="295">
        <v>316.81299999999999</v>
      </c>
      <c r="M67" s="295">
        <v>289.786</v>
      </c>
      <c r="N67" s="295">
        <v>293.39600000000002</v>
      </c>
      <c r="O67" s="295">
        <v>278.38499999999999</v>
      </c>
      <c r="P67" s="295">
        <v>274.97800000000001</v>
      </c>
      <c r="Q67" s="295">
        <v>272.803</v>
      </c>
      <c r="R67" s="295">
        <v>0</v>
      </c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302">
        <f t="shared" si="29"/>
        <v>3988.2420000000002</v>
      </c>
      <c r="AJ67" s="225">
        <f t="shared" ca="1" si="26"/>
        <v>0.15952968000000001</v>
      </c>
      <c r="AK67" s="176">
        <f t="shared" si="30"/>
        <v>0.26588280000000003</v>
      </c>
      <c r="AL67" s="177">
        <v>0.27194117857142863</v>
      </c>
      <c r="AM67" s="184"/>
      <c r="AN67" s="184"/>
      <c r="AQ67" s="200" t="str">
        <f>'[2]ОПЕРАТИВКА пн-пн'!B72</f>
        <v>ТУРЕЦКИЙ ПОТОК - ПОДАЧА РЕСУРСАСЕВЕРНАЯ МАКЕДОНИЯ</v>
      </c>
      <c r="AR67" s="151"/>
    </row>
    <row r="68" spans="2:44" s="170" customFormat="1" ht="42" customHeight="1" x14ac:dyDescent="0.25">
      <c r="B68" s="291" t="s">
        <v>254</v>
      </c>
      <c r="C68" s="292"/>
      <c r="D68" s="293">
        <v>1271.6579999999999</v>
      </c>
      <c r="E68" s="295">
        <v>1271.6190000000001</v>
      </c>
      <c r="F68" s="294">
        <v>1334.241</v>
      </c>
      <c r="G68" s="294">
        <v>1221.489</v>
      </c>
      <c r="H68" s="294">
        <v>1218.857</v>
      </c>
      <c r="I68" s="295">
        <v>1216.3820000000001</v>
      </c>
      <c r="J68" s="294">
        <v>1292.268</v>
      </c>
      <c r="K68" s="294">
        <v>1314.6780000000001</v>
      </c>
      <c r="L68" s="294">
        <v>1311.5119999999999</v>
      </c>
      <c r="M68" s="294">
        <v>1296.046</v>
      </c>
      <c r="N68" s="294">
        <v>1269.8899999999999</v>
      </c>
      <c r="O68" s="294">
        <v>1365.643</v>
      </c>
      <c r="P68" s="294">
        <v>1313.8009999999999</v>
      </c>
      <c r="Q68" s="294">
        <v>1288.384</v>
      </c>
      <c r="R68" s="295">
        <v>0</v>
      </c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303">
        <f t="shared" si="29"/>
        <v>17986.468000000001</v>
      </c>
      <c r="AJ68" s="225">
        <f t="shared" ca="1" si="26"/>
        <v>0.71945872000000011</v>
      </c>
      <c r="AK68" s="176">
        <f t="shared" si="30"/>
        <v>1.1990978666666667</v>
      </c>
      <c r="AL68" s="177">
        <v>1.2327999678571429</v>
      </c>
      <c r="AM68" s="184"/>
      <c r="AN68" s="184"/>
      <c r="AQ68" s="200" t="str">
        <f>'[2]ОПЕРАТИВКА пн-пн'!B73</f>
        <v>ТУРЕЦКИЙ ПОТОК - ПОДАЧА РЕСУРСАгаз Gazprom Schweiz</v>
      </c>
      <c r="AR68" s="151"/>
    </row>
    <row r="69" spans="2:44" s="170" customFormat="1" ht="42" customHeight="1" x14ac:dyDescent="0.25">
      <c r="B69" s="291" t="s">
        <v>255</v>
      </c>
      <c r="C69" s="292"/>
      <c r="D69" s="304">
        <v>6943.0209999999997</v>
      </c>
      <c r="E69" s="304">
        <v>6946.5430000000006</v>
      </c>
      <c r="F69" s="304">
        <v>8917.9809999999998</v>
      </c>
      <c r="G69" s="304">
        <v>8925.2569999999996</v>
      </c>
      <c r="H69" s="304">
        <v>8909.9850000000006</v>
      </c>
      <c r="I69" s="304">
        <v>8908.3979999999992</v>
      </c>
      <c r="J69" s="304">
        <v>8909.1080000000002</v>
      </c>
      <c r="K69" s="304">
        <v>8909.1740000000009</v>
      </c>
      <c r="L69" s="304">
        <v>8909.6980000000003</v>
      </c>
      <c r="M69" s="304">
        <v>8909.4510000000009</v>
      </c>
      <c r="N69" s="304">
        <v>8919.5300000000007</v>
      </c>
      <c r="O69" s="304">
        <v>8917.5239999999994</v>
      </c>
      <c r="P69" s="304">
        <v>8908.7579999999998</v>
      </c>
      <c r="Q69" s="304">
        <v>8913.1280000000006</v>
      </c>
      <c r="R69" s="304">
        <v>0</v>
      </c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2">
        <f t="shared" si="29"/>
        <v>120847.55600000001</v>
      </c>
      <c r="AJ69" s="225">
        <f t="shared" ca="1" si="26"/>
        <v>4.8339022400000005</v>
      </c>
      <c r="AK69" s="176">
        <f t="shared" si="30"/>
        <v>8.0565037333333347</v>
      </c>
      <c r="AL69" s="177">
        <v>2.7642886357142853</v>
      </c>
      <c r="AM69" s="184"/>
      <c r="AN69" s="184"/>
      <c r="AQ69" s="200" t="str">
        <f>'[2]ОПЕРАТИВКА пн-пн'!B74</f>
        <v>ТУРЕЦКИЙ ПОТОК - ПОДАЧА РЕСУРСАРУМЫНИЯ</v>
      </c>
      <c r="AR69" s="151"/>
    </row>
    <row r="70" spans="2:44" s="170" customFormat="1" ht="42" customHeight="1" x14ac:dyDescent="0.25">
      <c r="B70" s="291" t="s">
        <v>256</v>
      </c>
      <c r="C70" s="292"/>
      <c r="D70" s="304">
        <v>2550</v>
      </c>
      <c r="E70" s="304">
        <v>2550</v>
      </c>
      <c r="F70" s="304">
        <v>5200.5950000000003</v>
      </c>
      <c r="G70" s="304">
        <v>6084.5029999999997</v>
      </c>
      <c r="H70" s="304">
        <v>6074.0920000000006</v>
      </c>
      <c r="I70" s="304">
        <v>6086.9359999999997</v>
      </c>
      <c r="J70" s="304">
        <v>6087.4210000000003</v>
      </c>
      <c r="K70" s="304">
        <v>6087.4670000000006</v>
      </c>
      <c r="L70" s="304">
        <v>6087.8249999999998</v>
      </c>
      <c r="M70" s="304">
        <v>6087.6559999999999</v>
      </c>
      <c r="N70" s="304">
        <v>6094.5419999999995</v>
      </c>
      <c r="O70" s="304">
        <v>6093.1720000000005</v>
      </c>
      <c r="P70" s="304">
        <v>6087.1820000000007</v>
      </c>
      <c r="Q70" s="304">
        <v>6090.1680000000006</v>
      </c>
      <c r="R70" s="304">
        <v>0</v>
      </c>
      <c r="S70" s="304"/>
      <c r="T70" s="304"/>
      <c r="U70" s="304"/>
      <c r="V70" s="304"/>
      <c r="W70" s="304"/>
      <c r="X70" s="304"/>
      <c r="Y70" s="304"/>
      <c r="Z70" s="304"/>
      <c r="AA70" s="304"/>
      <c r="AB70" s="304"/>
      <c r="AC70" s="304"/>
      <c r="AD70" s="304"/>
      <c r="AE70" s="304"/>
      <c r="AF70" s="304"/>
      <c r="AG70" s="304"/>
      <c r="AH70" s="304"/>
      <c r="AI70" s="302">
        <f t="shared" si="29"/>
        <v>77261.559000000008</v>
      </c>
      <c r="AJ70" s="225">
        <f t="shared" ca="1" si="26"/>
        <v>3.0904623600000005</v>
      </c>
      <c r="AK70" s="176">
        <f t="shared" si="30"/>
        <v>5.1507706000000004</v>
      </c>
      <c r="AL70" s="177">
        <v>8.5598826071428569</v>
      </c>
      <c r="AM70" s="184"/>
      <c r="AN70" s="184"/>
      <c r="AQ70" s="200" t="str">
        <f>'[2]ОПЕРАТИВКА пн-пн'!B75</f>
        <v>ТУРЕЦКИЙ ПОТОК - ПОДАЧА РЕСУРСАСЕРБИЯ</v>
      </c>
      <c r="AR70" s="151"/>
    </row>
    <row r="71" spans="2:44" s="170" customFormat="1" ht="42" customHeight="1" x14ac:dyDescent="0.25">
      <c r="B71" s="291" t="s">
        <v>257</v>
      </c>
      <c r="C71" s="292"/>
      <c r="D71" s="304">
        <v>0</v>
      </c>
      <c r="E71" s="304">
        <v>0</v>
      </c>
      <c r="F71" s="304">
        <v>681.61400000000003</v>
      </c>
      <c r="G71" s="304">
        <v>764.77600000000007</v>
      </c>
      <c r="H71" s="304">
        <v>659.80399999999997</v>
      </c>
      <c r="I71" s="304">
        <v>893.02300000000002</v>
      </c>
      <c r="J71" s="304">
        <v>711.80600000000004</v>
      </c>
      <c r="K71" s="304">
        <v>1017.1650000000001</v>
      </c>
      <c r="L71" s="304">
        <v>1167.028</v>
      </c>
      <c r="M71" s="304">
        <v>1116.2730000000001</v>
      </c>
      <c r="N71" s="304">
        <v>944.88099999999997</v>
      </c>
      <c r="O71" s="304">
        <v>1066.5150000000001</v>
      </c>
      <c r="P71" s="304">
        <v>1097.8889999999999</v>
      </c>
      <c r="Q71" s="304">
        <v>1068.038</v>
      </c>
      <c r="R71" s="304">
        <v>0</v>
      </c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  <c r="AH71" s="304"/>
      <c r="AI71" s="302">
        <f t="shared" si="29"/>
        <v>11188.812</v>
      </c>
      <c r="AJ71" s="225">
        <f t="shared" ca="1" si="26"/>
        <v>0.44755248000000003</v>
      </c>
      <c r="AK71" s="176">
        <f t="shared" si="30"/>
        <v>0.74592079999999994</v>
      </c>
      <c r="AL71" s="177">
        <v>0.11590977499999999</v>
      </c>
      <c r="AM71" s="184"/>
      <c r="AN71" s="184"/>
      <c r="AQ71" s="200" t="str">
        <f>'[2]ОПЕРАТИВКА пн-пн'!B76</f>
        <v>ТУРЕЦКИЙ ПОТОК - ПОДАЧА РЕСУРСАБОСНИЯ и ГЕРЦЕГОВИНА</v>
      </c>
      <c r="AR71" s="151"/>
    </row>
    <row r="72" spans="2:44" s="170" customFormat="1" ht="42" customHeight="1" x14ac:dyDescent="0.25">
      <c r="B72" s="291" t="s">
        <v>258</v>
      </c>
      <c r="C72" s="292"/>
      <c r="D72" s="304">
        <v>0</v>
      </c>
      <c r="E72" s="304">
        <v>0</v>
      </c>
      <c r="F72" s="304">
        <v>501.54900000000004</v>
      </c>
      <c r="G72" s="304">
        <v>501.95800000000003</v>
      </c>
      <c r="H72" s="304">
        <v>501.09899999999993</v>
      </c>
      <c r="I72" s="304">
        <v>501.00999999999993</v>
      </c>
      <c r="J72" s="304">
        <v>501.05</v>
      </c>
      <c r="K72" s="304">
        <v>501.053</v>
      </c>
      <c r="L72" s="304">
        <v>501.08299999999997</v>
      </c>
      <c r="M72" s="304">
        <v>501.06899999999996</v>
      </c>
      <c r="N72" s="304">
        <v>501.63599999999997</v>
      </c>
      <c r="O72" s="304">
        <v>501.52300000000002</v>
      </c>
      <c r="P72" s="304">
        <v>501.03</v>
      </c>
      <c r="Q72" s="304">
        <v>501.27600000000007</v>
      </c>
      <c r="R72" s="304">
        <v>0</v>
      </c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2">
        <f t="shared" si="29"/>
        <v>6015.3359999999993</v>
      </c>
      <c r="AJ72" s="225">
        <f t="shared" ca="1" si="26"/>
        <v>0.24061343999999998</v>
      </c>
      <c r="AK72" s="176">
        <f t="shared" si="30"/>
        <v>0.40102239999999995</v>
      </c>
      <c r="AL72" s="177"/>
      <c r="AM72" s="184"/>
      <c r="AN72" s="184"/>
      <c r="AQ72" s="200" t="str">
        <f>'[2]ОПЕРАТИВКА пн-пн'!B77</f>
        <v>ТУРЕЦКИЙ ПОТОК - ПОДАЧА РЕСУРСАВЕНГРИЯ</v>
      </c>
      <c r="AR72" s="151"/>
    </row>
    <row r="73" spans="2:44" s="170" customFormat="1" ht="45" customHeight="1" x14ac:dyDescent="0.25">
      <c r="B73" s="291" t="s">
        <v>254</v>
      </c>
      <c r="C73" s="292"/>
      <c r="D73" s="304">
        <v>0</v>
      </c>
      <c r="E73" s="304">
        <v>0</v>
      </c>
      <c r="F73" s="304">
        <v>0</v>
      </c>
      <c r="G73" s="304">
        <v>0</v>
      </c>
      <c r="H73" s="304">
        <v>250.31300000000002</v>
      </c>
      <c r="I73" s="304">
        <v>250.268</v>
      </c>
      <c r="J73" s="304">
        <v>250.28800000000001</v>
      </c>
      <c r="K73" s="304">
        <v>250.29000000000002</v>
      </c>
      <c r="L73" s="304">
        <v>250.30500000000001</v>
      </c>
      <c r="M73" s="304">
        <v>250.29800000000003</v>
      </c>
      <c r="N73" s="304">
        <v>250.58099999999999</v>
      </c>
      <c r="O73" s="304">
        <v>250.52500000000001</v>
      </c>
      <c r="P73" s="304">
        <v>250.27799999999999</v>
      </c>
      <c r="Q73" s="304">
        <v>250.40099999999998</v>
      </c>
      <c r="R73" s="304">
        <v>0</v>
      </c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/>
      <c r="AH73" s="304"/>
      <c r="AI73" s="302">
        <f t="shared" si="29"/>
        <v>2503.547</v>
      </c>
      <c r="AJ73" s="225">
        <f t="shared" ca="1" si="26"/>
        <v>0.10014188</v>
      </c>
      <c r="AK73" s="176">
        <f t="shared" si="30"/>
        <v>0.16690313333333334</v>
      </c>
      <c r="AL73" s="177"/>
      <c r="AM73" s="184"/>
      <c r="AN73" s="184"/>
      <c r="AQ73" s="200" t="str">
        <f>'[2]ОПЕРАТИВКА пн-пн'!B78</f>
        <v>ТУРЕЦКИЙ ПОТОК - ПОДАЧА РЕСУРСАВЕНГРИЯгаз Gazprom Schweiz</v>
      </c>
      <c r="AR73" s="151"/>
    </row>
    <row r="74" spans="2:44" s="170" customFormat="1" ht="42" customHeight="1" x14ac:dyDescent="0.25">
      <c r="B74" s="291" t="s">
        <v>259</v>
      </c>
      <c r="C74" s="292"/>
      <c r="D74" s="304">
        <v>0</v>
      </c>
      <c r="E74" s="304">
        <v>0</v>
      </c>
      <c r="F74" s="304">
        <v>824.49599999999998</v>
      </c>
      <c r="G74" s="304">
        <v>825.1690000000001</v>
      </c>
      <c r="H74" s="304">
        <v>823.75699999999995</v>
      </c>
      <c r="I74" s="304">
        <v>823.6099999999999</v>
      </c>
      <c r="J74" s="304">
        <v>823.67599999999993</v>
      </c>
      <c r="K74" s="304">
        <v>823.68200000000002</v>
      </c>
      <c r="L74" s="304">
        <v>823.73</v>
      </c>
      <c r="M74" s="304">
        <v>823.70699999999999</v>
      </c>
      <c r="N74" s="304">
        <v>824.63900000000001</v>
      </c>
      <c r="O74" s="304">
        <v>824.45400000000006</v>
      </c>
      <c r="P74" s="304">
        <v>823.64300000000003</v>
      </c>
      <c r="Q74" s="304">
        <v>824.04700000000003</v>
      </c>
      <c r="R74" s="304">
        <v>0</v>
      </c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2">
        <f t="shared" si="29"/>
        <v>9888.6100000000024</v>
      </c>
      <c r="AJ74" s="225">
        <f t="shared" ca="1" si="26"/>
        <v>0.39554440000000013</v>
      </c>
      <c r="AK74" s="176">
        <f t="shared" si="30"/>
        <v>0.65924066666666681</v>
      </c>
      <c r="AL74" s="177"/>
      <c r="AM74" s="184"/>
      <c r="AN74" s="184"/>
      <c r="AQ74" s="200" t="str">
        <f>'[2]ОПЕРАТИВКА пн-пн'!B79</f>
        <v>ТУРЕЦКИЙ ПОТОК - ПОДАЧА РЕСУРСАХОРВАТИЯ</v>
      </c>
      <c r="AR74" s="151"/>
    </row>
    <row r="75" spans="2:44" s="170" customFormat="1" ht="42" customHeight="1" x14ac:dyDescent="0.25">
      <c r="B75" s="291" t="s">
        <v>260</v>
      </c>
      <c r="C75" s="292"/>
      <c r="D75" s="304">
        <v>0</v>
      </c>
      <c r="E75" s="304">
        <v>0</v>
      </c>
      <c r="F75" s="304">
        <v>0</v>
      </c>
      <c r="G75" s="304">
        <v>0</v>
      </c>
      <c r="H75" s="304">
        <v>0</v>
      </c>
      <c r="I75" s="304">
        <v>0</v>
      </c>
      <c r="J75" s="304">
        <v>0</v>
      </c>
      <c r="K75" s="304">
        <v>0</v>
      </c>
      <c r="L75" s="304">
        <v>0</v>
      </c>
      <c r="M75" s="304">
        <v>0</v>
      </c>
      <c r="N75" s="304">
        <v>0</v>
      </c>
      <c r="O75" s="304">
        <v>0</v>
      </c>
      <c r="P75" s="304">
        <v>0</v>
      </c>
      <c r="Q75" s="304">
        <v>0</v>
      </c>
      <c r="R75" s="304">
        <v>0</v>
      </c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04"/>
      <c r="AH75" s="304"/>
      <c r="AI75" s="302">
        <f t="shared" si="29"/>
        <v>0</v>
      </c>
      <c r="AJ75" s="225">
        <f t="shared" ca="1" si="26"/>
        <v>0</v>
      </c>
      <c r="AK75" s="176">
        <f t="shared" si="30"/>
        <v>0</v>
      </c>
      <c r="AL75" s="177"/>
      <c r="AM75" s="184"/>
      <c r="AN75" s="184"/>
      <c r="AQ75" s="200" t="str">
        <f>'[2]ОПЕРАТИВКА пн-пн'!B80</f>
        <v>ТУРЕЦКИЙ ПОТОК - ПОДАЧА РЕСУРСААВСТРИЯ</v>
      </c>
      <c r="AR75" s="151"/>
    </row>
    <row r="76" spans="2:44" s="170" customFormat="1" ht="42" customHeight="1" x14ac:dyDescent="0.25">
      <c r="B76" s="291" t="s">
        <v>228</v>
      </c>
      <c r="C76" s="292"/>
      <c r="D76" s="304">
        <v>0</v>
      </c>
      <c r="E76" s="304">
        <v>0</v>
      </c>
      <c r="F76" s="304">
        <v>0</v>
      </c>
      <c r="G76" s="304">
        <v>0</v>
      </c>
      <c r="H76" s="304">
        <v>0</v>
      </c>
      <c r="I76" s="304">
        <v>0</v>
      </c>
      <c r="J76" s="304">
        <v>0</v>
      </c>
      <c r="K76" s="304">
        <v>0</v>
      </c>
      <c r="L76" s="304">
        <v>0</v>
      </c>
      <c r="M76" s="304">
        <v>0</v>
      </c>
      <c r="N76" s="304">
        <v>0</v>
      </c>
      <c r="O76" s="304">
        <v>0</v>
      </c>
      <c r="P76" s="304">
        <v>0</v>
      </c>
      <c r="Q76" s="304">
        <v>0</v>
      </c>
      <c r="R76" s="304">
        <v>0</v>
      </c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  <c r="AH76" s="304"/>
      <c r="AI76" s="302">
        <f t="shared" si="29"/>
        <v>0</v>
      </c>
      <c r="AJ76" s="225">
        <f t="shared" ca="1" si="26"/>
        <v>0</v>
      </c>
      <c r="AK76" s="176">
        <f t="shared" si="30"/>
        <v>0</v>
      </c>
      <c r="AL76" s="177"/>
      <c r="AM76" s="184"/>
      <c r="AN76" s="184"/>
      <c r="AQ76" s="200" t="str">
        <f>'[2]ОПЕРАТИВКА пн-пн'!B81</f>
        <v>ТУРЕЦКИЙ ПОТОК - ПОДАЧА РЕСУРСАИТАЛИЯ</v>
      </c>
      <c r="AR76" s="151"/>
    </row>
    <row r="77" spans="2:44" s="192" customFormat="1" ht="30" customHeight="1" x14ac:dyDescent="0.45">
      <c r="B77" s="207" t="s">
        <v>261</v>
      </c>
      <c r="C77" s="208"/>
      <c r="D77" s="211">
        <f t="shared" ref="D77:AH77" si="31">D80+D78-D79</f>
        <v>167399.99704480459</v>
      </c>
      <c r="E77" s="211">
        <f t="shared" si="31"/>
        <v>167399.98836987597</v>
      </c>
      <c r="F77" s="211">
        <f t="shared" si="31"/>
        <v>167399.977693041</v>
      </c>
      <c r="G77" s="211">
        <f t="shared" si="31"/>
        <v>167399.97998093412</v>
      </c>
      <c r="H77" s="211">
        <f t="shared" si="31"/>
        <v>167399.9946615824</v>
      </c>
      <c r="I77" s="211">
        <f t="shared" si="31"/>
        <v>167399.98093422307</v>
      </c>
      <c r="J77" s="211">
        <f t="shared" si="31"/>
        <v>167399.99914203995</v>
      </c>
      <c r="K77" s="211">
        <f t="shared" si="31"/>
        <v>167400.01048617723</v>
      </c>
      <c r="L77" s="211">
        <f t="shared" si="31"/>
        <v>167399.9875119162</v>
      </c>
      <c r="M77" s="211">
        <f t="shared" si="31"/>
        <v>167400.00324118213</v>
      </c>
      <c r="N77" s="211">
        <f t="shared" si="31"/>
        <v>167400.00829361289</v>
      </c>
      <c r="O77" s="211">
        <f t="shared" si="31"/>
        <v>167399.97721639642</v>
      </c>
      <c r="P77" s="211">
        <f t="shared" si="31"/>
        <v>167399.97921830317</v>
      </c>
      <c r="Q77" s="211">
        <f t="shared" si="31"/>
        <v>167399.96501429926</v>
      </c>
      <c r="R77" s="211">
        <f t="shared" si="31"/>
        <v>0</v>
      </c>
      <c r="S77" s="211">
        <f t="shared" si="31"/>
        <v>0</v>
      </c>
      <c r="T77" s="211">
        <f t="shared" si="31"/>
        <v>0</v>
      </c>
      <c r="U77" s="211">
        <f t="shared" si="31"/>
        <v>0</v>
      </c>
      <c r="V77" s="211">
        <f t="shared" si="31"/>
        <v>0</v>
      </c>
      <c r="W77" s="211">
        <f t="shared" si="31"/>
        <v>0</v>
      </c>
      <c r="X77" s="211">
        <f t="shared" si="31"/>
        <v>0</v>
      </c>
      <c r="Y77" s="211">
        <f t="shared" si="31"/>
        <v>0</v>
      </c>
      <c r="Z77" s="211">
        <f t="shared" si="31"/>
        <v>0</v>
      </c>
      <c r="AA77" s="211">
        <f t="shared" si="31"/>
        <v>0</v>
      </c>
      <c r="AB77" s="211">
        <f t="shared" si="31"/>
        <v>0</v>
      </c>
      <c r="AC77" s="211">
        <f t="shared" si="31"/>
        <v>0</v>
      </c>
      <c r="AD77" s="211">
        <f t="shared" si="31"/>
        <v>0</v>
      </c>
      <c r="AE77" s="211">
        <f t="shared" si="31"/>
        <v>0</v>
      </c>
      <c r="AF77" s="211">
        <f t="shared" si="31"/>
        <v>0</v>
      </c>
      <c r="AG77" s="211">
        <f t="shared" si="31"/>
        <v>0</v>
      </c>
      <c r="AH77" s="211">
        <f t="shared" si="31"/>
        <v>0</v>
      </c>
      <c r="AI77" s="212">
        <f t="shared" si="29"/>
        <v>2343599.8488083882</v>
      </c>
      <c r="AJ77" s="225">
        <f t="shared" ca="1" si="26"/>
        <v>93.743993952335529</v>
      </c>
      <c r="AK77" s="176">
        <f t="shared" si="30"/>
        <v>86.79999440031068</v>
      </c>
      <c r="AL77" s="199">
        <v>167.39948827478204</v>
      </c>
      <c r="AQ77" s="170"/>
      <c r="AR77" s="151"/>
    </row>
    <row r="78" spans="2:44" s="192" customFormat="1" ht="30" customHeight="1" x14ac:dyDescent="0.45">
      <c r="B78" s="305" t="s">
        <v>212</v>
      </c>
      <c r="C78" s="306"/>
      <c r="D78" s="307">
        <v>0</v>
      </c>
      <c r="E78" s="308">
        <v>0</v>
      </c>
      <c r="F78" s="309">
        <v>0</v>
      </c>
      <c r="G78" s="308">
        <v>0</v>
      </c>
      <c r="H78" s="310">
        <v>0</v>
      </c>
      <c r="I78" s="310">
        <v>0</v>
      </c>
      <c r="J78" s="310">
        <v>0</v>
      </c>
      <c r="K78" s="310">
        <v>709.36606291706403</v>
      </c>
      <c r="L78" s="310">
        <v>9217.7971401334598</v>
      </c>
      <c r="M78" s="310">
        <v>18413.911916110599</v>
      </c>
      <c r="N78" s="310">
        <v>13147.462019491701</v>
      </c>
      <c r="O78" s="310">
        <v>21925.192373689199</v>
      </c>
      <c r="P78" s="310">
        <v>14598.4164091435</v>
      </c>
      <c r="Q78" s="310">
        <v>12581.337812035899</v>
      </c>
      <c r="R78" s="310">
        <v>0</v>
      </c>
      <c r="S78" s="310"/>
      <c r="T78" s="310"/>
      <c r="U78" s="310"/>
      <c r="V78" s="310"/>
      <c r="W78" s="310"/>
      <c r="X78" s="310"/>
      <c r="Y78" s="310"/>
      <c r="Z78" s="310"/>
      <c r="AA78" s="310"/>
      <c r="AB78" s="310"/>
      <c r="AC78" s="311"/>
      <c r="AD78" s="310"/>
      <c r="AE78" s="310"/>
      <c r="AF78" s="310"/>
      <c r="AG78" s="310"/>
      <c r="AH78" s="310"/>
      <c r="AI78" s="312">
        <f t="shared" si="29"/>
        <v>90593.483733521425</v>
      </c>
      <c r="AJ78" s="225">
        <f t="shared" ca="1" si="26"/>
        <v>3.6237393493408572</v>
      </c>
      <c r="AK78" s="176">
        <f t="shared" si="30"/>
        <v>6.0395655822347614</v>
      </c>
      <c r="AL78" s="199">
        <v>0.19819920856598119</v>
      </c>
      <c r="AQ78" s="200" t="str">
        <f>'[2]ОПЕРАТИВКА пн-пн'!B83</f>
        <v>СЕВЕРНЫЙ ПОТОК - ПОДАЧА РЕСУРСАЗАКАЧКА в ПХГ</v>
      </c>
      <c r="AR78" s="151"/>
    </row>
    <row r="79" spans="2:44" s="156" customFormat="1" ht="30" customHeight="1" x14ac:dyDescent="0.45">
      <c r="B79" s="305" t="s">
        <v>213</v>
      </c>
      <c r="C79" s="313"/>
      <c r="D79" s="307">
        <v>0</v>
      </c>
      <c r="E79" s="308">
        <v>0</v>
      </c>
      <c r="F79" s="309">
        <v>0</v>
      </c>
      <c r="G79" s="308">
        <v>0</v>
      </c>
      <c r="H79" s="310">
        <v>0</v>
      </c>
      <c r="I79" s="310">
        <v>0</v>
      </c>
      <c r="J79" s="310">
        <v>0</v>
      </c>
      <c r="K79" s="310">
        <v>0</v>
      </c>
      <c r="L79" s="310">
        <v>0</v>
      </c>
      <c r="M79" s="310">
        <v>0</v>
      </c>
      <c r="N79" s="310">
        <v>0</v>
      </c>
      <c r="O79" s="310">
        <v>0</v>
      </c>
      <c r="P79" s="314">
        <v>0</v>
      </c>
      <c r="Q79" s="315">
        <v>0</v>
      </c>
      <c r="R79" s="314">
        <v>0</v>
      </c>
      <c r="S79" s="314"/>
      <c r="T79" s="314"/>
      <c r="U79" s="314"/>
      <c r="V79" s="314"/>
      <c r="W79" s="314"/>
      <c r="X79" s="314"/>
      <c r="Y79" s="314"/>
      <c r="Z79" s="314"/>
      <c r="AA79" s="310"/>
      <c r="AB79" s="310"/>
      <c r="AC79" s="310"/>
      <c r="AD79" s="310"/>
      <c r="AE79" s="310"/>
      <c r="AF79" s="310"/>
      <c r="AG79" s="310"/>
      <c r="AH79" s="310"/>
      <c r="AI79" s="312">
        <f t="shared" si="29"/>
        <v>0</v>
      </c>
      <c r="AJ79" s="225">
        <f t="shared" ca="1" si="26"/>
        <v>0</v>
      </c>
      <c r="AK79" s="176">
        <f t="shared" si="30"/>
        <v>0</v>
      </c>
      <c r="AL79" s="199">
        <v>0</v>
      </c>
      <c r="AQ79" s="200" t="str">
        <f>'[2]ОПЕРАТИВКА пн-пн'!B84</f>
        <v>СЕВЕРНЫЙ ПОТОК - ПОДАЧА РЕСУРСАОТБОР из ПХГ</v>
      </c>
      <c r="AR79" s="151"/>
    </row>
    <row r="80" spans="2:44" s="192" customFormat="1" ht="30" customHeight="1" x14ac:dyDescent="0.45">
      <c r="B80" s="305" t="s">
        <v>214</v>
      </c>
      <c r="C80" s="306"/>
      <c r="D80" s="316">
        <f t="shared" ref="D80:AH80" si="32">SUM(D81:D91)</f>
        <v>167399.99704480459</v>
      </c>
      <c r="E80" s="315">
        <f t="shared" si="32"/>
        <v>167399.98836987597</v>
      </c>
      <c r="F80" s="315">
        <f t="shared" si="32"/>
        <v>167399.977693041</v>
      </c>
      <c r="G80" s="315">
        <f t="shared" si="32"/>
        <v>167399.97998093412</v>
      </c>
      <c r="H80" s="315">
        <f t="shared" si="32"/>
        <v>167399.9946615824</v>
      </c>
      <c r="I80" s="315">
        <f t="shared" si="32"/>
        <v>167399.98093422307</v>
      </c>
      <c r="J80" s="315">
        <f t="shared" si="32"/>
        <v>167399.99914203995</v>
      </c>
      <c r="K80" s="315">
        <f t="shared" si="32"/>
        <v>166690.64442326015</v>
      </c>
      <c r="L80" s="317">
        <f t="shared" si="32"/>
        <v>158182.19037178275</v>
      </c>
      <c r="M80" s="315">
        <f t="shared" si="32"/>
        <v>148986.09132507152</v>
      </c>
      <c r="N80" s="315">
        <f t="shared" si="32"/>
        <v>154252.54627412118</v>
      </c>
      <c r="O80" s="315">
        <f t="shared" si="32"/>
        <v>145474.78484270722</v>
      </c>
      <c r="P80" s="315">
        <f t="shared" si="32"/>
        <v>152801.56280915966</v>
      </c>
      <c r="Q80" s="315">
        <f t="shared" si="32"/>
        <v>154818.62720226336</v>
      </c>
      <c r="R80" s="315">
        <f t="shared" si="32"/>
        <v>0</v>
      </c>
      <c r="S80" s="315">
        <f t="shared" si="32"/>
        <v>0</v>
      </c>
      <c r="T80" s="315">
        <f t="shared" si="32"/>
        <v>0</v>
      </c>
      <c r="U80" s="315">
        <f t="shared" si="32"/>
        <v>0</v>
      </c>
      <c r="V80" s="315">
        <f t="shared" si="32"/>
        <v>0</v>
      </c>
      <c r="W80" s="315">
        <f t="shared" si="32"/>
        <v>0</v>
      </c>
      <c r="X80" s="315">
        <f t="shared" si="32"/>
        <v>0</v>
      </c>
      <c r="Y80" s="315">
        <f t="shared" si="32"/>
        <v>0</v>
      </c>
      <c r="Z80" s="315">
        <f t="shared" si="32"/>
        <v>0</v>
      </c>
      <c r="AA80" s="315">
        <f t="shared" si="32"/>
        <v>0</v>
      </c>
      <c r="AB80" s="315">
        <f t="shared" si="32"/>
        <v>0</v>
      </c>
      <c r="AC80" s="315">
        <f t="shared" si="32"/>
        <v>0</v>
      </c>
      <c r="AD80" s="315">
        <f t="shared" si="32"/>
        <v>0</v>
      </c>
      <c r="AE80" s="315">
        <f t="shared" si="32"/>
        <v>0</v>
      </c>
      <c r="AF80" s="315">
        <f t="shared" si="32"/>
        <v>0</v>
      </c>
      <c r="AG80" s="315">
        <f t="shared" si="32"/>
        <v>0</v>
      </c>
      <c r="AH80" s="315">
        <f t="shared" si="32"/>
        <v>0</v>
      </c>
      <c r="AI80" s="318">
        <f t="shared" si="29"/>
        <v>2253006.3650748669</v>
      </c>
      <c r="AJ80" s="225">
        <f t="shared" ca="1" si="26"/>
        <v>90.120254602994677</v>
      </c>
      <c r="AK80" s="176">
        <f t="shared" si="30"/>
        <v>83.444680187958028</v>
      </c>
      <c r="AL80" s="199">
        <v>167.20128906621608</v>
      </c>
      <c r="AQ80" s="221"/>
      <c r="AR80" s="151"/>
    </row>
    <row r="81" spans="2:44" s="192" customFormat="1" ht="30" customHeight="1" x14ac:dyDescent="0.35">
      <c r="B81" s="305" t="s">
        <v>239</v>
      </c>
      <c r="C81" s="306"/>
      <c r="D81" s="319">
        <v>5649.1881792183003</v>
      </c>
      <c r="E81" s="310">
        <v>5649.1881792183003</v>
      </c>
      <c r="F81" s="310">
        <v>5649.1881792183003</v>
      </c>
      <c r="G81" s="310">
        <v>5649.1881792183003</v>
      </c>
      <c r="H81" s="310">
        <v>5649.1881792183003</v>
      </c>
      <c r="I81" s="310">
        <v>5649.1881792183003</v>
      </c>
      <c r="J81" s="310">
        <v>5649.1881792183003</v>
      </c>
      <c r="K81" s="310">
        <v>5649.1881792183003</v>
      </c>
      <c r="L81" s="310">
        <v>5649.1881792183003</v>
      </c>
      <c r="M81" s="310">
        <v>5649.1881792183003</v>
      </c>
      <c r="N81" s="310">
        <v>5649.1881792183003</v>
      </c>
      <c r="O81" s="310">
        <v>5649.1881792183003</v>
      </c>
      <c r="P81" s="310">
        <v>5649.1881792183003</v>
      </c>
      <c r="Q81" s="310">
        <v>5649.1881792183003</v>
      </c>
      <c r="R81" s="310">
        <v>0</v>
      </c>
      <c r="S81" s="310"/>
      <c r="T81" s="310"/>
      <c r="U81" s="310"/>
      <c r="V81" s="310"/>
      <c r="W81" s="310"/>
      <c r="X81" s="310"/>
      <c r="Y81" s="314"/>
      <c r="Z81" s="314"/>
      <c r="AA81" s="314"/>
      <c r="AB81" s="314"/>
      <c r="AC81" s="310"/>
      <c r="AD81" s="310"/>
      <c r="AE81" s="310"/>
      <c r="AF81" s="310"/>
      <c r="AG81" s="310"/>
      <c r="AH81" s="310"/>
      <c r="AI81" s="312">
        <f t="shared" si="29"/>
        <v>79088.634509056181</v>
      </c>
      <c r="AJ81" s="225">
        <f t="shared" ca="1" si="26"/>
        <v>3.1635453803622471</v>
      </c>
      <c r="AK81" s="176">
        <f t="shared" si="30"/>
        <v>5.2725756339370795</v>
      </c>
      <c r="AL81" s="223">
        <v>1.28575636569522</v>
      </c>
      <c r="AQ81" s="200" t="str">
        <f>'[2]ОПЕРАТИВКА пн-пн'!B86</f>
        <v>СЕВЕРНЫЙ ПОТОК - ПОДАЧА РЕСУРСАДАНИЯ</v>
      </c>
      <c r="AR81" s="151"/>
    </row>
    <row r="82" spans="2:44" s="192" customFormat="1" ht="30" customHeight="1" x14ac:dyDescent="0.35">
      <c r="B82" s="305" t="s">
        <v>237</v>
      </c>
      <c r="C82" s="306"/>
      <c r="D82" s="319">
        <v>0</v>
      </c>
      <c r="E82" s="310">
        <v>0</v>
      </c>
      <c r="F82" s="310">
        <v>0</v>
      </c>
      <c r="G82" s="310">
        <v>0</v>
      </c>
      <c r="H82" s="310">
        <v>0</v>
      </c>
      <c r="I82" s="310">
        <v>0</v>
      </c>
      <c r="J82" s="310">
        <v>0</v>
      </c>
      <c r="K82" s="310">
        <v>0</v>
      </c>
      <c r="L82" s="310">
        <v>0</v>
      </c>
      <c r="M82" s="310">
        <v>0</v>
      </c>
      <c r="N82" s="310">
        <v>0</v>
      </c>
      <c r="O82" s="310">
        <v>0</v>
      </c>
      <c r="P82" s="310">
        <v>0</v>
      </c>
      <c r="Q82" s="310">
        <v>0</v>
      </c>
      <c r="R82" s="310">
        <v>0</v>
      </c>
      <c r="S82" s="310"/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  <c r="AI82" s="312">
        <f t="shared" si="29"/>
        <v>0</v>
      </c>
      <c r="AJ82" s="225">
        <f t="shared" ca="1" si="26"/>
        <v>0</v>
      </c>
      <c r="AK82" s="176">
        <f t="shared" si="30"/>
        <v>0</v>
      </c>
      <c r="AL82" s="223">
        <v>7.0801402579293198</v>
      </c>
      <c r="AQ82" s="200" t="str">
        <f>'[2]ОПЕРАТИВКА пн-пн'!B87</f>
        <v>СЕВЕРНЫЙ ПОТОК - ПОДАЧА РЕСУРСАБЕЛЬГИЯ</v>
      </c>
      <c r="AR82" s="151"/>
    </row>
    <row r="83" spans="2:44" s="192" customFormat="1" ht="30" customHeight="1" x14ac:dyDescent="0.35">
      <c r="B83" s="305" t="s">
        <v>220</v>
      </c>
      <c r="C83" s="306"/>
      <c r="D83" s="319">
        <v>79316.018875119102</v>
      </c>
      <c r="E83" s="310">
        <v>84855.374642516588</v>
      </c>
      <c r="F83" s="310">
        <v>94117.807054337405</v>
      </c>
      <c r="G83" s="310">
        <v>98525.004099141996</v>
      </c>
      <c r="H83" s="310">
        <v>97768.103050524296</v>
      </c>
      <c r="I83" s="310">
        <v>84662.447092468996</v>
      </c>
      <c r="J83" s="310">
        <v>85267.346901811194</v>
      </c>
      <c r="K83" s="310">
        <v>87688.809342230597</v>
      </c>
      <c r="L83" s="310">
        <v>90920.990657769289</v>
      </c>
      <c r="M83" s="310">
        <v>90867.974833174405</v>
      </c>
      <c r="N83" s="310">
        <v>101634.51414828699</v>
      </c>
      <c r="O83" s="310">
        <v>92321.311058150503</v>
      </c>
      <c r="P83" s="310">
        <v>87485.042504107201</v>
      </c>
      <c r="Q83" s="310">
        <v>86112.538832387305</v>
      </c>
      <c r="R83" s="310">
        <v>0</v>
      </c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  <c r="AI83" s="312">
        <f t="shared" si="29"/>
        <v>1261543.2830920257</v>
      </c>
      <c r="AJ83" s="225">
        <f t="shared" ca="1" si="26"/>
        <v>50.461731323681029</v>
      </c>
      <c r="AK83" s="176">
        <f t="shared" si="30"/>
        <v>84.102885539468375</v>
      </c>
      <c r="AL83" s="223">
        <v>131.67720426451379</v>
      </c>
      <c r="AQ83" s="200" t="str">
        <f>'[2]ОПЕРАТИВКА пн-пн'!B88</f>
        <v>СЕВЕРНЫЙ ПОТОК - ПОДАЧА РЕСУРСАГЕРМАНИЯ</v>
      </c>
      <c r="AR83" s="151"/>
    </row>
    <row r="84" spans="2:44" s="192" customFormat="1" ht="30" customHeight="1" x14ac:dyDescent="0.35">
      <c r="B84" s="305" t="s">
        <v>238</v>
      </c>
      <c r="C84" s="306"/>
      <c r="D84" s="319">
        <v>68.636796949475709</v>
      </c>
      <c r="E84" s="310">
        <v>68.636796949475709</v>
      </c>
      <c r="F84" s="310">
        <v>68.636796949475709</v>
      </c>
      <c r="G84" s="310">
        <v>68.636796949475709</v>
      </c>
      <c r="H84" s="310">
        <v>68.636796949475709</v>
      </c>
      <c r="I84" s="310">
        <v>68.636796949475709</v>
      </c>
      <c r="J84" s="310">
        <v>68.636796949475709</v>
      </c>
      <c r="K84" s="310">
        <v>68.636796949475709</v>
      </c>
      <c r="L84" s="310">
        <v>68.636796949475709</v>
      </c>
      <c r="M84" s="310">
        <v>68.636796949475709</v>
      </c>
      <c r="N84" s="310">
        <v>0</v>
      </c>
      <c r="O84" s="310">
        <v>0</v>
      </c>
      <c r="P84" s="310">
        <v>0</v>
      </c>
      <c r="Q84" s="310">
        <v>0</v>
      </c>
      <c r="R84" s="310">
        <v>0</v>
      </c>
      <c r="S84" s="310"/>
      <c r="T84" s="310"/>
      <c r="U84" s="310"/>
      <c r="V84" s="310"/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  <c r="AI84" s="312">
        <f t="shared" si="29"/>
        <v>686.36796949475718</v>
      </c>
      <c r="AJ84" s="225">
        <f t="shared" ca="1" si="26"/>
        <v>2.7454718779790287E-2</v>
      </c>
      <c r="AK84" s="176">
        <f t="shared" si="30"/>
        <v>4.5757864632983813E-2</v>
      </c>
      <c r="AL84" s="223">
        <v>0</v>
      </c>
      <c r="AQ84" s="200" t="str">
        <f>'[2]ОПЕРАТИВКА пн-пн'!B89</f>
        <v>СЕВЕРНЫЙ ПОТОК - ПОДАЧА РЕСУРСАВЕЛИКОБРИТАНИЯ</v>
      </c>
      <c r="AR84" s="151"/>
    </row>
    <row r="85" spans="2:44" s="192" customFormat="1" ht="30" customHeight="1" x14ac:dyDescent="0.35">
      <c r="B85" s="305" t="s">
        <v>241</v>
      </c>
      <c r="C85" s="306"/>
      <c r="D85" s="319">
        <v>22543.949285033399</v>
      </c>
      <c r="E85" s="310">
        <v>22543.949285033399</v>
      </c>
      <c r="F85" s="310">
        <v>23139.6119161106</v>
      </c>
      <c r="G85" s="310">
        <v>29096.235271687299</v>
      </c>
      <c r="H85" s="310">
        <v>22543.949571019999</v>
      </c>
      <c r="I85" s="310">
        <v>22543.949571019999</v>
      </c>
      <c r="J85" s="310">
        <v>22543.949571019999</v>
      </c>
      <c r="K85" s="310">
        <v>22543.949571019999</v>
      </c>
      <c r="L85" s="310">
        <v>23128.769590085798</v>
      </c>
      <c r="M85" s="310">
        <v>34624.562726406097</v>
      </c>
      <c r="N85" s="310">
        <v>36709.736892278401</v>
      </c>
      <c r="O85" s="310">
        <v>29393.7585319352</v>
      </c>
      <c r="P85" s="310">
        <v>36709.736892278401</v>
      </c>
      <c r="Q85" s="310">
        <v>36709.736892278401</v>
      </c>
      <c r="R85" s="310">
        <v>0</v>
      </c>
      <c r="S85" s="314"/>
      <c r="T85" s="310"/>
      <c r="U85" s="310"/>
      <c r="V85" s="310"/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  <c r="AI85" s="312">
        <f t="shared" si="29"/>
        <v>384775.84556720708</v>
      </c>
      <c r="AJ85" s="225">
        <f t="shared" ca="1" si="26"/>
        <v>15.391033822688284</v>
      </c>
      <c r="AK85" s="176">
        <f t="shared" si="30"/>
        <v>25.651723037813806</v>
      </c>
      <c r="AL85" s="223">
        <v>17.16165437766572</v>
      </c>
      <c r="AQ85" s="200" t="str">
        <f>'[2]ОПЕРАТИВКА пн-пн'!B90</f>
        <v>СЕВЕРНЫЙ ПОТОК - ПОДАЧА РЕСУРСАФРАНЦИЯ</v>
      </c>
      <c r="AR85" s="151"/>
    </row>
    <row r="86" spans="2:44" s="192" customFormat="1" ht="30" customHeight="1" x14ac:dyDescent="0.35">
      <c r="B86" s="305" t="s">
        <v>223</v>
      </c>
      <c r="C86" s="306"/>
      <c r="D86" s="319">
        <v>15874.3710200191</v>
      </c>
      <c r="E86" s="310">
        <v>15874.3710200191</v>
      </c>
      <c r="F86" s="310">
        <v>15874.3710200191</v>
      </c>
      <c r="G86" s="310">
        <v>4330.43508102955</v>
      </c>
      <c r="H86" s="310">
        <v>4330.43508102955</v>
      </c>
      <c r="I86" s="310">
        <v>15874.3710200191</v>
      </c>
      <c r="J86" s="310">
        <v>15874.3710200191</v>
      </c>
      <c r="K86" s="310">
        <v>15874.3710200191</v>
      </c>
      <c r="L86" s="310">
        <v>15874.3710200191</v>
      </c>
      <c r="M86" s="310">
        <v>6008.8072449953597</v>
      </c>
      <c r="N86" s="310">
        <v>4397.7984747378496</v>
      </c>
      <c r="O86" s="310">
        <v>9529.3670162058988</v>
      </c>
      <c r="P86" s="310">
        <v>4330.43508102955</v>
      </c>
      <c r="Q86" s="310">
        <v>4330.43508102955</v>
      </c>
      <c r="R86" s="310">
        <v>0</v>
      </c>
      <c r="S86" s="310"/>
      <c r="T86" s="310"/>
      <c r="U86" s="310"/>
      <c r="V86" s="310"/>
      <c r="W86" s="310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  <c r="AI86" s="312">
        <f t="shared" si="29"/>
        <v>148378.31020019099</v>
      </c>
      <c r="AJ86" s="225">
        <f t="shared" ca="1" si="26"/>
        <v>5.9351324080076395</v>
      </c>
      <c r="AK86" s="176">
        <f t="shared" si="30"/>
        <v>9.8918873466793986</v>
      </c>
      <c r="AL86" s="223">
        <v>6.009073197146944</v>
      </c>
      <c r="AQ86" s="200" t="str">
        <f>'[2]ОПЕРАТИВКА пн-пн'!B91</f>
        <v>СЕВЕРНЫЙ ПОТОК - ПОДАЧА РЕСУРСАНИДЕРЛАНДЫ</v>
      </c>
      <c r="AR86" s="151"/>
    </row>
    <row r="87" spans="2:44" s="192" customFormat="1" ht="30" customHeight="1" x14ac:dyDescent="0.35">
      <c r="B87" s="305" t="s">
        <v>243</v>
      </c>
      <c r="C87" s="306"/>
      <c r="D87" s="319">
        <v>3415.1977121067698</v>
      </c>
      <c r="E87" s="310">
        <v>3427.1428979980901</v>
      </c>
      <c r="F87" s="310">
        <v>3439.09018112488</v>
      </c>
      <c r="G87" s="310">
        <v>133.59008579599598</v>
      </c>
      <c r="H87" s="310">
        <v>132.27683508102899</v>
      </c>
      <c r="I87" s="310">
        <v>117.83107721639701</v>
      </c>
      <c r="J87" s="310">
        <v>118.985510009533</v>
      </c>
      <c r="K87" s="310">
        <v>132.520877025739</v>
      </c>
      <c r="L87" s="310">
        <v>141.89075309818898</v>
      </c>
      <c r="M87" s="310">
        <v>141.723546234509</v>
      </c>
      <c r="N87" s="310">
        <v>141.723546234509</v>
      </c>
      <c r="O87" s="310">
        <v>140.69647283126798</v>
      </c>
      <c r="P87" s="310">
        <v>129.39866539561501</v>
      </c>
      <c r="Q87" s="310">
        <v>119.648236415634</v>
      </c>
      <c r="R87" s="310">
        <v>0</v>
      </c>
      <c r="S87" s="310"/>
      <c r="T87" s="310"/>
      <c r="U87" s="310"/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  <c r="AI87" s="312">
        <f t="shared" si="29"/>
        <v>11731.716396568161</v>
      </c>
      <c r="AJ87" s="225">
        <f t="shared" ca="1" si="26"/>
        <v>0.46926865586272648</v>
      </c>
      <c r="AK87" s="176">
        <f t="shared" si="30"/>
        <v>0.78211442643787743</v>
      </c>
      <c r="AL87" s="223">
        <v>0.15941774017772029</v>
      </c>
      <c r="AM87" s="192" t="s">
        <v>262</v>
      </c>
      <c r="AQ87" s="200" t="str">
        <f>'[2]ОПЕРАТИВКА пн-пн'!B92</f>
        <v>СЕВЕРНЫЙ ПОТОК - ПОДАЧА РЕСУРСАЧEXИЯ</v>
      </c>
      <c r="AR87" s="151"/>
    </row>
    <row r="88" spans="2:44" s="192" customFormat="1" ht="30" customHeight="1" x14ac:dyDescent="0.35">
      <c r="B88" s="305" t="s">
        <v>240</v>
      </c>
      <c r="C88" s="306"/>
      <c r="D88" s="319">
        <v>1095.8047664442302</v>
      </c>
      <c r="E88" s="310">
        <v>1095.8047664442302</v>
      </c>
      <c r="F88" s="310">
        <v>1095.8047664442302</v>
      </c>
      <c r="G88" s="310">
        <v>1095.8047664442302</v>
      </c>
      <c r="H88" s="310">
        <v>1050.1311725452799</v>
      </c>
      <c r="I88" s="310">
        <v>547.72163965681602</v>
      </c>
      <c r="J88" s="310">
        <v>570.56244041944706</v>
      </c>
      <c r="K88" s="310">
        <v>798.98551000953296</v>
      </c>
      <c r="L88" s="310">
        <v>574.495138226883</v>
      </c>
      <c r="M88" s="310">
        <v>547.90638703527191</v>
      </c>
      <c r="N88" s="310">
        <v>547.95042897998098</v>
      </c>
      <c r="O88" s="310">
        <v>525.16682554814099</v>
      </c>
      <c r="P88" s="310">
        <v>274.54718779790301</v>
      </c>
      <c r="Q88" s="310">
        <v>297.42612011439502</v>
      </c>
      <c r="R88" s="310">
        <v>0</v>
      </c>
      <c r="S88" s="310"/>
      <c r="T88" s="310"/>
      <c r="U88" s="310"/>
      <c r="V88" s="310"/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  <c r="AI88" s="312">
        <f t="shared" si="29"/>
        <v>10118.111916110571</v>
      </c>
      <c r="AJ88" s="225">
        <f t="shared" ca="1" si="26"/>
        <v>0.40472447664442285</v>
      </c>
      <c r="AK88" s="176">
        <f t="shared" si="30"/>
        <v>0.67454079440737147</v>
      </c>
      <c r="AL88" s="223">
        <v>1.0961781988015791</v>
      </c>
      <c r="AQ88" s="200" t="str">
        <f>'[2]ОПЕРАТИВКА пн-пн'!B93</f>
        <v>СЕВЕРНЫЙ ПОТОК - ПОДАЧА РЕСУРСАШBEЙЦAPИЯ</v>
      </c>
      <c r="AR88" s="151"/>
    </row>
    <row r="89" spans="2:44" s="192" customFormat="1" ht="30" customHeight="1" x14ac:dyDescent="0.35">
      <c r="B89" s="305" t="s">
        <v>244</v>
      </c>
      <c r="C89" s="306"/>
      <c r="D89" s="319">
        <v>0</v>
      </c>
      <c r="E89" s="310">
        <v>0</v>
      </c>
      <c r="F89" s="310">
        <v>0</v>
      </c>
      <c r="G89" s="310">
        <v>0</v>
      </c>
      <c r="H89" s="310">
        <v>0</v>
      </c>
      <c r="I89" s="310">
        <v>0</v>
      </c>
      <c r="J89" s="310">
        <v>0</v>
      </c>
      <c r="K89" s="310">
        <v>0</v>
      </c>
      <c r="L89" s="310">
        <v>0</v>
      </c>
      <c r="M89" s="310">
        <v>0</v>
      </c>
      <c r="N89" s="310">
        <v>0</v>
      </c>
      <c r="O89" s="310">
        <v>0</v>
      </c>
      <c r="P89" s="310">
        <v>0</v>
      </c>
      <c r="Q89" s="310">
        <v>0</v>
      </c>
      <c r="R89" s="310">
        <v>0</v>
      </c>
      <c r="S89" s="310"/>
      <c r="T89" s="310"/>
      <c r="U89" s="310"/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  <c r="AI89" s="312">
        <f t="shared" si="29"/>
        <v>0</v>
      </c>
      <c r="AJ89" s="225">
        <f t="shared" ca="1" si="26"/>
        <v>0</v>
      </c>
      <c r="AK89" s="176">
        <f t="shared" si="30"/>
        <v>0</v>
      </c>
      <c r="AL89" s="223">
        <v>0.43334177499999998</v>
      </c>
      <c r="AQ89" s="200" t="str">
        <f>'[2]ОПЕРАТИВКА пн-пн'!B94</f>
        <v>СЕВЕРНЫЙ ПОТОК - ПОДАЧА РЕСУРСААВСТРИЯ</v>
      </c>
      <c r="AR89" s="151"/>
    </row>
    <row r="90" spans="2:44" s="192" customFormat="1" ht="30" customHeight="1" x14ac:dyDescent="0.35">
      <c r="B90" s="305" t="s">
        <v>263</v>
      </c>
      <c r="C90" s="306"/>
      <c r="D90" s="319">
        <v>0</v>
      </c>
      <c r="E90" s="310">
        <v>0</v>
      </c>
      <c r="F90" s="310">
        <v>0</v>
      </c>
      <c r="G90" s="310">
        <v>0</v>
      </c>
      <c r="H90" s="310">
        <v>0</v>
      </c>
      <c r="I90" s="310">
        <v>0</v>
      </c>
      <c r="J90" s="310">
        <v>0</v>
      </c>
      <c r="K90" s="310">
        <v>0</v>
      </c>
      <c r="L90" s="310">
        <v>0</v>
      </c>
      <c r="M90" s="310">
        <v>0</v>
      </c>
      <c r="N90" s="310">
        <v>0</v>
      </c>
      <c r="O90" s="310">
        <v>0</v>
      </c>
      <c r="P90" s="310">
        <v>0</v>
      </c>
      <c r="Q90" s="310">
        <v>0</v>
      </c>
      <c r="R90" s="310">
        <v>0</v>
      </c>
      <c r="S90" s="310"/>
      <c r="T90" s="310"/>
      <c r="U90" s="310"/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  <c r="AI90" s="312">
        <f t="shared" si="29"/>
        <v>0</v>
      </c>
      <c r="AJ90" s="225">
        <f t="shared" ca="1" si="26"/>
        <v>0</v>
      </c>
      <c r="AK90" s="176">
        <f t="shared" si="30"/>
        <v>0</v>
      </c>
      <c r="AL90" s="223">
        <v>0</v>
      </c>
      <c r="AQ90" s="200" t="str">
        <f>'[2]ОПЕРАТИВКА пн-пн'!B95</f>
        <v>СЕВЕРНЫЙ ПОТОК - ПОДАЧА РЕСУРСАВЕНГРИЯ</v>
      </c>
      <c r="AR90" s="151"/>
    </row>
    <row r="91" spans="2:44" ht="28.5" x14ac:dyDescent="0.3">
      <c r="B91" s="305" t="s">
        <v>242</v>
      </c>
      <c r="C91" s="306"/>
      <c r="D91" s="320">
        <v>39436.830409914204</v>
      </c>
      <c r="E91" s="310">
        <v>33885.520781696796</v>
      </c>
      <c r="F91" s="310">
        <v>24015.467778836999</v>
      </c>
      <c r="G91" s="310">
        <v>28501.0857006673</v>
      </c>
      <c r="H91" s="310">
        <v>35857.273975214499</v>
      </c>
      <c r="I91" s="310">
        <v>37935.835557674</v>
      </c>
      <c r="J91" s="310">
        <v>37306.958722592906</v>
      </c>
      <c r="K91" s="310">
        <v>33934.1831267874</v>
      </c>
      <c r="L91" s="310">
        <v>21823.848236415699</v>
      </c>
      <c r="M91" s="310">
        <v>11077.291611058101</v>
      </c>
      <c r="N91" s="310">
        <v>5171.6346043851299</v>
      </c>
      <c r="O91" s="310">
        <v>7915.2967588179199</v>
      </c>
      <c r="P91" s="310">
        <v>18223.2142993327</v>
      </c>
      <c r="Q91" s="310">
        <v>21599.653860819799</v>
      </c>
      <c r="R91" s="310">
        <v>0</v>
      </c>
      <c r="S91" s="310"/>
      <c r="T91" s="310"/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  <c r="AI91" s="312">
        <f t="shared" si="29"/>
        <v>356684.0954242135</v>
      </c>
      <c r="AJ91" s="225">
        <f t="shared" ca="1" si="26"/>
        <v>14.26736381696854</v>
      </c>
      <c r="AK91" s="176">
        <f t="shared" si="30"/>
        <v>23.778939694947567</v>
      </c>
      <c r="AL91" s="223">
        <v>2.2985228892857146</v>
      </c>
      <c r="AQ91" s="200" t="str">
        <f>'[2]ОПЕРАТИВКА пн-пн'!B96</f>
        <v>СЕВЕРНЫЙ ПОТОК - ПОДАЧА РЕСУРСАИТАЛИЯ</v>
      </c>
    </row>
    <row r="92" spans="2:44" ht="28.5" x14ac:dyDescent="0.45">
      <c r="B92" s="305"/>
      <c r="C92" s="306"/>
      <c r="D92" s="32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2">
        <f t="shared" si="29"/>
        <v>0</v>
      </c>
      <c r="AJ92" s="225">
        <f t="shared" ca="1" si="26"/>
        <v>0</v>
      </c>
      <c r="AK92" s="176">
        <f t="shared" si="30"/>
        <v>0</v>
      </c>
      <c r="AL92" s="321">
        <v>0</v>
      </c>
      <c r="AQ92" s="200"/>
    </row>
    <row r="93" spans="2:44" ht="28.5" x14ac:dyDescent="0.45">
      <c r="B93" s="322" t="s">
        <v>264</v>
      </c>
      <c r="C93" s="323"/>
      <c r="D93" s="324">
        <f>D97+D94-D95+D96</f>
        <v>0</v>
      </c>
      <c r="E93" s="324">
        <f t="shared" ref="E93:AH93" si="33">E97+E94-E95+E96</f>
        <v>0</v>
      </c>
      <c r="F93" s="324">
        <f t="shared" si="33"/>
        <v>0</v>
      </c>
      <c r="G93" s="324">
        <f t="shared" si="33"/>
        <v>0</v>
      </c>
      <c r="H93" s="324">
        <f t="shared" si="33"/>
        <v>0</v>
      </c>
      <c r="I93" s="324">
        <f t="shared" si="33"/>
        <v>0</v>
      </c>
      <c r="J93" s="324">
        <f t="shared" si="33"/>
        <v>0</v>
      </c>
      <c r="K93" s="324">
        <f t="shared" si="33"/>
        <v>0</v>
      </c>
      <c r="L93" s="324">
        <f t="shared" si="33"/>
        <v>0</v>
      </c>
      <c r="M93" s="324">
        <f t="shared" si="33"/>
        <v>0</v>
      </c>
      <c r="N93" s="324">
        <f t="shared" si="33"/>
        <v>0</v>
      </c>
      <c r="O93" s="324">
        <f t="shared" si="33"/>
        <v>0</v>
      </c>
      <c r="P93" s="324">
        <f t="shared" si="33"/>
        <v>0</v>
      </c>
      <c r="Q93" s="324">
        <f t="shared" si="33"/>
        <v>0</v>
      </c>
      <c r="R93" s="324">
        <f t="shared" si="33"/>
        <v>0</v>
      </c>
      <c r="S93" s="324">
        <f t="shared" si="33"/>
        <v>0</v>
      </c>
      <c r="T93" s="324">
        <f t="shared" si="33"/>
        <v>0</v>
      </c>
      <c r="U93" s="324">
        <f t="shared" si="33"/>
        <v>0</v>
      </c>
      <c r="V93" s="324">
        <f t="shared" si="33"/>
        <v>0</v>
      </c>
      <c r="W93" s="324">
        <f t="shared" si="33"/>
        <v>0</v>
      </c>
      <c r="X93" s="324">
        <f t="shared" si="33"/>
        <v>0</v>
      </c>
      <c r="Y93" s="324">
        <f t="shared" si="33"/>
        <v>0</v>
      </c>
      <c r="Z93" s="324">
        <f t="shared" si="33"/>
        <v>0</v>
      </c>
      <c r="AA93" s="324">
        <f t="shared" si="33"/>
        <v>0</v>
      </c>
      <c r="AB93" s="324">
        <f t="shared" si="33"/>
        <v>0</v>
      </c>
      <c r="AC93" s="324">
        <f t="shared" si="33"/>
        <v>0</v>
      </c>
      <c r="AD93" s="324">
        <f t="shared" si="33"/>
        <v>0</v>
      </c>
      <c r="AE93" s="324">
        <f t="shared" si="33"/>
        <v>0</v>
      </c>
      <c r="AF93" s="324">
        <f t="shared" si="33"/>
        <v>0</v>
      </c>
      <c r="AG93" s="324">
        <f t="shared" si="33"/>
        <v>0</v>
      </c>
      <c r="AH93" s="324">
        <f t="shared" si="33"/>
        <v>0</v>
      </c>
      <c r="AI93" s="325">
        <f t="shared" si="29"/>
        <v>0</v>
      </c>
      <c r="AJ93" s="225">
        <f t="shared" ref="AJ93:AJ110" ca="1" si="34">SUM(D93:AH93)/DAY($B$4)*0.001</f>
        <v>0</v>
      </c>
      <c r="AK93" s="176">
        <f t="shared" si="30"/>
        <v>0</v>
      </c>
      <c r="AL93" s="321"/>
      <c r="AQ93" s="200"/>
    </row>
    <row r="94" spans="2:44" ht="28.5" x14ac:dyDescent="0.45">
      <c r="B94" s="326" t="s">
        <v>212</v>
      </c>
      <c r="C94" s="327"/>
      <c r="D94" s="328">
        <v>0</v>
      </c>
      <c r="E94" s="329">
        <v>0</v>
      </c>
      <c r="F94" s="329">
        <v>0</v>
      </c>
      <c r="G94" s="329">
        <v>0</v>
      </c>
      <c r="H94" s="330">
        <v>0</v>
      </c>
      <c r="I94" s="330">
        <v>0</v>
      </c>
      <c r="J94" s="330">
        <v>0</v>
      </c>
      <c r="K94" s="330">
        <v>0</v>
      </c>
      <c r="L94" s="330">
        <v>0</v>
      </c>
      <c r="M94" s="330">
        <v>0</v>
      </c>
      <c r="N94" s="330">
        <v>0</v>
      </c>
      <c r="O94" s="330">
        <v>0</v>
      </c>
      <c r="P94" s="331">
        <v>0</v>
      </c>
      <c r="Q94" s="330">
        <v>0</v>
      </c>
      <c r="R94" s="330">
        <v>0</v>
      </c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  <c r="AD94" s="330"/>
      <c r="AE94" s="330"/>
      <c r="AF94" s="330"/>
      <c r="AG94" s="330"/>
      <c r="AH94" s="330"/>
      <c r="AI94" s="332">
        <f t="shared" si="29"/>
        <v>0</v>
      </c>
      <c r="AJ94" s="225">
        <f t="shared" ca="1" si="34"/>
        <v>0</v>
      </c>
      <c r="AK94" s="176">
        <f t="shared" si="30"/>
        <v>0</v>
      </c>
      <c r="AL94" s="321"/>
      <c r="AQ94" s="200" t="str">
        <f>'[2]ОПЕРАТИВКА пн-пн'!B98</f>
        <v>СЕВЕРНЫЙ ПОТОК-2 - ПОДАЧА РЕСУРСАЗАКАЧКА в ПХГ</v>
      </c>
    </row>
    <row r="95" spans="2:44" ht="28.5" x14ac:dyDescent="0.45">
      <c r="B95" s="326" t="s">
        <v>213</v>
      </c>
      <c r="C95" s="327"/>
      <c r="D95" s="328">
        <v>0</v>
      </c>
      <c r="E95" s="329">
        <v>0</v>
      </c>
      <c r="F95" s="329">
        <v>0</v>
      </c>
      <c r="G95" s="329">
        <v>0</v>
      </c>
      <c r="H95" s="330">
        <v>0</v>
      </c>
      <c r="I95" s="330">
        <v>0</v>
      </c>
      <c r="J95" s="330">
        <v>0</v>
      </c>
      <c r="K95" s="330">
        <v>0</v>
      </c>
      <c r="L95" s="330">
        <v>0</v>
      </c>
      <c r="M95" s="330">
        <v>0</v>
      </c>
      <c r="N95" s="330">
        <v>0</v>
      </c>
      <c r="O95" s="330">
        <v>0</v>
      </c>
      <c r="P95" s="331">
        <v>0</v>
      </c>
      <c r="Q95" s="330">
        <v>0</v>
      </c>
      <c r="R95" s="330">
        <v>0</v>
      </c>
      <c r="S95" s="330"/>
      <c r="T95" s="330"/>
      <c r="U95" s="330"/>
      <c r="V95" s="330"/>
      <c r="W95" s="330"/>
      <c r="X95" s="330"/>
      <c r="Y95" s="330"/>
      <c r="Z95" s="330"/>
      <c r="AA95" s="330"/>
      <c r="AB95" s="330"/>
      <c r="AC95" s="330"/>
      <c r="AD95" s="330"/>
      <c r="AE95" s="330"/>
      <c r="AF95" s="330"/>
      <c r="AG95" s="330"/>
      <c r="AH95" s="330"/>
      <c r="AI95" s="332">
        <f t="shared" si="29"/>
        <v>0</v>
      </c>
      <c r="AJ95" s="225">
        <f t="shared" ca="1" si="34"/>
        <v>0</v>
      </c>
      <c r="AK95" s="176">
        <f t="shared" si="30"/>
        <v>0</v>
      </c>
      <c r="AL95" s="321"/>
      <c r="AQ95" s="200" t="str">
        <f>'[2]ОПЕРАТИВКА пн-пн'!B99</f>
        <v>СЕВЕРНЫЙ ПОТОК-2 - ПОДАЧА РЕСУРСАОТБОР из ПХГ</v>
      </c>
    </row>
    <row r="96" spans="2:44" ht="28.5" x14ac:dyDescent="0.45">
      <c r="B96" s="326" t="s">
        <v>265</v>
      </c>
      <c r="C96" s="327"/>
      <c r="D96" s="328">
        <v>0</v>
      </c>
      <c r="E96" s="329">
        <v>0</v>
      </c>
      <c r="F96" s="329">
        <v>0</v>
      </c>
      <c r="G96" s="329">
        <v>0</v>
      </c>
      <c r="H96" s="330">
        <v>0</v>
      </c>
      <c r="I96" s="330">
        <v>0</v>
      </c>
      <c r="J96" s="330">
        <v>0</v>
      </c>
      <c r="K96" s="330">
        <v>0</v>
      </c>
      <c r="L96" s="330">
        <v>0</v>
      </c>
      <c r="M96" s="330">
        <v>0</v>
      </c>
      <c r="N96" s="330">
        <v>0</v>
      </c>
      <c r="O96" s="330">
        <v>0</v>
      </c>
      <c r="P96" s="331">
        <v>0</v>
      </c>
      <c r="Q96" s="330">
        <v>0</v>
      </c>
      <c r="R96" s="330">
        <v>0</v>
      </c>
      <c r="S96" s="330"/>
      <c r="T96" s="330"/>
      <c r="U96" s="330"/>
      <c r="V96" s="330">
        <v>0</v>
      </c>
      <c r="W96" s="330">
        <v>0</v>
      </c>
      <c r="X96" s="330">
        <v>0</v>
      </c>
      <c r="Y96" s="330">
        <v>0</v>
      </c>
      <c r="Z96" s="330">
        <v>0</v>
      </c>
      <c r="AA96" s="330">
        <v>0</v>
      </c>
      <c r="AB96" s="330">
        <v>0</v>
      </c>
      <c r="AC96" s="330">
        <v>0</v>
      </c>
      <c r="AD96" s="330">
        <v>0</v>
      </c>
      <c r="AE96" s="330">
        <v>0</v>
      </c>
      <c r="AF96" s="330">
        <v>0</v>
      </c>
      <c r="AG96" s="330">
        <v>0</v>
      </c>
      <c r="AH96" s="330">
        <v>0</v>
      </c>
      <c r="AI96" s="332">
        <f t="shared" si="29"/>
        <v>0</v>
      </c>
      <c r="AJ96" s="225">
        <f t="shared" ca="1" si="34"/>
        <v>0</v>
      </c>
      <c r="AK96" s="176">
        <f t="shared" si="30"/>
        <v>0</v>
      </c>
      <c r="AL96" s="321"/>
      <c r="AQ96" s="200" t="str">
        <f>'[2]ОПЕРАТИВКА пн-пн'!B100</f>
        <v>СЕВЕРНЫЙ ПОТОК-2 - ПОДАЧА РЕСУРСАЗаполнение трубы (переходный газ)</v>
      </c>
    </row>
    <row r="97" spans="2:43" ht="28.5" x14ac:dyDescent="0.45">
      <c r="B97" s="326" t="s">
        <v>214</v>
      </c>
      <c r="C97" s="327"/>
      <c r="D97" s="333">
        <f>SUM(D98:D110)</f>
        <v>0</v>
      </c>
      <c r="E97" s="334">
        <f t="shared" ref="E97:AH97" si="35">SUM(E98:E110)</f>
        <v>0</v>
      </c>
      <c r="F97" s="334">
        <f t="shared" si="35"/>
        <v>0</v>
      </c>
      <c r="G97" s="334">
        <f t="shared" si="35"/>
        <v>0</v>
      </c>
      <c r="H97" s="335">
        <f t="shared" si="35"/>
        <v>0</v>
      </c>
      <c r="I97" s="335">
        <f t="shared" si="35"/>
        <v>0</v>
      </c>
      <c r="J97" s="335">
        <f t="shared" si="35"/>
        <v>0</v>
      </c>
      <c r="K97" s="335">
        <f t="shared" si="35"/>
        <v>0</v>
      </c>
      <c r="L97" s="335">
        <f t="shared" si="35"/>
        <v>0</v>
      </c>
      <c r="M97" s="335">
        <f t="shared" si="35"/>
        <v>0</v>
      </c>
      <c r="N97" s="335">
        <f t="shared" si="35"/>
        <v>0</v>
      </c>
      <c r="O97" s="335">
        <f t="shared" si="35"/>
        <v>0</v>
      </c>
      <c r="P97" s="336">
        <f t="shared" si="35"/>
        <v>0</v>
      </c>
      <c r="Q97" s="335">
        <f t="shared" si="35"/>
        <v>0</v>
      </c>
      <c r="R97" s="335">
        <f t="shared" si="35"/>
        <v>0</v>
      </c>
      <c r="S97" s="335">
        <f t="shared" si="35"/>
        <v>0</v>
      </c>
      <c r="T97" s="335">
        <f t="shared" si="35"/>
        <v>0</v>
      </c>
      <c r="U97" s="335">
        <f t="shared" si="35"/>
        <v>0</v>
      </c>
      <c r="V97" s="335">
        <f t="shared" si="35"/>
        <v>0</v>
      </c>
      <c r="W97" s="335">
        <f t="shared" si="35"/>
        <v>0</v>
      </c>
      <c r="X97" s="335">
        <f t="shared" si="35"/>
        <v>0</v>
      </c>
      <c r="Y97" s="335">
        <f t="shared" si="35"/>
        <v>0</v>
      </c>
      <c r="Z97" s="335">
        <f t="shared" si="35"/>
        <v>0</v>
      </c>
      <c r="AA97" s="335">
        <f t="shared" si="35"/>
        <v>0</v>
      </c>
      <c r="AB97" s="335">
        <f t="shared" si="35"/>
        <v>0</v>
      </c>
      <c r="AC97" s="335">
        <f t="shared" si="35"/>
        <v>0</v>
      </c>
      <c r="AD97" s="335">
        <f t="shared" si="35"/>
        <v>0</v>
      </c>
      <c r="AE97" s="335">
        <f t="shared" si="35"/>
        <v>0</v>
      </c>
      <c r="AF97" s="335">
        <f t="shared" si="35"/>
        <v>0</v>
      </c>
      <c r="AG97" s="335">
        <f t="shared" si="35"/>
        <v>0</v>
      </c>
      <c r="AH97" s="335">
        <f t="shared" si="35"/>
        <v>0</v>
      </c>
      <c r="AI97" s="337">
        <f t="shared" si="29"/>
        <v>0</v>
      </c>
      <c r="AJ97" s="225">
        <f t="shared" ca="1" si="34"/>
        <v>0</v>
      </c>
      <c r="AK97" s="176">
        <f t="shared" si="30"/>
        <v>0</v>
      </c>
      <c r="AL97" s="321"/>
      <c r="AQ97" s="200"/>
    </row>
    <row r="98" spans="2:43" ht="28.5" x14ac:dyDescent="0.45">
      <c r="B98" s="326" t="s">
        <v>239</v>
      </c>
      <c r="C98" s="327"/>
      <c r="D98" s="328">
        <v>0</v>
      </c>
      <c r="E98" s="329">
        <v>0</v>
      </c>
      <c r="F98" s="329">
        <v>0</v>
      </c>
      <c r="G98" s="329">
        <v>0</v>
      </c>
      <c r="H98" s="330">
        <v>0</v>
      </c>
      <c r="I98" s="330">
        <v>0</v>
      </c>
      <c r="J98" s="330">
        <v>0</v>
      </c>
      <c r="K98" s="330">
        <v>0</v>
      </c>
      <c r="L98" s="330">
        <v>0</v>
      </c>
      <c r="M98" s="330">
        <v>0</v>
      </c>
      <c r="N98" s="330">
        <v>0</v>
      </c>
      <c r="O98" s="330">
        <v>0</v>
      </c>
      <c r="P98" s="331">
        <v>0</v>
      </c>
      <c r="Q98" s="330">
        <v>0</v>
      </c>
      <c r="R98" s="330">
        <v>0</v>
      </c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0"/>
      <c r="AF98" s="330"/>
      <c r="AG98" s="330"/>
      <c r="AH98" s="330"/>
      <c r="AI98" s="332">
        <f t="shared" si="29"/>
        <v>0</v>
      </c>
      <c r="AJ98" s="225">
        <f t="shared" ca="1" si="34"/>
        <v>0</v>
      </c>
      <c r="AK98" s="176">
        <f t="shared" si="30"/>
        <v>0</v>
      </c>
      <c r="AL98" s="321"/>
      <c r="AQ98" s="200" t="str">
        <f>'[2]ОПЕРАТИВКА пн-пн'!B102</f>
        <v>СЕВЕРНЫЙ ПОТОК-2 - ПОДАЧА РЕСУРСАДАНИЯ</v>
      </c>
    </row>
    <row r="99" spans="2:43" ht="28.5" x14ac:dyDescent="0.45">
      <c r="B99" s="326" t="s">
        <v>237</v>
      </c>
      <c r="C99" s="327"/>
      <c r="D99" s="328">
        <v>0</v>
      </c>
      <c r="E99" s="329">
        <v>0</v>
      </c>
      <c r="F99" s="329">
        <v>0</v>
      </c>
      <c r="G99" s="329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0</v>
      </c>
      <c r="N99" s="330">
        <v>0</v>
      </c>
      <c r="O99" s="330">
        <v>0</v>
      </c>
      <c r="P99" s="331">
        <v>0</v>
      </c>
      <c r="Q99" s="330">
        <v>0</v>
      </c>
      <c r="R99" s="330">
        <v>0</v>
      </c>
      <c r="S99" s="330"/>
      <c r="T99" s="330"/>
      <c r="U99" s="330"/>
      <c r="V99" s="330"/>
      <c r="W99" s="330"/>
      <c r="X99" s="330"/>
      <c r="Y99" s="330"/>
      <c r="Z99" s="330"/>
      <c r="AA99" s="330"/>
      <c r="AB99" s="330"/>
      <c r="AC99" s="330"/>
      <c r="AD99" s="330"/>
      <c r="AE99" s="330"/>
      <c r="AF99" s="330"/>
      <c r="AG99" s="330"/>
      <c r="AH99" s="330"/>
      <c r="AI99" s="332">
        <f t="shared" si="29"/>
        <v>0</v>
      </c>
      <c r="AJ99" s="225">
        <f t="shared" ca="1" si="34"/>
        <v>0</v>
      </c>
      <c r="AK99" s="176">
        <f t="shared" si="30"/>
        <v>0</v>
      </c>
      <c r="AL99" s="321"/>
      <c r="AQ99" s="200" t="str">
        <f>'[2]ОПЕРАТИВКА пн-пн'!B103</f>
        <v>СЕВЕРНЫЙ ПОТОК-2 - ПОДАЧА РЕСУРСАБЕЛЬГИЯ</v>
      </c>
    </row>
    <row r="100" spans="2:43" ht="28.5" x14ac:dyDescent="0.45">
      <c r="B100" s="326" t="s">
        <v>220</v>
      </c>
      <c r="C100" s="327"/>
      <c r="D100" s="328">
        <v>0</v>
      </c>
      <c r="E100" s="329">
        <v>0</v>
      </c>
      <c r="F100" s="329">
        <v>0</v>
      </c>
      <c r="G100" s="329">
        <v>0</v>
      </c>
      <c r="H100" s="330">
        <v>0</v>
      </c>
      <c r="I100" s="330">
        <v>0</v>
      </c>
      <c r="J100" s="330">
        <v>0</v>
      </c>
      <c r="K100" s="330">
        <v>0</v>
      </c>
      <c r="L100" s="330">
        <v>0</v>
      </c>
      <c r="M100" s="330">
        <v>0</v>
      </c>
      <c r="N100" s="330">
        <v>0</v>
      </c>
      <c r="O100" s="330">
        <v>0</v>
      </c>
      <c r="P100" s="331">
        <v>0</v>
      </c>
      <c r="Q100" s="330">
        <v>0</v>
      </c>
      <c r="R100" s="330">
        <v>0</v>
      </c>
      <c r="S100" s="330"/>
      <c r="T100" s="330"/>
      <c r="U100" s="330"/>
      <c r="V100" s="330"/>
      <c r="W100" s="330"/>
      <c r="X100" s="330"/>
      <c r="Y100" s="330"/>
      <c r="Z100" s="330"/>
      <c r="AA100" s="330"/>
      <c r="AB100" s="330"/>
      <c r="AC100" s="330"/>
      <c r="AD100" s="330"/>
      <c r="AE100" s="330"/>
      <c r="AF100" s="330"/>
      <c r="AG100" s="330"/>
      <c r="AH100" s="330"/>
      <c r="AI100" s="332">
        <f t="shared" si="29"/>
        <v>0</v>
      </c>
      <c r="AJ100" s="225">
        <f t="shared" ca="1" si="34"/>
        <v>0</v>
      </c>
      <c r="AK100" s="176">
        <f t="shared" si="30"/>
        <v>0</v>
      </c>
      <c r="AL100" s="321"/>
      <c r="AQ100" s="200" t="str">
        <f>'[2]ОПЕРАТИВКА пн-пн'!B104</f>
        <v>СЕВЕРНЫЙ ПОТОК-2 - ПОДАЧА РЕСУРСАГЕРМАНИЯ</v>
      </c>
    </row>
    <row r="101" spans="2:43" ht="28.5" x14ac:dyDescent="0.45">
      <c r="B101" s="326" t="s">
        <v>238</v>
      </c>
      <c r="C101" s="327"/>
      <c r="D101" s="328">
        <v>0</v>
      </c>
      <c r="E101" s="329">
        <v>0</v>
      </c>
      <c r="F101" s="329">
        <v>0</v>
      </c>
      <c r="G101" s="329">
        <v>0</v>
      </c>
      <c r="H101" s="330">
        <v>0</v>
      </c>
      <c r="I101" s="330">
        <v>0</v>
      </c>
      <c r="J101" s="330">
        <v>0</v>
      </c>
      <c r="K101" s="330">
        <v>0</v>
      </c>
      <c r="L101" s="330">
        <v>0</v>
      </c>
      <c r="M101" s="330">
        <v>0</v>
      </c>
      <c r="N101" s="330">
        <v>0</v>
      </c>
      <c r="O101" s="330">
        <v>0</v>
      </c>
      <c r="P101" s="331">
        <v>0</v>
      </c>
      <c r="Q101" s="330">
        <v>0</v>
      </c>
      <c r="R101" s="330">
        <v>0</v>
      </c>
      <c r="S101" s="330"/>
      <c r="T101" s="330"/>
      <c r="U101" s="330"/>
      <c r="V101" s="330"/>
      <c r="W101" s="330"/>
      <c r="X101" s="330"/>
      <c r="Y101" s="330"/>
      <c r="Z101" s="330"/>
      <c r="AA101" s="330"/>
      <c r="AB101" s="330"/>
      <c r="AC101" s="330"/>
      <c r="AD101" s="330"/>
      <c r="AE101" s="330"/>
      <c r="AF101" s="330"/>
      <c r="AG101" s="330"/>
      <c r="AH101" s="330"/>
      <c r="AI101" s="332">
        <f t="shared" si="29"/>
        <v>0</v>
      </c>
      <c r="AJ101" s="225">
        <f t="shared" ca="1" si="34"/>
        <v>0</v>
      </c>
      <c r="AK101" s="176">
        <f t="shared" si="30"/>
        <v>0</v>
      </c>
      <c r="AL101" s="321"/>
      <c r="AQ101" s="200" t="str">
        <f>'[2]ОПЕРАТИВКА пн-пн'!B105</f>
        <v>СЕВЕРНЫЙ ПОТОК-2 - ПОДАЧА РЕСУРСАВЕЛИКОБРИТАНИЯ</v>
      </c>
    </row>
    <row r="102" spans="2:43" ht="28.5" x14ac:dyDescent="0.45">
      <c r="B102" s="326" t="s">
        <v>241</v>
      </c>
      <c r="C102" s="327"/>
      <c r="D102" s="328">
        <v>0</v>
      </c>
      <c r="E102" s="329">
        <v>0</v>
      </c>
      <c r="F102" s="329">
        <v>0</v>
      </c>
      <c r="G102" s="329">
        <v>0</v>
      </c>
      <c r="H102" s="330">
        <v>0</v>
      </c>
      <c r="I102" s="330">
        <v>0</v>
      </c>
      <c r="J102" s="330">
        <v>0</v>
      </c>
      <c r="K102" s="330">
        <v>0</v>
      </c>
      <c r="L102" s="330">
        <v>0</v>
      </c>
      <c r="M102" s="330">
        <v>0</v>
      </c>
      <c r="N102" s="330">
        <v>0</v>
      </c>
      <c r="O102" s="330">
        <v>0</v>
      </c>
      <c r="P102" s="331">
        <v>0</v>
      </c>
      <c r="Q102" s="330">
        <v>0</v>
      </c>
      <c r="R102" s="330">
        <v>0</v>
      </c>
      <c r="S102" s="330"/>
      <c r="T102" s="330"/>
      <c r="U102" s="330"/>
      <c r="V102" s="330"/>
      <c r="W102" s="330"/>
      <c r="X102" s="330"/>
      <c r="Y102" s="330"/>
      <c r="Z102" s="330"/>
      <c r="AA102" s="330"/>
      <c r="AB102" s="330"/>
      <c r="AC102" s="330"/>
      <c r="AD102" s="330"/>
      <c r="AE102" s="330"/>
      <c r="AF102" s="330"/>
      <c r="AG102" s="330"/>
      <c r="AH102" s="330"/>
      <c r="AI102" s="332">
        <f t="shared" si="29"/>
        <v>0</v>
      </c>
      <c r="AJ102" s="225">
        <f t="shared" ca="1" si="34"/>
        <v>0</v>
      </c>
      <c r="AK102" s="176">
        <f t="shared" si="30"/>
        <v>0</v>
      </c>
      <c r="AL102" s="321"/>
      <c r="AQ102" s="200" t="str">
        <f>'[2]ОПЕРАТИВКА пн-пн'!B106</f>
        <v>СЕВЕРНЫЙ ПОТОК-2 - ПОДАЧА РЕСУРСАФРАНЦИЯ</v>
      </c>
    </row>
    <row r="103" spans="2:43" ht="28.5" x14ac:dyDescent="0.45">
      <c r="B103" s="326" t="s">
        <v>223</v>
      </c>
      <c r="C103" s="327"/>
      <c r="D103" s="328">
        <v>0</v>
      </c>
      <c r="E103" s="329">
        <v>0</v>
      </c>
      <c r="F103" s="329">
        <v>0</v>
      </c>
      <c r="G103" s="329">
        <v>0</v>
      </c>
      <c r="H103" s="330">
        <v>0</v>
      </c>
      <c r="I103" s="330">
        <v>0</v>
      </c>
      <c r="J103" s="330">
        <v>0</v>
      </c>
      <c r="K103" s="330">
        <v>0</v>
      </c>
      <c r="L103" s="330">
        <v>0</v>
      </c>
      <c r="M103" s="330">
        <v>0</v>
      </c>
      <c r="N103" s="330">
        <v>0</v>
      </c>
      <c r="O103" s="330">
        <v>0</v>
      </c>
      <c r="P103" s="331">
        <v>0</v>
      </c>
      <c r="Q103" s="330">
        <v>0</v>
      </c>
      <c r="R103" s="330">
        <v>0</v>
      </c>
      <c r="S103" s="330"/>
      <c r="T103" s="330"/>
      <c r="U103" s="330"/>
      <c r="V103" s="330"/>
      <c r="W103" s="330"/>
      <c r="X103" s="330"/>
      <c r="Y103" s="330"/>
      <c r="Z103" s="330"/>
      <c r="AA103" s="330"/>
      <c r="AB103" s="330"/>
      <c r="AC103" s="330"/>
      <c r="AD103" s="330"/>
      <c r="AE103" s="330"/>
      <c r="AF103" s="330"/>
      <c r="AG103" s="330"/>
      <c r="AH103" s="330"/>
      <c r="AI103" s="332">
        <f t="shared" si="29"/>
        <v>0</v>
      </c>
      <c r="AJ103" s="225">
        <f t="shared" ca="1" si="34"/>
        <v>0</v>
      </c>
      <c r="AK103" s="176">
        <f t="shared" si="30"/>
        <v>0</v>
      </c>
      <c r="AL103" s="321"/>
      <c r="AQ103" s="200" t="str">
        <f>'[2]ОПЕРАТИВКА пн-пн'!B107</f>
        <v>СЕВЕРНЫЙ ПОТОК-2 - ПОДАЧА РЕСУРСАНИДЕРЛАНДЫ</v>
      </c>
    </row>
    <row r="104" spans="2:43" ht="28.5" x14ac:dyDescent="0.45">
      <c r="B104" s="326" t="s">
        <v>243</v>
      </c>
      <c r="C104" s="327"/>
      <c r="D104" s="328">
        <v>0</v>
      </c>
      <c r="E104" s="329">
        <v>0</v>
      </c>
      <c r="F104" s="329">
        <v>0</v>
      </c>
      <c r="G104" s="329">
        <v>0</v>
      </c>
      <c r="H104" s="330">
        <v>0</v>
      </c>
      <c r="I104" s="330">
        <v>0</v>
      </c>
      <c r="J104" s="330">
        <v>0</v>
      </c>
      <c r="K104" s="330">
        <v>0</v>
      </c>
      <c r="L104" s="330">
        <v>0</v>
      </c>
      <c r="M104" s="330">
        <v>0</v>
      </c>
      <c r="N104" s="330">
        <v>0</v>
      </c>
      <c r="O104" s="330">
        <v>0</v>
      </c>
      <c r="P104" s="331">
        <v>0</v>
      </c>
      <c r="Q104" s="330">
        <v>0</v>
      </c>
      <c r="R104" s="330">
        <v>0</v>
      </c>
      <c r="S104" s="330"/>
      <c r="T104" s="330"/>
      <c r="U104" s="330"/>
      <c r="V104" s="330"/>
      <c r="W104" s="330"/>
      <c r="X104" s="330"/>
      <c r="Y104" s="330"/>
      <c r="Z104" s="330"/>
      <c r="AA104" s="330"/>
      <c r="AB104" s="330"/>
      <c r="AC104" s="330"/>
      <c r="AD104" s="330"/>
      <c r="AE104" s="330"/>
      <c r="AF104" s="330"/>
      <c r="AG104" s="330"/>
      <c r="AH104" s="330"/>
      <c r="AI104" s="332">
        <f t="shared" si="29"/>
        <v>0</v>
      </c>
      <c r="AJ104" s="225">
        <f t="shared" ca="1" si="34"/>
        <v>0</v>
      </c>
      <c r="AK104" s="176">
        <f t="shared" si="30"/>
        <v>0</v>
      </c>
      <c r="AL104" s="321"/>
      <c r="AQ104" s="200" t="str">
        <f>'[2]ОПЕРАТИВКА пн-пн'!B108</f>
        <v>СЕВЕРНЫЙ ПОТОК-2 - ПОДАЧА РЕСУРСАЧEXИЯ</v>
      </c>
    </row>
    <row r="105" spans="2:43" ht="28.5" x14ac:dyDescent="0.45">
      <c r="B105" s="326" t="s">
        <v>240</v>
      </c>
      <c r="C105" s="327"/>
      <c r="D105" s="328">
        <v>0</v>
      </c>
      <c r="E105" s="329">
        <v>0</v>
      </c>
      <c r="F105" s="329">
        <v>0</v>
      </c>
      <c r="G105" s="329">
        <v>0</v>
      </c>
      <c r="H105" s="330">
        <v>0</v>
      </c>
      <c r="I105" s="330">
        <v>0</v>
      </c>
      <c r="J105" s="330">
        <v>0</v>
      </c>
      <c r="K105" s="330">
        <v>0</v>
      </c>
      <c r="L105" s="330">
        <v>0</v>
      </c>
      <c r="M105" s="330">
        <v>0</v>
      </c>
      <c r="N105" s="330">
        <v>0</v>
      </c>
      <c r="O105" s="330">
        <v>0</v>
      </c>
      <c r="P105" s="331">
        <v>0</v>
      </c>
      <c r="Q105" s="330">
        <v>0</v>
      </c>
      <c r="R105" s="330">
        <v>0</v>
      </c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0"/>
      <c r="AF105" s="330"/>
      <c r="AG105" s="330"/>
      <c r="AH105" s="330"/>
      <c r="AI105" s="332">
        <f t="shared" si="29"/>
        <v>0</v>
      </c>
      <c r="AJ105" s="225">
        <f t="shared" ca="1" si="34"/>
        <v>0</v>
      </c>
      <c r="AK105" s="176">
        <f t="shared" si="30"/>
        <v>0</v>
      </c>
      <c r="AL105" s="321"/>
      <c r="AQ105" s="200" t="str">
        <f>'[2]ОПЕРАТИВКА пн-пн'!B109</f>
        <v>СЕВЕРНЫЙ ПОТОК-2 - ПОДАЧА РЕСУРСАШBEЙЦAPИЯ</v>
      </c>
    </row>
    <row r="106" spans="2:43" ht="28.5" x14ac:dyDescent="0.45">
      <c r="B106" s="326" t="s">
        <v>244</v>
      </c>
      <c r="C106" s="327"/>
      <c r="D106" s="328">
        <v>0</v>
      </c>
      <c r="E106" s="329">
        <v>0</v>
      </c>
      <c r="F106" s="329">
        <v>0</v>
      </c>
      <c r="G106" s="329">
        <v>0</v>
      </c>
      <c r="H106" s="330">
        <v>0</v>
      </c>
      <c r="I106" s="330">
        <v>0</v>
      </c>
      <c r="J106" s="330">
        <v>0</v>
      </c>
      <c r="K106" s="330">
        <v>0</v>
      </c>
      <c r="L106" s="330">
        <v>0</v>
      </c>
      <c r="M106" s="330">
        <v>0</v>
      </c>
      <c r="N106" s="330">
        <v>0</v>
      </c>
      <c r="O106" s="330">
        <v>0</v>
      </c>
      <c r="P106" s="331">
        <v>0</v>
      </c>
      <c r="Q106" s="330">
        <v>0</v>
      </c>
      <c r="R106" s="330">
        <v>0</v>
      </c>
      <c r="S106" s="330"/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  <c r="AD106" s="330"/>
      <c r="AE106" s="330"/>
      <c r="AF106" s="330"/>
      <c r="AG106" s="330"/>
      <c r="AH106" s="330"/>
      <c r="AI106" s="332">
        <f t="shared" si="29"/>
        <v>0</v>
      </c>
      <c r="AJ106" s="225">
        <f t="shared" ca="1" si="34"/>
        <v>0</v>
      </c>
      <c r="AK106" s="176">
        <f t="shared" si="30"/>
        <v>0</v>
      </c>
      <c r="AL106" s="321"/>
      <c r="AQ106" s="200" t="str">
        <f>'[2]ОПЕРАТИВКА пн-пн'!B110</f>
        <v>СЕВЕРНЫЙ ПОТОК-2 - ПОДАЧА РЕСУРСААВСТРИЯ</v>
      </c>
    </row>
    <row r="107" spans="2:43" ht="28.5" x14ac:dyDescent="0.45">
      <c r="B107" s="326" t="s">
        <v>263</v>
      </c>
      <c r="C107" s="327"/>
      <c r="D107" s="328">
        <v>0</v>
      </c>
      <c r="E107" s="329">
        <v>0</v>
      </c>
      <c r="F107" s="329">
        <v>0</v>
      </c>
      <c r="G107" s="329">
        <v>0</v>
      </c>
      <c r="H107" s="330">
        <v>0</v>
      </c>
      <c r="I107" s="330">
        <v>0</v>
      </c>
      <c r="J107" s="330">
        <v>0</v>
      </c>
      <c r="K107" s="330">
        <v>0</v>
      </c>
      <c r="L107" s="330">
        <v>0</v>
      </c>
      <c r="M107" s="330">
        <v>0</v>
      </c>
      <c r="N107" s="330">
        <v>0</v>
      </c>
      <c r="O107" s="330">
        <v>0</v>
      </c>
      <c r="P107" s="331">
        <v>0</v>
      </c>
      <c r="Q107" s="330">
        <v>0</v>
      </c>
      <c r="R107" s="330">
        <v>0</v>
      </c>
      <c r="S107" s="330"/>
      <c r="T107" s="330"/>
      <c r="U107" s="330"/>
      <c r="V107" s="330"/>
      <c r="W107" s="330"/>
      <c r="X107" s="330"/>
      <c r="Y107" s="330"/>
      <c r="Z107" s="330"/>
      <c r="AA107" s="330"/>
      <c r="AB107" s="330"/>
      <c r="AC107" s="330"/>
      <c r="AD107" s="330"/>
      <c r="AE107" s="330"/>
      <c r="AF107" s="330"/>
      <c r="AG107" s="330"/>
      <c r="AH107" s="330"/>
      <c r="AI107" s="332">
        <f t="shared" si="29"/>
        <v>0</v>
      </c>
      <c r="AJ107" s="225">
        <f t="shared" ca="1" si="34"/>
        <v>0</v>
      </c>
      <c r="AK107" s="176">
        <f t="shared" si="30"/>
        <v>0</v>
      </c>
      <c r="AL107" s="321"/>
      <c r="AQ107" s="200" t="str">
        <f>'[2]ОПЕРАТИВКА пн-пн'!B111</f>
        <v>СЕВЕРНЫЙ ПОТОК-2 - ПОДАЧА РЕСУРСАВЕНГРИЯ</v>
      </c>
    </row>
    <row r="108" spans="2:43" ht="28.5" x14ac:dyDescent="0.45">
      <c r="B108" s="326" t="s">
        <v>242</v>
      </c>
      <c r="C108" s="327"/>
      <c r="D108" s="328">
        <v>0</v>
      </c>
      <c r="E108" s="329">
        <v>0</v>
      </c>
      <c r="F108" s="329">
        <v>0</v>
      </c>
      <c r="G108" s="329">
        <v>0</v>
      </c>
      <c r="H108" s="330">
        <v>0</v>
      </c>
      <c r="I108" s="330">
        <v>0</v>
      </c>
      <c r="J108" s="330">
        <v>0</v>
      </c>
      <c r="K108" s="330">
        <v>0</v>
      </c>
      <c r="L108" s="330">
        <v>0</v>
      </c>
      <c r="M108" s="330">
        <v>0</v>
      </c>
      <c r="N108" s="330">
        <v>0</v>
      </c>
      <c r="O108" s="330">
        <v>0</v>
      </c>
      <c r="P108" s="331">
        <v>0</v>
      </c>
      <c r="Q108" s="330">
        <v>0</v>
      </c>
      <c r="R108" s="330">
        <v>0</v>
      </c>
      <c r="S108" s="330"/>
      <c r="T108" s="330"/>
      <c r="U108" s="330"/>
      <c r="V108" s="330"/>
      <c r="W108" s="330"/>
      <c r="X108" s="330"/>
      <c r="Y108" s="330"/>
      <c r="Z108" s="330"/>
      <c r="AA108" s="330"/>
      <c r="AB108" s="330"/>
      <c r="AC108" s="330"/>
      <c r="AD108" s="330"/>
      <c r="AE108" s="330"/>
      <c r="AF108" s="330"/>
      <c r="AG108" s="330"/>
      <c r="AH108" s="330"/>
      <c r="AI108" s="332">
        <f t="shared" si="29"/>
        <v>0</v>
      </c>
      <c r="AJ108" s="225">
        <f t="shared" ca="1" si="34"/>
        <v>0</v>
      </c>
      <c r="AK108" s="176">
        <f t="shared" si="30"/>
        <v>0</v>
      </c>
      <c r="AL108" s="321"/>
      <c r="AQ108" s="200" t="str">
        <f>'[2]ОПЕРАТИВКА пн-пн'!B112</f>
        <v>СЕВЕРНЫЙ ПОТОК-2 - ПОДАЧА РЕСУРСАИТАЛИЯ</v>
      </c>
    </row>
    <row r="109" spans="2:43" ht="28.5" x14ac:dyDescent="0.45">
      <c r="B109" s="326" t="s">
        <v>245</v>
      </c>
      <c r="C109" s="327"/>
      <c r="D109" s="330">
        <v>0</v>
      </c>
      <c r="E109" s="330">
        <v>0</v>
      </c>
      <c r="F109" s="330">
        <v>0</v>
      </c>
      <c r="G109" s="330">
        <v>0</v>
      </c>
      <c r="H109" s="330">
        <v>0</v>
      </c>
      <c r="I109" s="330">
        <v>0</v>
      </c>
      <c r="J109" s="330">
        <v>0</v>
      </c>
      <c r="K109" s="330">
        <v>0</v>
      </c>
      <c r="L109" s="330">
        <v>0</v>
      </c>
      <c r="M109" s="330">
        <v>0</v>
      </c>
      <c r="N109" s="330">
        <v>0</v>
      </c>
      <c r="O109" s="330">
        <v>0</v>
      </c>
      <c r="P109" s="331">
        <v>0</v>
      </c>
      <c r="Q109" s="330">
        <v>0</v>
      </c>
      <c r="R109" s="330">
        <v>0</v>
      </c>
      <c r="S109" s="330"/>
      <c r="T109" s="330"/>
      <c r="U109" s="330"/>
      <c r="V109" s="330"/>
      <c r="W109" s="330"/>
      <c r="X109" s="330"/>
      <c r="Y109" s="330"/>
      <c r="Z109" s="330"/>
      <c r="AA109" s="330"/>
      <c r="AB109" s="330"/>
      <c r="AC109" s="330"/>
      <c r="AD109" s="330"/>
      <c r="AE109" s="330"/>
      <c r="AF109" s="330"/>
      <c r="AG109" s="330"/>
      <c r="AH109" s="330"/>
      <c r="AI109" s="332">
        <f t="shared" si="29"/>
        <v>0</v>
      </c>
      <c r="AJ109" s="225">
        <f t="shared" ca="1" si="34"/>
        <v>0</v>
      </c>
      <c r="AK109" s="176">
        <f t="shared" si="30"/>
        <v>0</v>
      </c>
      <c r="AL109" s="321"/>
      <c r="AQ109" s="200" t="str">
        <f>'[2]ОПЕРАТИВКА пн-пн'!B113</f>
        <v>СЕВЕРНЫЙ ПОТОК-2 - ПОДАЧА РЕСУРСАСЛОВЕНИЯ</v>
      </c>
    </row>
    <row r="110" spans="2:43" ht="28.5" x14ac:dyDescent="0.45">
      <c r="B110" s="326" t="s">
        <v>215</v>
      </c>
      <c r="C110" s="327"/>
      <c r="D110" s="330">
        <v>0</v>
      </c>
      <c r="E110" s="330">
        <v>0</v>
      </c>
      <c r="F110" s="330">
        <v>0</v>
      </c>
      <c r="G110" s="330">
        <v>0</v>
      </c>
      <c r="H110" s="330">
        <v>0</v>
      </c>
      <c r="I110" s="330">
        <v>0</v>
      </c>
      <c r="J110" s="330">
        <v>0</v>
      </c>
      <c r="K110" s="330">
        <v>0</v>
      </c>
      <c r="L110" s="330">
        <v>0</v>
      </c>
      <c r="M110" s="330">
        <v>0</v>
      </c>
      <c r="N110" s="330">
        <v>0</v>
      </c>
      <c r="O110" s="330">
        <v>0</v>
      </c>
      <c r="P110" s="331">
        <v>0</v>
      </c>
      <c r="Q110" s="330">
        <v>0</v>
      </c>
      <c r="R110" s="330">
        <v>0</v>
      </c>
      <c r="S110" s="330"/>
      <c r="T110" s="330"/>
      <c r="U110" s="330"/>
      <c r="V110" s="330"/>
      <c r="W110" s="330"/>
      <c r="X110" s="330"/>
      <c r="Y110" s="330"/>
      <c r="Z110" s="330"/>
      <c r="AA110" s="330"/>
      <c r="AB110" s="330"/>
      <c r="AC110" s="330"/>
      <c r="AD110" s="330"/>
      <c r="AE110" s="330"/>
      <c r="AF110" s="330"/>
      <c r="AG110" s="330"/>
      <c r="AH110" s="330"/>
      <c r="AI110" s="332">
        <f t="shared" si="29"/>
        <v>0</v>
      </c>
      <c r="AJ110" s="225">
        <f t="shared" ca="1" si="34"/>
        <v>0</v>
      </c>
      <c r="AK110" s="176">
        <f t="shared" si="30"/>
        <v>0</v>
      </c>
      <c r="AL110" s="321"/>
      <c r="AQ110" s="200" t="str">
        <f>'[2]ОПЕРАТИВКА пн-пн'!B114</f>
        <v>СЕВЕРНЫЙ ПОТОК-2 - ПОДАЧА РЕСУРСАСЛОВАКИЯ</v>
      </c>
    </row>
    <row r="111" spans="2:43" ht="29.25" thickBot="1" x14ac:dyDescent="0.5">
      <c r="B111" s="338" t="s">
        <v>266</v>
      </c>
      <c r="C111" s="339"/>
      <c r="D111" s="340">
        <v>37723.533709999996</v>
      </c>
      <c r="E111" s="340">
        <v>38909.714240000001</v>
      </c>
      <c r="F111" s="340">
        <v>38961.689630000001</v>
      </c>
      <c r="G111" s="340">
        <v>38861.874860000004</v>
      </c>
      <c r="H111" s="340">
        <v>38959.185010000001</v>
      </c>
      <c r="I111" s="340">
        <v>38936.198799999998</v>
      </c>
      <c r="J111" s="340">
        <v>38982.762569999999</v>
      </c>
      <c r="K111" s="340">
        <v>38847.761789999997</v>
      </c>
      <c r="L111" s="340">
        <v>38975.832620000001</v>
      </c>
      <c r="M111" s="340">
        <v>38938.776729999998</v>
      </c>
      <c r="N111" s="340">
        <v>38861.212919999998</v>
      </c>
      <c r="O111" s="340">
        <v>38948.164769999996</v>
      </c>
      <c r="P111" s="340">
        <v>38851.387750000002</v>
      </c>
      <c r="Q111" s="340">
        <v>38964.623850000004</v>
      </c>
      <c r="R111" s="340">
        <v>0</v>
      </c>
      <c r="S111" s="340"/>
      <c r="T111" s="340"/>
      <c r="U111" s="340"/>
      <c r="V111" s="340"/>
      <c r="W111" s="340"/>
      <c r="X111" s="340"/>
      <c r="Y111" s="340"/>
      <c r="Z111" s="340"/>
      <c r="AA111" s="340"/>
      <c r="AB111" s="340"/>
      <c r="AC111" s="340"/>
      <c r="AD111" s="340"/>
      <c r="AE111" s="340"/>
      <c r="AF111" s="340"/>
      <c r="AG111" s="340"/>
      <c r="AH111" s="341"/>
      <c r="AI111" s="342">
        <f t="shared" si="29"/>
        <v>543722.71925000008</v>
      </c>
      <c r="AJ111" s="225">
        <f t="shared" ca="1" si="26"/>
        <v>21.748908770000003</v>
      </c>
      <c r="AK111" s="176">
        <f t="shared" si="30"/>
        <v>36.248181283333338</v>
      </c>
      <c r="AL111" s="343">
        <v>28.927776389642855</v>
      </c>
      <c r="AQ111" s="200" t="str">
        <f>'[2]ОПЕРАТИВКА пн-пн'!B116</f>
        <v>СПРАВОЧНО                                              КИТАЙ</v>
      </c>
    </row>
    <row r="112" spans="2:43" ht="29.25" thickBot="1" x14ac:dyDescent="0.5">
      <c r="B112" s="171" t="s">
        <v>267</v>
      </c>
      <c r="C112" s="172"/>
      <c r="D112" s="173">
        <f t="shared" ref="D112:AH112" si="36">D5+D111</f>
        <v>337851.59148129518</v>
      </c>
      <c r="E112" s="173">
        <f t="shared" si="36"/>
        <v>356553.70792150777</v>
      </c>
      <c r="F112" s="173">
        <f t="shared" si="36"/>
        <v>373279.66837487888</v>
      </c>
      <c r="G112" s="173">
        <f t="shared" si="36"/>
        <v>388813.15240128583</v>
      </c>
      <c r="H112" s="173">
        <f t="shared" si="36"/>
        <v>384641.67342135962</v>
      </c>
      <c r="I112" s="173">
        <f t="shared" si="36"/>
        <v>377486.48969239183</v>
      </c>
      <c r="J112" s="173">
        <f t="shared" si="36"/>
        <v>381801.60587509733</v>
      </c>
      <c r="K112" s="173">
        <f t="shared" si="36"/>
        <v>391821.61452512449</v>
      </c>
      <c r="L112" s="173">
        <f t="shared" si="36"/>
        <v>413421.26793161558</v>
      </c>
      <c r="M112" s="173">
        <f t="shared" si="36"/>
        <v>426897.20617793995</v>
      </c>
      <c r="N112" s="173">
        <f t="shared" si="36"/>
        <v>417037.58128272399</v>
      </c>
      <c r="O112" s="173">
        <f t="shared" si="36"/>
        <v>417047.49989939888</v>
      </c>
      <c r="P112" s="173">
        <f t="shared" si="36"/>
        <v>412670.95520591142</v>
      </c>
      <c r="Q112" s="173">
        <f t="shared" si="36"/>
        <v>405035.58071004541</v>
      </c>
      <c r="R112" s="173">
        <f t="shared" si="36"/>
        <v>0</v>
      </c>
      <c r="S112" s="173">
        <f t="shared" si="36"/>
        <v>0</v>
      </c>
      <c r="T112" s="173">
        <f t="shared" si="36"/>
        <v>0</v>
      </c>
      <c r="U112" s="173">
        <f t="shared" si="36"/>
        <v>0</v>
      </c>
      <c r="V112" s="173">
        <f t="shared" si="36"/>
        <v>0</v>
      </c>
      <c r="W112" s="173">
        <f t="shared" si="36"/>
        <v>0</v>
      </c>
      <c r="X112" s="173">
        <f t="shared" si="36"/>
        <v>0</v>
      </c>
      <c r="Y112" s="173">
        <f t="shared" si="36"/>
        <v>0</v>
      </c>
      <c r="Z112" s="173">
        <f t="shared" si="36"/>
        <v>0</v>
      </c>
      <c r="AA112" s="173">
        <f t="shared" si="36"/>
        <v>0</v>
      </c>
      <c r="AB112" s="173">
        <f t="shared" si="36"/>
        <v>0</v>
      </c>
      <c r="AC112" s="173">
        <f t="shared" si="36"/>
        <v>0</v>
      </c>
      <c r="AD112" s="173">
        <f t="shared" si="36"/>
        <v>0</v>
      </c>
      <c r="AE112" s="173">
        <f t="shared" si="36"/>
        <v>0</v>
      </c>
      <c r="AF112" s="173">
        <f t="shared" si="36"/>
        <v>0</v>
      </c>
      <c r="AG112" s="173">
        <f t="shared" si="36"/>
        <v>0</v>
      </c>
      <c r="AH112" s="173">
        <f t="shared" si="36"/>
        <v>0</v>
      </c>
      <c r="AI112" s="174">
        <f t="shared" si="29"/>
        <v>5484359.5949005755</v>
      </c>
      <c r="AJ112" s="225"/>
      <c r="AK112" s="176"/>
      <c r="AL112" s="343"/>
      <c r="AQ112" s="200"/>
    </row>
    <row r="113" spans="2:44" ht="27.6" customHeight="1" x14ac:dyDescent="0.3">
      <c r="B113" s="344" t="s">
        <v>268</v>
      </c>
      <c r="C113" s="345"/>
      <c r="D113" s="346">
        <v>0</v>
      </c>
      <c r="E113" s="346">
        <v>0</v>
      </c>
      <c r="F113" s="346">
        <v>0</v>
      </c>
      <c r="G113" s="346">
        <v>0</v>
      </c>
      <c r="H113" s="346">
        <v>0</v>
      </c>
      <c r="I113" s="346">
        <v>0</v>
      </c>
      <c r="J113" s="346">
        <v>0</v>
      </c>
      <c r="K113" s="346">
        <v>0</v>
      </c>
      <c r="L113" s="346">
        <v>0</v>
      </c>
      <c r="M113" s="346">
        <v>0</v>
      </c>
      <c r="N113" s="346">
        <v>0</v>
      </c>
      <c r="O113" s="346">
        <v>0</v>
      </c>
      <c r="P113" s="346">
        <v>0</v>
      </c>
      <c r="Q113" s="346">
        <v>0</v>
      </c>
      <c r="R113" s="346">
        <v>0</v>
      </c>
      <c r="S113" s="346">
        <v>0</v>
      </c>
      <c r="T113" s="346">
        <v>0</v>
      </c>
      <c r="U113" s="346">
        <v>0</v>
      </c>
      <c r="V113" s="346">
        <v>0</v>
      </c>
      <c r="W113" s="346">
        <v>0</v>
      </c>
      <c r="X113" s="346">
        <v>0</v>
      </c>
      <c r="Y113" s="346">
        <v>0</v>
      </c>
      <c r="Z113" s="346">
        <v>0</v>
      </c>
      <c r="AA113" s="346">
        <v>0</v>
      </c>
      <c r="AB113" s="346">
        <v>0</v>
      </c>
      <c r="AC113" s="346">
        <v>0</v>
      </c>
      <c r="AD113" s="347">
        <v>0</v>
      </c>
      <c r="AE113" s="347">
        <v>0</v>
      </c>
      <c r="AF113" s="347">
        <v>0</v>
      </c>
      <c r="AG113" s="347">
        <v>0</v>
      </c>
      <c r="AH113" s="348">
        <v>0</v>
      </c>
      <c r="AI113" s="349">
        <f t="shared" si="29"/>
        <v>0</v>
      </c>
      <c r="AQ113" s="200" t="str">
        <f>'[2]ОПЕРАТИВКА пн-пн'!B125</f>
        <v>СУММАРНОЕ СОКРАЩЕНИЕ НОМИНАЦИЙ</v>
      </c>
    </row>
    <row r="114" spans="2:44" ht="27.6" customHeight="1" x14ac:dyDescent="0.3">
      <c r="B114" s="350" t="s">
        <v>269</v>
      </c>
      <c r="C114" s="351"/>
      <c r="D114" s="352">
        <v>0</v>
      </c>
      <c r="E114" s="352">
        <v>0</v>
      </c>
      <c r="F114" s="352">
        <v>0</v>
      </c>
      <c r="G114" s="352">
        <v>0</v>
      </c>
      <c r="H114" s="352">
        <v>0</v>
      </c>
      <c r="I114" s="352">
        <v>0</v>
      </c>
      <c r="J114" s="352">
        <v>0</v>
      </c>
      <c r="K114" s="352">
        <v>0</v>
      </c>
      <c r="L114" s="352">
        <v>0</v>
      </c>
      <c r="M114" s="352">
        <v>0</v>
      </c>
      <c r="N114" s="352">
        <v>0</v>
      </c>
      <c r="O114" s="352">
        <v>0</v>
      </c>
      <c r="P114" s="352">
        <v>0</v>
      </c>
      <c r="Q114" s="352">
        <v>0</v>
      </c>
      <c r="R114" s="352">
        <v>0</v>
      </c>
      <c r="S114" s="352">
        <v>0</v>
      </c>
      <c r="T114" s="352">
        <v>0</v>
      </c>
      <c r="U114" s="352">
        <v>0</v>
      </c>
      <c r="V114" s="352">
        <v>0</v>
      </c>
      <c r="W114" s="352">
        <v>0</v>
      </c>
      <c r="X114" s="352">
        <v>0</v>
      </c>
      <c r="Y114" s="352">
        <v>0</v>
      </c>
      <c r="Z114" s="352">
        <v>0</v>
      </c>
      <c r="AA114" s="352">
        <v>0</v>
      </c>
      <c r="AB114" s="352">
        <v>0</v>
      </c>
      <c r="AC114" s="352">
        <v>0</v>
      </c>
      <c r="AD114" s="353">
        <v>0</v>
      </c>
      <c r="AE114" s="353">
        <v>0</v>
      </c>
      <c r="AF114" s="353">
        <v>0</v>
      </c>
      <c r="AG114" s="353">
        <v>0</v>
      </c>
      <c r="AH114" s="354">
        <v>0</v>
      </c>
      <c r="AI114" s="355">
        <f t="shared" si="29"/>
        <v>0</v>
      </c>
      <c r="AQ114" s="200" t="str">
        <f>'[2]ОПЕРАТИВКА пн-пн'!B126</f>
        <v>- в т.ч. best-efforts</v>
      </c>
    </row>
    <row r="115" spans="2:44" ht="27.6" customHeight="1" thickBot="1" x14ac:dyDescent="0.35">
      <c r="B115" s="356" t="s">
        <v>270</v>
      </c>
      <c r="C115" s="357"/>
      <c r="D115" s="358">
        <v>0</v>
      </c>
      <c r="E115" s="358">
        <v>0</v>
      </c>
      <c r="F115" s="358">
        <v>0</v>
      </c>
      <c r="G115" s="358">
        <v>0</v>
      </c>
      <c r="H115" s="358">
        <v>0</v>
      </c>
      <c r="I115" s="358">
        <v>0</v>
      </c>
      <c r="J115" s="358">
        <v>0</v>
      </c>
      <c r="K115" s="358">
        <v>0</v>
      </c>
      <c r="L115" s="358">
        <v>0</v>
      </c>
      <c r="M115" s="358">
        <v>0</v>
      </c>
      <c r="N115" s="358">
        <v>0</v>
      </c>
      <c r="O115" s="358">
        <v>0</v>
      </c>
      <c r="P115" s="358">
        <v>0</v>
      </c>
      <c r="Q115" s="358">
        <v>0</v>
      </c>
      <c r="R115" s="358">
        <v>0</v>
      </c>
      <c r="S115" s="358">
        <v>0</v>
      </c>
      <c r="T115" s="358">
        <v>0</v>
      </c>
      <c r="U115" s="358">
        <v>0</v>
      </c>
      <c r="V115" s="358">
        <v>0</v>
      </c>
      <c r="W115" s="358">
        <v>0</v>
      </c>
      <c r="X115" s="358">
        <v>0</v>
      </c>
      <c r="Y115" s="358">
        <v>0</v>
      </c>
      <c r="Z115" s="358">
        <v>0</v>
      </c>
      <c r="AA115" s="358">
        <v>0</v>
      </c>
      <c r="AB115" s="358">
        <v>0</v>
      </c>
      <c r="AC115" s="358">
        <v>0</v>
      </c>
      <c r="AD115" s="359">
        <v>0</v>
      </c>
      <c r="AE115" s="359">
        <v>0</v>
      </c>
      <c r="AF115" s="359">
        <v>0</v>
      </c>
      <c r="AG115" s="359">
        <v>0</v>
      </c>
      <c r="AH115" s="360">
        <v>0</v>
      </c>
      <c r="AI115" s="361">
        <f t="shared" si="29"/>
        <v>0</v>
      </c>
      <c r="AQ115" s="200" t="str">
        <f>'[2]ОПЕРАТИВКА пн-пн'!B127</f>
        <v>НЕДОПОСТАВКА ПО ТВЕРДЫМ ОБЯЗАТЕЛЬСТВАМ</v>
      </c>
    </row>
    <row r="116" spans="2:44" s="362" customFormat="1" ht="34.5" thickBot="1" x14ac:dyDescent="0.55000000000000004">
      <c r="B116" s="363" t="s">
        <v>271</v>
      </c>
      <c r="C116" s="364"/>
      <c r="D116" s="365">
        <f>D15+D42+D80+D97</f>
        <v>205589.63922338869</v>
      </c>
      <c r="E116" s="365">
        <f t="shared" ref="E116:AH116" si="37">E15+E42+E80+E97</f>
        <v>209296.88268821011</v>
      </c>
      <c r="F116" s="365">
        <f t="shared" si="37"/>
        <v>232536.92449054937</v>
      </c>
      <c r="G116" s="365">
        <f t="shared" si="37"/>
        <v>257304.35905369776</v>
      </c>
      <c r="H116" s="365">
        <f t="shared" si="37"/>
        <v>256508.62665771792</v>
      </c>
      <c r="I116" s="365">
        <f t="shared" si="37"/>
        <v>246374.56108773893</v>
      </c>
      <c r="J116" s="365">
        <f t="shared" si="37"/>
        <v>250330.34649475827</v>
      </c>
      <c r="K116" s="365">
        <f t="shared" si="37"/>
        <v>253426.2178175186</v>
      </c>
      <c r="L116" s="365">
        <f t="shared" si="37"/>
        <v>265138.06861439697</v>
      </c>
      <c r="M116" s="365">
        <f t="shared" si="37"/>
        <v>271454.49298046355</v>
      </c>
      <c r="N116" s="365">
        <f t="shared" si="37"/>
        <v>258732.41751322616</v>
      </c>
      <c r="O116" s="365">
        <f t="shared" si="37"/>
        <v>256350.09852727939</v>
      </c>
      <c r="P116" s="365">
        <f t="shared" si="37"/>
        <v>271437.805856105</v>
      </c>
      <c r="Q116" s="365">
        <f t="shared" si="37"/>
        <v>267213.18304759916</v>
      </c>
      <c r="R116" s="365">
        <f t="shared" si="37"/>
        <v>0</v>
      </c>
      <c r="S116" s="365">
        <f t="shared" si="37"/>
        <v>0</v>
      </c>
      <c r="T116" s="365">
        <f t="shared" si="37"/>
        <v>0</v>
      </c>
      <c r="U116" s="365">
        <f t="shared" si="37"/>
        <v>0</v>
      </c>
      <c r="V116" s="365">
        <f t="shared" si="37"/>
        <v>0</v>
      </c>
      <c r="W116" s="365">
        <f t="shared" si="37"/>
        <v>0</v>
      </c>
      <c r="X116" s="365">
        <f t="shared" si="37"/>
        <v>0</v>
      </c>
      <c r="Y116" s="365">
        <f t="shared" si="37"/>
        <v>0</v>
      </c>
      <c r="Z116" s="365">
        <f t="shared" si="37"/>
        <v>0</v>
      </c>
      <c r="AA116" s="365">
        <f t="shared" si="37"/>
        <v>0</v>
      </c>
      <c r="AB116" s="365">
        <f t="shared" si="37"/>
        <v>0</v>
      </c>
      <c r="AC116" s="365">
        <f t="shared" si="37"/>
        <v>0</v>
      </c>
      <c r="AD116" s="365">
        <f t="shared" si="37"/>
        <v>0</v>
      </c>
      <c r="AE116" s="365">
        <f t="shared" si="37"/>
        <v>0</v>
      </c>
      <c r="AF116" s="365">
        <f t="shared" si="37"/>
        <v>0</v>
      </c>
      <c r="AG116" s="365">
        <f t="shared" si="37"/>
        <v>0</v>
      </c>
      <c r="AH116" s="365">
        <f t="shared" si="37"/>
        <v>0</v>
      </c>
      <c r="AI116" s="366">
        <f t="shared" si="29"/>
        <v>3501693.6240526498</v>
      </c>
      <c r="AK116" s="367"/>
      <c r="AR116" s="368"/>
    </row>
    <row r="117" spans="2:44" ht="27" x14ac:dyDescent="0.3">
      <c r="D117" s="173">
        <v>300128.05777129519</v>
      </c>
      <c r="E117" s="173">
        <v>317643.99368150777</v>
      </c>
      <c r="F117" s="173">
        <v>334317.9787448789</v>
      </c>
      <c r="G117" s="173">
        <v>350085</v>
      </c>
      <c r="H117" s="173">
        <v>345810</v>
      </c>
      <c r="I117" s="173">
        <v>338606</v>
      </c>
      <c r="J117" s="173">
        <v>342535</v>
      </c>
      <c r="K117" s="173">
        <v>347743</v>
      </c>
      <c r="L117" s="173">
        <v>377976.24342043075</v>
      </c>
      <c r="M117" s="173">
        <v>390457.29850651498</v>
      </c>
    </row>
    <row r="118" spans="2:44" x14ac:dyDescent="0.3">
      <c r="D118" s="371">
        <f t="shared" ref="D118:J118" si="38">D5-D117</f>
        <v>0</v>
      </c>
      <c r="E118" s="371">
        <f t="shared" si="38"/>
        <v>0</v>
      </c>
      <c r="F118" s="371">
        <f t="shared" si="38"/>
        <v>0</v>
      </c>
      <c r="G118" s="371">
        <f t="shared" si="38"/>
        <v>-133.72245871415362</v>
      </c>
      <c r="H118" s="371">
        <f t="shared" si="38"/>
        <v>-127.51158864039462</v>
      </c>
      <c r="I118" s="371">
        <f t="shared" si="38"/>
        <v>-55.70910760818515</v>
      </c>
      <c r="J118" s="371">
        <f t="shared" si="38"/>
        <v>283.8433050973108</v>
      </c>
      <c r="K118" s="371">
        <f>K5-K117</f>
        <v>5230.8527351244702</v>
      </c>
      <c r="L118" s="371">
        <f t="shared" ref="L118:M118" si="39">L5-L117</f>
        <v>-3530.8081088151666</v>
      </c>
      <c r="M118" s="371">
        <f t="shared" si="39"/>
        <v>-2498.8690585750155</v>
      </c>
    </row>
  </sheetData>
  <mergeCells count="3">
    <mergeCell ref="B2:B3"/>
    <mergeCell ref="C2:C4"/>
    <mergeCell ref="D2:AI2"/>
  </mergeCells>
  <conditionalFormatting sqref="AL81:AL88">
    <cfRule type="cellIs" dxfId="7" priority="4" stopIfTrue="1" operator="lessThan">
      <formula>0</formula>
    </cfRule>
  </conditionalFormatting>
  <conditionalFormatting sqref="AL90">
    <cfRule type="cellIs" dxfId="6" priority="3" stopIfTrue="1" operator="lessThan">
      <formula>0</formula>
    </cfRule>
  </conditionalFormatting>
  <conditionalFormatting sqref="AL89">
    <cfRule type="cellIs" dxfId="5" priority="2" stopIfTrue="1" operator="lessThan">
      <formula>0</formula>
    </cfRule>
  </conditionalFormatting>
  <conditionalFormatting sqref="AL91">
    <cfRule type="cellIs" dxfId="4" priority="1" stopIfTrue="1" operator="lessThan">
      <formula>0</formula>
    </cfRule>
  </conditionalFormatting>
  <dataValidations count="1">
    <dataValidation type="list" allowBlank="1" showInputMessage="1" showErrorMessage="1" sqref="D4:AH4" xr:uid="{4C24C861-7740-4AAB-A62C-03360D3C5204}">
      <formula1>"Факт,Факт-оценка,Выделено"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7DD5-0EFE-4380-8CE3-0801E711F96C}">
  <sheetPr codeName="Лист5"/>
  <dimension ref="A1:AT116"/>
  <sheetViews>
    <sheetView zoomScale="55" zoomScaleNormal="55" workbookViewId="0">
      <selection activeCell="F4" sqref="F4"/>
    </sheetView>
  </sheetViews>
  <sheetFormatPr defaultColWidth="9.42578125" defaultRowHeight="16.5" outlineLevelRow="1" outlineLevelCol="1" x14ac:dyDescent="0.3"/>
  <cols>
    <col min="1" max="1" width="1.5703125" style="144" customWidth="1"/>
    <col min="2" max="2" width="26.140625" style="369" customWidth="1"/>
    <col min="3" max="3" width="26.140625" style="370" customWidth="1" outlineLevel="1"/>
    <col min="4" max="4" width="23.140625" style="371" customWidth="1"/>
    <col min="5" max="5" width="22.85546875" style="371" customWidth="1"/>
    <col min="6" max="6" width="23.5703125" style="371" customWidth="1"/>
    <col min="7" max="7" width="22.5703125" style="371" customWidth="1"/>
    <col min="8" max="8" width="25.85546875" style="371" customWidth="1" outlineLevel="1"/>
    <col min="9" max="9" width="23.42578125" style="371" customWidth="1" outlineLevel="1"/>
    <col min="10" max="12" width="22.5703125" style="371" customWidth="1" outlineLevel="1"/>
    <col min="13" max="13" width="20.5703125" style="371" customWidth="1" outlineLevel="1"/>
    <col min="14" max="18" width="22.5703125" style="371" customWidth="1" outlineLevel="1"/>
    <col min="19" max="19" width="23.5703125" style="371" customWidth="1" outlineLevel="1"/>
    <col min="20" max="20" width="22.5703125" style="371" customWidth="1" outlineLevel="1"/>
    <col min="21" max="21" width="24.42578125" style="371" customWidth="1" outlineLevel="1"/>
    <col min="22" max="24" width="22.5703125" style="371" customWidth="1" outlineLevel="1"/>
    <col min="25" max="25" width="21.5703125" style="371" customWidth="1" outlineLevel="1"/>
    <col min="26" max="27" width="22.5703125" style="371" customWidth="1" outlineLevel="1"/>
    <col min="28" max="29" width="24" style="372" customWidth="1" outlineLevel="1"/>
    <col min="30" max="32" width="22.5703125" style="372" customWidth="1" outlineLevel="1"/>
    <col min="33" max="33" width="22.5703125" style="372" customWidth="1" outlineLevel="1" collapsed="1"/>
    <col min="34" max="34" width="22.5703125" style="372" customWidth="1"/>
    <col min="35" max="35" width="26.140625" style="373" customWidth="1"/>
    <col min="36" max="36" width="30.42578125" style="144" customWidth="1"/>
    <col min="37" max="37" width="24.5703125" style="150" bestFit="1" customWidth="1"/>
    <col min="38" max="38" width="30.42578125" style="144" bestFit="1" customWidth="1"/>
    <col min="39" max="39" width="36" style="144" customWidth="1"/>
    <col min="40" max="40" width="22.5703125" style="144" customWidth="1"/>
    <col min="41" max="42" width="21.42578125" style="144" bestFit="1" customWidth="1"/>
    <col min="43" max="43" width="58.85546875" style="144" customWidth="1"/>
    <col min="44" max="44" width="25" style="151" customWidth="1"/>
    <col min="45" max="45" width="25" style="144" customWidth="1"/>
    <col min="46" max="46" width="22.5703125" style="144" bestFit="1" customWidth="1"/>
    <col min="47" max="16384" width="9.42578125" style="144"/>
  </cols>
  <sheetData>
    <row r="1" spans="2:46" ht="7.5" customHeight="1" thickBot="1" x14ac:dyDescent="0.35">
      <c r="B1" s="145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8"/>
      <c r="AC1" s="148"/>
      <c r="AD1" s="148"/>
      <c r="AE1" s="148"/>
      <c r="AF1" s="148"/>
      <c r="AG1" s="148"/>
      <c r="AH1" s="148"/>
      <c r="AI1" s="149"/>
    </row>
    <row r="2" spans="2:46" ht="65.25" customHeight="1" thickBot="1" x14ac:dyDescent="0.4">
      <c r="B2" s="374" t="s">
        <v>195</v>
      </c>
      <c r="C2" s="375" t="s">
        <v>196</v>
      </c>
      <c r="D2" s="376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8"/>
      <c r="AJ2" s="152">
        <v>1000</v>
      </c>
      <c r="AK2" s="150">
        <v>1242213.4099999999</v>
      </c>
      <c r="AL2" s="153">
        <v>1000</v>
      </c>
      <c r="AM2" s="154">
        <v>574370.25930000003</v>
      </c>
      <c r="AN2" s="155" t="s">
        <v>197</v>
      </c>
    </row>
    <row r="3" spans="2:46" s="156" customFormat="1" ht="30" customHeight="1" x14ac:dyDescent="0.35">
      <c r="B3" s="379"/>
      <c r="C3" s="380"/>
      <c r="D3" s="157">
        <v>44470</v>
      </c>
      <c r="E3" s="158">
        <f>D3+1</f>
        <v>44471</v>
      </c>
      <c r="F3" s="158">
        <f>E3+1</f>
        <v>44472</v>
      </c>
      <c r="G3" s="158">
        <f>F3+1</f>
        <v>44473</v>
      </c>
      <c r="H3" s="158">
        <f t="shared" ref="H3:AE3" si="0">G3+1</f>
        <v>44474</v>
      </c>
      <c r="I3" s="158">
        <f t="shared" si="0"/>
        <v>44475</v>
      </c>
      <c r="J3" s="158">
        <f t="shared" si="0"/>
        <v>44476</v>
      </c>
      <c r="K3" s="158">
        <f t="shared" si="0"/>
        <v>44477</v>
      </c>
      <c r="L3" s="158">
        <f t="shared" si="0"/>
        <v>44478</v>
      </c>
      <c r="M3" s="158">
        <f t="shared" si="0"/>
        <v>44479</v>
      </c>
      <c r="N3" s="158">
        <f t="shared" si="0"/>
        <v>44480</v>
      </c>
      <c r="O3" s="158">
        <f t="shared" si="0"/>
        <v>44481</v>
      </c>
      <c r="P3" s="158">
        <f t="shared" si="0"/>
        <v>44482</v>
      </c>
      <c r="Q3" s="158">
        <f t="shared" si="0"/>
        <v>44483</v>
      </c>
      <c r="R3" s="158">
        <f t="shared" si="0"/>
        <v>44484</v>
      </c>
      <c r="S3" s="158">
        <f t="shared" si="0"/>
        <v>44485</v>
      </c>
      <c r="T3" s="158">
        <f t="shared" si="0"/>
        <v>44486</v>
      </c>
      <c r="U3" s="158">
        <f t="shared" si="0"/>
        <v>44487</v>
      </c>
      <c r="V3" s="158">
        <f t="shared" si="0"/>
        <v>44488</v>
      </c>
      <c r="W3" s="158">
        <f t="shared" si="0"/>
        <v>44489</v>
      </c>
      <c r="X3" s="158">
        <f t="shared" si="0"/>
        <v>44490</v>
      </c>
      <c r="Y3" s="158">
        <f t="shared" si="0"/>
        <v>44491</v>
      </c>
      <c r="Z3" s="158">
        <f t="shared" si="0"/>
        <v>44492</v>
      </c>
      <c r="AA3" s="158">
        <f t="shared" si="0"/>
        <v>44493</v>
      </c>
      <c r="AB3" s="158">
        <f t="shared" si="0"/>
        <v>44494</v>
      </c>
      <c r="AC3" s="158">
        <f t="shared" si="0"/>
        <v>44495</v>
      </c>
      <c r="AD3" s="158">
        <f t="shared" si="0"/>
        <v>44496</v>
      </c>
      <c r="AE3" s="158">
        <f t="shared" si="0"/>
        <v>44497</v>
      </c>
      <c r="AF3" s="158">
        <f>AE3+1</f>
        <v>44498</v>
      </c>
      <c r="AG3" s="158">
        <f>AF3+1</f>
        <v>44499</v>
      </c>
      <c r="AH3" s="158">
        <f>AG3+1</f>
        <v>44500</v>
      </c>
      <c r="AI3" s="159" t="s">
        <v>198</v>
      </c>
      <c r="AJ3" s="160" t="s">
        <v>199</v>
      </c>
      <c r="AK3" s="161"/>
      <c r="AL3" s="160" t="s">
        <v>199</v>
      </c>
      <c r="AM3" s="154">
        <v>573108.68530000001</v>
      </c>
      <c r="AN3" s="162"/>
      <c r="AO3" s="163">
        <f>AO4/1000</f>
        <v>20.918616451007935</v>
      </c>
      <c r="AR3" s="151"/>
    </row>
    <row r="4" spans="2:46" s="156" customFormat="1" ht="52.5" customHeight="1" thickBot="1" x14ac:dyDescent="0.4">
      <c r="B4" s="381">
        <v>44500</v>
      </c>
      <c r="C4" s="382"/>
      <c r="D4" s="165" t="s">
        <v>32</v>
      </c>
      <c r="E4" s="165" t="s">
        <v>32</v>
      </c>
      <c r="F4" s="165" t="s">
        <v>32</v>
      </c>
      <c r="G4" s="165" t="s">
        <v>32</v>
      </c>
      <c r="H4" s="165" t="s">
        <v>32</v>
      </c>
      <c r="I4" s="165" t="s">
        <v>32</v>
      </c>
      <c r="J4" s="165" t="s">
        <v>32</v>
      </c>
      <c r="K4" s="165" t="s">
        <v>32</v>
      </c>
      <c r="L4" s="165" t="s">
        <v>32</v>
      </c>
      <c r="M4" s="165" t="s">
        <v>32</v>
      </c>
      <c r="N4" s="165" t="s">
        <v>32</v>
      </c>
      <c r="O4" s="165" t="s">
        <v>32</v>
      </c>
      <c r="P4" s="165" t="s">
        <v>32</v>
      </c>
      <c r="Q4" s="165" t="s">
        <v>32</v>
      </c>
      <c r="R4" s="165" t="s">
        <v>32</v>
      </c>
      <c r="S4" s="165" t="s">
        <v>32</v>
      </c>
      <c r="T4" s="165" t="s">
        <v>32</v>
      </c>
      <c r="U4" s="165" t="s">
        <v>32</v>
      </c>
      <c r="V4" s="165" t="s">
        <v>32</v>
      </c>
      <c r="W4" s="165" t="s">
        <v>32</v>
      </c>
      <c r="X4" s="165" t="s">
        <v>32</v>
      </c>
      <c r="Y4" s="165" t="s">
        <v>32</v>
      </c>
      <c r="Z4" s="165" t="s">
        <v>32</v>
      </c>
      <c r="AA4" s="165" t="s">
        <v>32</v>
      </c>
      <c r="AB4" s="165" t="s">
        <v>32</v>
      </c>
      <c r="AC4" s="165" t="s">
        <v>32</v>
      </c>
      <c r="AD4" s="165" t="s">
        <v>32</v>
      </c>
      <c r="AE4" s="165" t="s">
        <v>32</v>
      </c>
      <c r="AF4" s="165" t="s">
        <v>32</v>
      </c>
      <c r="AG4" s="165" t="s">
        <v>32</v>
      </c>
      <c r="AH4" s="165" t="s">
        <v>32</v>
      </c>
      <c r="AI4" s="166" t="s">
        <v>115</v>
      </c>
      <c r="AJ4" s="167">
        <f>B4</f>
        <v>44500</v>
      </c>
      <c r="AK4" s="168" t="s">
        <v>201</v>
      </c>
      <c r="AL4" s="169">
        <v>44227</v>
      </c>
      <c r="AM4" s="154">
        <v>569976.03110000002</v>
      </c>
      <c r="AO4" s="162">
        <f>AP5+AO5</f>
        <v>20918.616451007936</v>
      </c>
      <c r="AP4" s="162"/>
      <c r="AR4" s="151"/>
    </row>
    <row r="5" spans="2:46" s="170" customFormat="1" ht="42" customHeight="1" x14ac:dyDescent="0.25">
      <c r="B5" s="171" t="s">
        <v>202</v>
      </c>
      <c r="C5" s="172">
        <v>1000</v>
      </c>
      <c r="D5" s="173">
        <f>D15+D31+D37+D38+D42+D57+D58+D80+D25+D36+D9+D63</f>
        <v>383125.69018852117</v>
      </c>
      <c r="E5" s="173">
        <f>E15+E31+E37+E38+E42+E57+E58+E80+E25+E36+E9+E63</f>
        <v>380199.16874153679</v>
      </c>
      <c r="F5" s="173">
        <f>F15+F31+F37+F38+F42+F57+F58+F80+F25+F36+F9+F63</f>
        <v>378151.85371789435</v>
      </c>
      <c r="G5" s="173">
        <f>G15+G31+G37+G38+G42+G57+G58+G80+G25+G36+G9+G63+G97</f>
        <v>381332.56947875029</v>
      </c>
      <c r="H5" s="173">
        <f t="shared" ref="H5:AH5" si="1">H15+H31+H37+H38+H42+H57+H58+H80+H25+H36+H9+H63+H97</f>
        <v>385917.26363286813</v>
      </c>
      <c r="I5" s="173">
        <f t="shared" si="1"/>
        <v>402412.6036421418</v>
      </c>
      <c r="J5" s="173">
        <f t="shared" si="1"/>
        <v>396259.8753058624</v>
      </c>
      <c r="K5" s="173">
        <f t="shared" si="1"/>
        <v>408659.82122369</v>
      </c>
      <c r="L5" s="173">
        <f t="shared" si="1"/>
        <v>410049.87881249218</v>
      </c>
      <c r="M5" s="173">
        <f t="shared" si="1"/>
        <v>410634.03939322417</v>
      </c>
      <c r="N5" s="173">
        <f t="shared" si="1"/>
        <v>413136.7170954062</v>
      </c>
      <c r="O5" s="173">
        <f t="shared" si="1"/>
        <v>416248.89618025185</v>
      </c>
      <c r="P5" s="173">
        <f t="shared" si="1"/>
        <v>417343.34575637308</v>
      </c>
      <c r="Q5" s="173">
        <f t="shared" si="1"/>
        <v>402246.9171400636</v>
      </c>
      <c r="R5" s="173">
        <f t="shared" si="1"/>
        <v>401947.44191583537</v>
      </c>
      <c r="S5" s="173">
        <f t="shared" si="1"/>
        <v>402439.02716971765</v>
      </c>
      <c r="T5" s="173">
        <f t="shared" si="1"/>
        <v>406259.26477720711</v>
      </c>
      <c r="U5" s="173">
        <f t="shared" si="1"/>
        <v>405912.19871597737</v>
      </c>
      <c r="V5" s="173">
        <f t="shared" si="1"/>
        <v>402556.45916646026</v>
      </c>
      <c r="W5" s="173">
        <f t="shared" si="1"/>
        <v>388114.59871925728</v>
      </c>
      <c r="X5" s="173">
        <f t="shared" si="1"/>
        <v>374393.54536241695</v>
      </c>
      <c r="Y5" s="173">
        <f t="shared" si="1"/>
        <v>383885.24870627071</v>
      </c>
      <c r="Z5" s="173">
        <f>Z15+Z31+Z37+Z38+Z42+Z57+Z58+Z80+Z25+Z36+Z9+Z63+Z97</f>
        <v>371201.63747632829</v>
      </c>
      <c r="AA5" s="173">
        <f t="shared" si="1"/>
        <v>378773.20085444005</v>
      </c>
      <c r="AB5" s="173">
        <f t="shared" si="1"/>
        <v>378072.24459514848</v>
      </c>
      <c r="AC5" s="173">
        <f t="shared" si="1"/>
        <v>395163.01522850659</v>
      </c>
      <c r="AD5" s="173">
        <f t="shared" si="1"/>
        <v>397789.48295767599</v>
      </c>
      <c r="AE5" s="173">
        <f t="shared" si="1"/>
        <v>396486.02640348161</v>
      </c>
      <c r="AF5" s="173">
        <f t="shared" si="1"/>
        <v>372488.4976410683</v>
      </c>
      <c r="AG5" s="173">
        <f t="shared" si="1"/>
        <v>355198.52808860026</v>
      </c>
      <c r="AH5" s="173">
        <f t="shared" si="1"/>
        <v>341817.39292047091</v>
      </c>
      <c r="AI5" s="174">
        <f>SUM(D5:AH5)</f>
        <v>12138216.451007936</v>
      </c>
      <c r="AJ5" s="383">
        <f>SUM(D5:AH5)/DAY($B$4)*0.001</f>
        <v>391.55536938735281</v>
      </c>
      <c r="AK5" s="176">
        <f>IFERROR(AVERAGE(D5:AH5)/1000,0)</f>
        <v>391.55536938735275</v>
      </c>
      <c r="AL5" s="177">
        <v>507.56447700835253</v>
      </c>
      <c r="AM5" s="178"/>
      <c r="AN5" s="179">
        <v>0.48780000000000001</v>
      </c>
      <c r="AO5" s="179">
        <f>(AN5*18)*1000</f>
        <v>8780.4</v>
      </c>
      <c r="AP5" s="180">
        <f>AI6/1000</f>
        <v>12138.216451007936</v>
      </c>
      <c r="AQ5" s="181"/>
      <c r="AR5" s="170" t="s">
        <v>203</v>
      </c>
      <c r="AS5" s="170" t="s">
        <v>115</v>
      </c>
    </row>
    <row r="6" spans="2:46" s="170" customFormat="1" ht="42" customHeight="1" x14ac:dyDescent="0.35">
      <c r="B6" s="182" t="s">
        <v>204</v>
      </c>
      <c r="C6" s="172"/>
      <c r="D6" s="384">
        <f>D5-D68-D73</f>
        <v>383125.69018852117</v>
      </c>
      <c r="E6" s="384">
        <f t="shared" ref="E6:AH6" si="2">E5-E68-E73</f>
        <v>380199.16874153679</v>
      </c>
      <c r="F6" s="384">
        <f t="shared" si="2"/>
        <v>378151.85371789435</v>
      </c>
      <c r="G6" s="384">
        <f t="shared" si="2"/>
        <v>381332.56947875029</v>
      </c>
      <c r="H6" s="384">
        <f t="shared" si="2"/>
        <v>385917.26363286813</v>
      </c>
      <c r="I6" s="384">
        <f t="shared" si="2"/>
        <v>402412.6036421418</v>
      </c>
      <c r="J6" s="384">
        <f t="shared" si="2"/>
        <v>396259.8753058624</v>
      </c>
      <c r="K6" s="384">
        <f t="shared" si="2"/>
        <v>408659.82122369</v>
      </c>
      <c r="L6" s="384">
        <f t="shared" si="2"/>
        <v>410049.87881249218</v>
      </c>
      <c r="M6" s="384">
        <f t="shared" si="2"/>
        <v>410634.03939322417</v>
      </c>
      <c r="N6" s="384">
        <f t="shared" si="2"/>
        <v>413136.7170954062</v>
      </c>
      <c r="O6" s="384">
        <f t="shared" si="2"/>
        <v>416248.89618025185</v>
      </c>
      <c r="P6" s="384">
        <f t="shared" si="2"/>
        <v>417343.34575637308</v>
      </c>
      <c r="Q6" s="384">
        <f t="shared" si="2"/>
        <v>402246.9171400636</v>
      </c>
      <c r="R6" s="384">
        <f t="shared" si="2"/>
        <v>401947.44191583537</v>
      </c>
      <c r="S6" s="384">
        <f t="shared" si="2"/>
        <v>402439.02716971765</v>
      </c>
      <c r="T6" s="384">
        <f t="shared" si="2"/>
        <v>406259.26477720711</v>
      </c>
      <c r="U6" s="384">
        <f t="shared" si="2"/>
        <v>405912.19871597737</v>
      </c>
      <c r="V6" s="384">
        <f t="shared" si="2"/>
        <v>402556.45916646026</v>
      </c>
      <c r="W6" s="384">
        <f t="shared" si="2"/>
        <v>388114.59871925728</v>
      </c>
      <c r="X6" s="384">
        <f t="shared" si="2"/>
        <v>374393.54536241695</v>
      </c>
      <c r="Y6" s="384">
        <f t="shared" si="2"/>
        <v>383885.24870627071</v>
      </c>
      <c r="Z6" s="384">
        <f t="shared" si="2"/>
        <v>371201.63747632829</v>
      </c>
      <c r="AA6" s="384">
        <f t="shared" si="2"/>
        <v>378773.20085444005</v>
      </c>
      <c r="AB6" s="384">
        <f t="shared" si="2"/>
        <v>378072.24459514848</v>
      </c>
      <c r="AC6" s="384">
        <f t="shared" si="2"/>
        <v>395163.01522850659</v>
      </c>
      <c r="AD6" s="384">
        <f t="shared" si="2"/>
        <v>397789.48295767599</v>
      </c>
      <c r="AE6" s="384">
        <f t="shared" si="2"/>
        <v>396486.02640348161</v>
      </c>
      <c r="AF6" s="384">
        <f t="shared" si="2"/>
        <v>372488.4976410683</v>
      </c>
      <c r="AG6" s="384">
        <f t="shared" si="2"/>
        <v>355198.52808860026</v>
      </c>
      <c r="AH6" s="384">
        <f t="shared" si="2"/>
        <v>341817.39292047091</v>
      </c>
      <c r="AI6" s="174">
        <f>SUM(D6:AH6)</f>
        <v>12138216.451007936</v>
      </c>
      <c r="AJ6" s="175">
        <f>SUM(D6:AH6)/DAY($B$4)*0.001</f>
        <v>391.55536938735281</v>
      </c>
      <c r="AK6" s="176">
        <f>IFERROR(AVERAGE(D6:AH6)/1000,0)</f>
        <v>391.55536938735275</v>
      </c>
      <c r="AL6" s="177">
        <v>506.33167704049538</v>
      </c>
      <c r="AM6" s="184"/>
      <c r="AQ6" s="181"/>
      <c r="AR6" s="179">
        <f>'[2]ОПЕРАТИВКА пн-пн'!D12*18</f>
        <v>8722.3567398000014</v>
      </c>
      <c r="AS6" s="179">
        <f>AP5</f>
        <v>12138.216451007936</v>
      </c>
      <c r="AT6" s="163">
        <f>AR6+AS6</f>
        <v>20860.57319080794</v>
      </c>
    </row>
    <row r="7" spans="2:46" s="170" customFormat="1" ht="42" customHeight="1" x14ac:dyDescent="0.25">
      <c r="B7" s="185" t="s">
        <v>205</v>
      </c>
      <c r="C7" s="186"/>
      <c r="D7" s="187">
        <f>D5+D10-D8+D62</f>
        <v>383125.69018852117</v>
      </c>
      <c r="E7" s="188">
        <f t="shared" ref="E7:F7" si="3">E5+E10-E8+E62</f>
        <v>380199.16874153679</v>
      </c>
      <c r="F7" s="188">
        <f t="shared" si="3"/>
        <v>378151.85371789435</v>
      </c>
      <c r="G7" s="188">
        <f>G5+G10-G8+G62</f>
        <v>381332.56947875029</v>
      </c>
      <c r="H7" s="188">
        <f t="shared" ref="H7:AH7" si="4">H5+H10-H8+H62+H96</f>
        <v>385917.26363286813</v>
      </c>
      <c r="I7" s="188">
        <f t="shared" si="4"/>
        <v>402412.6036421418</v>
      </c>
      <c r="J7" s="188">
        <f t="shared" si="4"/>
        <v>396259.8753058624</v>
      </c>
      <c r="K7" s="188">
        <f t="shared" si="4"/>
        <v>408659.82122369</v>
      </c>
      <c r="L7" s="188">
        <f t="shared" si="4"/>
        <v>410049.87881249218</v>
      </c>
      <c r="M7" s="188">
        <f t="shared" si="4"/>
        <v>410634.03939322417</v>
      </c>
      <c r="N7" s="188">
        <f t="shared" si="4"/>
        <v>413136.7170954062</v>
      </c>
      <c r="O7" s="188">
        <f t="shared" si="4"/>
        <v>416248.89618025185</v>
      </c>
      <c r="P7" s="188">
        <f t="shared" si="4"/>
        <v>419837.97875637305</v>
      </c>
      <c r="Q7" s="188">
        <f t="shared" si="4"/>
        <v>425493.24114006362</v>
      </c>
      <c r="R7" s="188">
        <f t="shared" si="4"/>
        <v>434383.37791583536</v>
      </c>
      <c r="S7" s="188">
        <f t="shared" si="4"/>
        <v>438719.80416971765</v>
      </c>
      <c r="T7" s="188">
        <f t="shared" si="4"/>
        <v>425218.20077720709</v>
      </c>
      <c r="U7" s="188">
        <f t="shared" si="4"/>
        <v>405912.19871597737</v>
      </c>
      <c r="V7" s="188">
        <f t="shared" si="4"/>
        <v>402556.45916646026</v>
      </c>
      <c r="W7" s="188">
        <f t="shared" si="4"/>
        <v>388114.59871925728</v>
      </c>
      <c r="X7" s="188">
        <f t="shared" si="4"/>
        <v>374393.54536241695</v>
      </c>
      <c r="Y7" s="188">
        <f t="shared" si="4"/>
        <v>383885.24870627071</v>
      </c>
      <c r="Z7" s="188">
        <f t="shared" si="4"/>
        <v>371201.63747632829</v>
      </c>
      <c r="AA7" s="188">
        <f t="shared" si="4"/>
        <v>378773.20085444005</v>
      </c>
      <c r="AB7" s="188">
        <f t="shared" si="4"/>
        <v>378072.24459514848</v>
      </c>
      <c r="AC7" s="188">
        <f>AC5+AC10-AC8+AC62+AC96</f>
        <v>395163.01522850659</v>
      </c>
      <c r="AD7" s="188">
        <f>AD5+AD10-AD8+AD62+AD96</f>
        <v>402789.48295767599</v>
      </c>
      <c r="AE7" s="188">
        <f t="shared" si="4"/>
        <v>402986.02640348161</v>
      </c>
      <c r="AF7" s="188">
        <f t="shared" si="4"/>
        <v>378988.4976410683</v>
      </c>
      <c r="AG7" s="188">
        <f t="shared" si="4"/>
        <v>363639.71608860028</v>
      </c>
      <c r="AH7" s="189">
        <f t="shared" si="4"/>
        <v>349087.59592047089</v>
      </c>
      <c r="AI7" s="190">
        <f>SUM(D7:AH7)</f>
        <v>12285344.448007938</v>
      </c>
      <c r="AJ7" s="175">
        <f t="shared" ref="AJ7:AJ23" si="5">SUM(D7:AH7)/DAY($B$4)*0.001</f>
        <v>396.30143380670768</v>
      </c>
      <c r="AK7" s="176">
        <f t="shared" ref="AK7:AK23" si="6">IFERROR(AVERAGE(D7:AH7)/1000,0)</f>
        <v>396.30143380670768</v>
      </c>
      <c r="AL7" s="177">
        <v>486.99585893662282</v>
      </c>
      <c r="AM7" s="184"/>
      <c r="AN7" s="191" t="s">
        <v>206</v>
      </c>
      <c r="AQ7" s="181"/>
      <c r="AR7" s="151"/>
      <c r="AT7" s="179">
        <f>AT6/1000</f>
        <v>20.860573190807941</v>
      </c>
    </row>
    <row r="8" spans="2:46" s="192" customFormat="1" ht="30" customHeight="1" x14ac:dyDescent="0.45">
      <c r="B8" s="193" t="s">
        <v>207</v>
      </c>
      <c r="C8" s="194"/>
      <c r="D8" s="195">
        <f t="shared" ref="D8:AH8" si="7">D14+D30+D41+D79+D61</f>
        <v>0</v>
      </c>
      <c r="E8" s="385">
        <f t="shared" si="7"/>
        <v>0</v>
      </c>
      <c r="F8" s="385">
        <f t="shared" si="7"/>
        <v>0</v>
      </c>
      <c r="G8" s="385">
        <f t="shared" si="7"/>
        <v>0</v>
      </c>
      <c r="H8" s="385">
        <f t="shared" si="7"/>
        <v>0</v>
      </c>
      <c r="I8" s="386">
        <f t="shared" si="7"/>
        <v>0</v>
      </c>
      <c r="J8" s="386">
        <f t="shared" si="7"/>
        <v>0</v>
      </c>
      <c r="K8" s="385">
        <f t="shared" si="7"/>
        <v>0</v>
      </c>
      <c r="L8" s="385">
        <f t="shared" si="7"/>
        <v>0</v>
      </c>
      <c r="M8" s="385">
        <f t="shared" si="7"/>
        <v>0</v>
      </c>
      <c r="N8" s="385">
        <f t="shared" si="7"/>
        <v>0</v>
      </c>
      <c r="O8" s="385">
        <f t="shared" si="7"/>
        <v>0</v>
      </c>
      <c r="P8" s="385">
        <f t="shared" si="7"/>
        <v>0</v>
      </c>
      <c r="Q8" s="385">
        <f t="shared" si="7"/>
        <v>0</v>
      </c>
      <c r="R8" s="385">
        <f t="shared" si="7"/>
        <v>0</v>
      </c>
      <c r="S8" s="385">
        <f t="shared" si="7"/>
        <v>0</v>
      </c>
      <c r="T8" s="385">
        <f t="shared" si="7"/>
        <v>0</v>
      </c>
      <c r="U8" s="385">
        <f t="shared" si="7"/>
        <v>0</v>
      </c>
      <c r="V8" s="385">
        <f t="shared" si="7"/>
        <v>0</v>
      </c>
      <c r="W8" s="385">
        <f t="shared" si="7"/>
        <v>0</v>
      </c>
      <c r="X8" s="385">
        <f t="shared" si="7"/>
        <v>0</v>
      </c>
      <c r="Y8" s="385">
        <f t="shared" si="7"/>
        <v>0</v>
      </c>
      <c r="Z8" s="385">
        <f t="shared" si="7"/>
        <v>0</v>
      </c>
      <c r="AA8" s="385">
        <f t="shared" si="7"/>
        <v>0</v>
      </c>
      <c r="AB8" s="385">
        <f t="shared" si="7"/>
        <v>0</v>
      </c>
      <c r="AC8" s="385">
        <f t="shared" si="7"/>
        <v>0</v>
      </c>
      <c r="AD8" s="385">
        <f t="shared" si="7"/>
        <v>0</v>
      </c>
      <c r="AE8" s="385">
        <f t="shared" si="7"/>
        <v>0</v>
      </c>
      <c r="AF8" s="385">
        <f t="shared" si="7"/>
        <v>0</v>
      </c>
      <c r="AG8" s="385">
        <f t="shared" si="7"/>
        <v>0</v>
      </c>
      <c r="AH8" s="196">
        <f t="shared" si="7"/>
        <v>0</v>
      </c>
      <c r="AI8" s="197">
        <f>SUM(D8:AH8)</f>
        <v>0</v>
      </c>
      <c r="AJ8" s="198">
        <f t="shared" si="5"/>
        <v>0</v>
      </c>
      <c r="AK8" s="176">
        <f t="shared" si="6"/>
        <v>0</v>
      </c>
      <c r="AL8" s="199">
        <v>23.773868439124975</v>
      </c>
      <c r="AP8" s="170"/>
      <c r="AQ8" s="200"/>
      <c r="AR8" s="151"/>
    </row>
    <row r="9" spans="2:46" s="192" customFormat="1" ht="30" customHeight="1" x14ac:dyDescent="0.45">
      <c r="B9" s="193" t="s">
        <v>208</v>
      </c>
      <c r="C9" s="194"/>
      <c r="D9" s="201"/>
      <c r="E9" s="201"/>
      <c r="F9" s="201"/>
      <c r="G9" s="201"/>
      <c r="H9" s="201"/>
      <c r="I9" s="201"/>
      <c r="J9" s="201"/>
      <c r="K9" s="201"/>
      <c r="L9" s="387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196"/>
      <c r="AI9" s="202">
        <f>SUM(D9:AH9)</f>
        <v>0</v>
      </c>
      <c r="AJ9" s="198">
        <f t="shared" si="5"/>
        <v>0</v>
      </c>
      <c r="AK9" s="176">
        <f t="shared" si="6"/>
        <v>0</v>
      </c>
      <c r="AL9" s="199">
        <v>0</v>
      </c>
      <c r="AP9" s="170"/>
      <c r="AQ9" s="200"/>
      <c r="AR9" s="151"/>
    </row>
    <row r="10" spans="2:46" s="192" customFormat="1" ht="30" customHeight="1" thickBot="1" x14ac:dyDescent="0.5">
      <c r="B10" s="193" t="s">
        <v>209</v>
      </c>
      <c r="C10" s="203"/>
      <c r="D10" s="204">
        <f t="shared" ref="D10:AH10" si="8">D13+D29+D40+D78</f>
        <v>0</v>
      </c>
      <c r="E10" s="385">
        <f t="shared" si="8"/>
        <v>0</v>
      </c>
      <c r="F10" s="385">
        <f t="shared" si="8"/>
        <v>0</v>
      </c>
      <c r="G10" s="385">
        <f t="shared" si="8"/>
        <v>0</v>
      </c>
      <c r="H10" s="385">
        <f t="shared" si="8"/>
        <v>0</v>
      </c>
      <c r="I10" s="385">
        <f t="shared" si="8"/>
        <v>0</v>
      </c>
      <c r="J10" s="385">
        <f t="shared" si="8"/>
        <v>0</v>
      </c>
      <c r="K10" s="385">
        <f t="shared" si="8"/>
        <v>0</v>
      </c>
      <c r="L10" s="385">
        <f t="shared" si="8"/>
        <v>0</v>
      </c>
      <c r="M10" s="385">
        <f t="shared" si="8"/>
        <v>0</v>
      </c>
      <c r="N10" s="385">
        <f t="shared" si="8"/>
        <v>0</v>
      </c>
      <c r="O10" s="385">
        <f t="shared" si="8"/>
        <v>0</v>
      </c>
      <c r="P10" s="385">
        <f t="shared" si="8"/>
        <v>0</v>
      </c>
      <c r="Q10" s="385">
        <f t="shared" si="8"/>
        <v>0</v>
      </c>
      <c r="R10" s="385">
        <f t="shared" si="8"/>
        <v>0</v>
      </c>
      <c r="S10" s="385">
        <f t="shared" si="8"/>
        <v>0</v>
      </c>
      <c r="T10" s="385">
        <f t="shared" si="8"/>
        <v>0</v>
      </c>
      <c r="U10" s="385">
        <f t="shared" si="8"/>
        <v>0</v>
      </c>
      <c r="V10" s="385">
        <f t="shared" si="8"/>
        <v>0</v>
      </c>
      <c r="W10" s="385">
        <f t="shared" si="8"/>
        <v>0</v>
      </c>
      <c r="X10" s="385">
        <f t="shared" si="8"/>
        <v>0</v>
      </c>
      <c r="Y10" s="385">
        <f t="shared" si="8"/>
        <v>0</v>
      </c>
      <c r="Z10" s="385">
        <f t="shared" si="8"/>
        <v>0</v>
      </c>
      <c r="AA10" s="385">
        <f t="shared" si="8"/>
        <v>0</v>
      </c>
      <c r="AB10" s="385">
        <f t="shared" si="8"/>
        <v>0</v>
      </c>
      <c r="AC10" s="385">
        <f t="shared" si="8"/>
        <v>0</v>
      </c>
      <c r="AD10" s="385">
        <f t="shared" si="8"/>
        <v>0</v>
      </c>
      <c r="AE10" s="385">
        <f t="shared" si="8"/>
        <v>0</v>
      </c>
      <c r="AF10" s="385">
        <f t="shared" si="8"/>
        <v>0</v>
      </c>
      <c r="AG10" s="385">
        <f t="shared" si="8"/>
        <v>0</v>
      </c>
      <c r="AH10" s="205">
        <f t="shared" si="8"/>
        <v>0</v>
      </c>
      <c r="AI10" s="206">
        <f>AI13+AI29+AI40+AI78</f>
        <v>0</v>
      </c>
      <c r="AJ10" s="198">
        <f t="shared" si="5"/>
        <v>0</v>
      </c>
      <c r="AK10" s="176">
        <f t="shared" si="6"/>
        <v>0</v>
      </c>
      <c r="AL10" s="199">
        <v>3.2052503673952657</v>
      </c>
      <c r="AP10" s="170"/>
      <c r="AQ10" s="200"/>
      <c r="AR10" s="151"/>
    </row>
    <row r="11" spans="2:46" s="170" customFormat="1" ht="42" customHeight="1" x14ac:dyDescent="0.25">
      <c r="B11" s="185" t="s">
        <v>210</v>
      </c>
      <c r="C11" s="186"/>
      <c r="D11" s="187">
        <f t="shared" ref="D11:AH11" si="9">D12+D25+D28+D36+D37</f>
        <v>80353.071600509735</v>
      </c>
      <c r="E11" s="188">
        <f t="shared" si="9"/>
        <v>79769.622541419027</v>
      </c>
      <c r="F11" s="188">
        <f t="shared" si="9"/>
        <v>79640.825724181312</v>
      </c>
      <c r="G11" s="188">
        <f t="shared" si="9"/>
        <v>79826.915928471892</v>
      </c>
      <c r="H11" s="188">
        <f t="shared" si="9"/>
        <v>80096.7031742033</v>
      </c>
      <c r="I11" s="188">
        <f t="shared" si="9"/>
        <v>81636.567674237274</v>
      </c>
      <c r="J11" s="188">
        <f t="shared" si="9"/>
        <v>79009.830953749712</v>
      </c>
      <c r="K11" s="188">
        <f t="shared" si="9"/>
        <v>80292.318990072279</v>
      </c>
      <c r="L11" s="188">
        <f t="shared" si="9"/>
        <v>80961.540193524139</v>
      </c>
      <c r="M11" s="188">
        <f>M12+M25+M28+M36+M37</f>
        <v>79798.872253829148</v>
      </c>
      <c r="N11" s="188">
        <f>N12+N25+N28+N36+N37</f>
        <v>80367.790873193037</v>
      </c>
      <c r="O11" s="188">
        <f t="shared" si="9"/>
        <v>80292.200574460614</v>
      </c>
      <c r="P11" s="188">
        <f t="shared" si="9"/>
        <v>80104.618515302864</v>
      </c>
      <c r="Q11" s="188">
        <f t="shared" si="9"/>
        <v>80223.709355569154</v>
      </c>
      <c r="R11" s="188">
        <f>R12+R25+R28+R36+R37</f>
        <v>80347.612258561436</v>
      </c>
      <c r="S11" s="188">
        <f t="shared" si="9"/>
        <v>80104.383230005624</v>
      </c>
      <c r="T11" s="188">
        <f t="shared" si="9"/>
        <v>80251.265965114493</v>
      </c>
      <c r="U11" s="188">
        <f t="shared" si="9"/>
        <v>80612.719701971175</v>
      </c>
      <c r="V11" s="188">
        <f t="shared" si="9"/>
        <v>80130.528220005261</v>
      </c>
      <c r="W11" s="188">
        <f t="shared" si="9"/>
        <v>80253.680523061455</v>
      </c>
      <c r="X11" s="188">
        <f t="shared" si="9"/>
        <v>79931.162449640673</v>
      </c>
      <c r="Y11" s="188">
        <f>Y12+Y25+Y28+Y36+Y37</f>
        <v>80666.628522872023</v>
      </c>
      <c r="Z11" s="188">
        <f t="shared" si="9"/>
        <v>80302.796929979886</v>
      </c>
      <c r="AA11" s="188">
        <f t="shared" si="9"/>
        <v>80257.504355558369</v>
      </c>
      <c r="AB11" s="188">
        <f t="shared" si="9"/>
        <v>80288.922053725168</v>
      </c>
      <c r="AC11" s="188">
        <f t="shared" si="9"/>
        <v>80989.011860689992</v>
      </c>
      <c r="AD11" s="188">
        <f t="shared" si="9"/>
        <v>80097.312493117075</v>
      </c>
      <c r="AE11" s="188">
        <f t="shared" si="9"/>
        <v>79061.192843317636</v>
      </c>
      <c r="AF11" s="188">
        <f t="shared" si="9"/>
        <v>78046.274689462953</v>
      </c>
      <c r="AG11" s="188">
        <f t="shared" si="9"/>
        <v>71001.85429368481</v>
      </c>
      <c r="AH11" s="189">
        <f t="shared" si="9"/>
        <v>65523.358308955314</v>
      </c>
      <c r="AI11" s="190">
        <f>AI12+AI25+AI28+AI36+AI37</f>
        <v>2460240.7970524468</v>
      </c>
      <c r="AJ11" s="198">
        <f>SUM(D11:AH11)/DAY($B$4)*0.001</f>
        <v>79.362606356530549</v>
      </c>
      <c r="AK11" s="176">
        <f t="shared" si="6"/>
        <v>79.362606356530549</v>
      </c>
      <c r="AL11" s="177">
        <v>89.915607451963155</v>
      </c>
      <c r="AQ11" s="181"/>
      <c r="AR11" s="151"/>
    </row>
    <row r="12" spans="2:46" s="160" customFormat="1" ht="42" customHeight="1" x14ac:dyDescent="0.25">
      <c r="B12" s="207" t="s">
        <v>211</v>
      </c>
      <c r="C12" s="208"/>
      <c r="D12" s="209">
        <f t="shared" ref="D12:AH12" si="10">D15+D13-D14</f>
        <v>69732.815006278237</v>
      </c>
      <c r="E12" s="210">
        <f t="shared" si="10"/>
        <v>69131.962146147125</v>
      </c>
      <c r="F12" s="210">
        <f t="shared" si="10"/>
        <v>69002.143021222015</v>
      </c>
      <c r="G12" s="210">
        <f t="shared" si="10"/>
        <v>69197.023199258285</v>
      </c>
      <c r="H12" s="210">
        <f t="shared" si="10"/>
        <v>69462.5349374855</v>
      </c>
      <c r="I12" s="210">
        <f t="shared" si="10"/>
        <v>70495.716452872875</v>
      </c>
      <c r="J12" s="210">
        <f t="shared" si="10"/>
        <v>67894.501316223017</v>
      </c>
      <c r="K12" s="210">
        <f t="shared" si="10"/>
        <v>69174.388917931981</v>
      </c>
      <c r="L12" s="210">
        <f t="shared" si="10"/>
        <v>69839.528779587141</v>
      </c>
      <c r="M12" s="210">
        <f t="shared" si="10"/>
        <v>68684.990597865748</v>
      </c>
      <c r="N12" s="210">
        <f>N15+N13-N14</f>
        <v>69259.60599525983</v>
      </c>
      <c r="O12" s="210">
        <f t="shared" si="10"/>
        <v>69179.456348748106</v>
      </c>
      <c r="P12" s="210">
        <f t="shared" si="10"/>
        <v>68984.872496590659</v>
      </c>
      <c r="Q12" s="210">
        <f t="shared" si="10"/>
        <v>69083.729533310354</v>
      </c>
      <c r="R12" s="210">
        <f t="shared" si="10"/>
        <v>69217.150311700738</v>
      </c>
      <c r="S12" s="210">
        <f t="shared" si="10"/>
        <v>68982.157039247424</v>
      </c>
      <c r="T12" s="210">
        <f t="shared" si="10"/>
        <v>69113.215096363492</v>
      </c>
      <c r="U12" s="210">
        <f t="shared" si="10"/>
        <v>69466.126568435473</v>
      </c>
      <c r="V12" s="210">
        <f t="shared" si="10"/>
        <v>68982.746708995357</v>
      </c>
      <c r="W12" s="210">
        <f t="shared" si="10"/>
        <v>69106.491153029463</v>
      </c>
      <c r="X12" s="210">
        <f t="shared" si="10"/>
        <v>68779.388667793173</v>
      </c>
      <c r="Y12" s="210">
        <f t="shared" si="10"/>
        <v>69502.765324504915</v>
      </c>
      <c r="Z12" s="210">
        <f t="shared" si="10"/>
        <v>69152.559952213385</v>
      </c>
      <c r="AA12" s="210">
        <f t="shared" si="10"/>
        <v>69125.994687311962</v>
      </c>
      <c r="AB12" s="210">
        <f t="shared" si="10"/>
        <v>69191.793496470462</v>
      </c>
      <c r="AC12" s="210">
        <f t="shared" si="10"/>
        <v>69889.76896056869</v>
      </c>
      <c r="AD12" s="210">
        <f t="shared" si="10"/>
        <v>69003.715183071472</v>
      </c>
      <c r="AE12" s="210">
        <f t="shared" si="10"/>
        <v>67965.66988238554</v>
      </c>
      <c r="AF12" s="210">
        <f t="shared" si="10"/>
        <v>66982.020615645655</v>
      </c>
      <c r="AG12" s="210">
        <f t="shared" si="10"/>
        <v>59862.898265096206</v>
      </c>
      <c r="AH12" s="211">
        <f t="shared" si="10"/>
        <v>54597.062722213217</v>
      </c>
      <c r="AI12" s="212">
        <f>AI15+AI13-AI14</f>
        <v>2118044.7933838274</v>
      </c>
      <c r="AJ12" s="198">
        <f>SUM(D12:AH12)/DAY($B$4)*0.001</f>
        <v>68.32402559302669</v>
      </c>
      <c r="AK12" s="176">
        <f t="shared" si="6"/>
        <v>68.32402559302669</v>
      </c>
      <c r="AL12" s="177">
        <v>54.905273454505831</v>
      </c>
      <c r="AP12" s="170"/>
      <c r="AQ12" s="181"/>
      <c r="AR12" s="151"/>
    </row>
    <row r="13" spans="2:46" s="192" customFormat="1" ht="30" customHeight="1" x14ac:dyDescent="0.45">
      <c r="B13" s="213" t="s">
        <v>212</v>
      </c>
      <c r="C13" s="214"/>
      <c r="D13" s="215">
        <v>0</v>
      </c>
      <c r="E13" s="216">
        <v>0</v>
      </c>
      <c r="F13" s="216">
        <v>0</v>
      </c>
      <c r="G13" s="216">
        <v>0</v>
      </c>
      <c r="H13" s="216">
        <v>0</v>
      </c>
      <c r="I13" s="216">
        <v>0</v>
      </c>
      <c r="J13" s="216">
        <v>0</v>
      </c>
      <c r="K13" s="216">
        <v>0</v>
      </c>
      <c r="L13" s="216">
        <v>0</v>
      </c>
      <c r="M13" s="216">
        <v>0</v>
      </c>
      <c r="N13" s="216">
        <v>0</v>
      </c>
      <c r="O13" s="216">
        <v>0</v>
      </c>
      <c r="P13" s="216">
        <v>0</v>
      </c>
      <c r="Q13" s="216">
        <v>0</v>
      </c>
      <c r="R13" s="216">
        <v>0</v>
      </c>
      <c r="S13" s="216">
        <v>0</v>
      </c>
      <c r="T13" s="216">
        <v>0</v>
      </c>
      <c r="U13" s="216">
        <v>0</v>
      </c>
      <c r="V13" s="216">
        <v>0</v>
      </c>
      <c r="W13" s="216">
        <v>0</v>
      </c>
      <c r="X13" s="216">
        <v>0</v>
      </c>
      <c r="Y13" s="216">
        <v>0</v>
      </c>
      <c r="Z13" s="216">
        <v>0</v>
      </c>
      <c r="AA13" s="216">
        <v>0</v>
      </c>
      <c r="AB13" s="216">
        <v>0</v>
      </c>
      <c r="AC13" s="216">
        <v>0</v>
      </c>
      <c r="AD13" s="216">
        <v>0</v>
      </c>
      <c r="AE13" s="216">
        <v>0</v>
      </c>
      <c r="AF13" s="216">
        <v>0</v>
      </c>
      <c r="AG13" s="216">
        <v>0</v>
      </c>
      <c r="AH13" s="216">
        <v>0</v>
      </c>
      <c r="AI13" s="217">
        <f t="shared" ref="AI13:AI23" si="11">SUM(D13:AH13)</f>
        <v>0</v>
      </c>
      <c r="AJ13" s="198">
        <f t="shared" si="5"/>
        <v>0</v>
      </c>
      <c r="AK13" s="176">
        <f t="shared" si="6"/>
        <v>0</v>
      </c>
      <c r="AL13" s="199">
        <v>2.4310112222943174</v>
      </c>
      <c r="AP13" s="170"/>
      <c r="AQ13" s="200" t="str">
        <f>'[2]ОПЕРАТИВКА пн-пн'!B16</f>
        <v>ГИС ВЕЛКЕ КАПУШАНЫ - ПОДАЧА РЕСУРСА ЗАКАЧКА в ПХГ</v>
      </c>
      <c r="AR13" s="151"/>
    </row>
    <row r="14" spans="2:46" s="192" customFormat="1" ht="30" customHeight="1" x14ac:dyDescent="0.45">
      <c r="B14" s="213" t="s">
        <v>213</v>
      </c>
      <c r="C14" s="214"/>
      <c r="D14" s="215">
        <v>0</v>
      </c>
      <c r="E14" s="216">
        <v>0</v>
      </c>
      <c r="F14" s="216">
        <v>0</v>
      </c>
      <c r="G14" s="216">
        <v>0</v>
      </c>
      <c r="H14" s="216">
        <v>0</v>
      </c>
      <c r="I14" s="216">
        <v>0</v>
      </c>
      <c r="J14" s="216">
        <v>0</v>
      </c>
      <c r="K14" s="216">
        <v>0</v>
      </c>
      <c r="L14" s="216">
        <v>0</v>
      </c>
      <c r="M14" s="216">
        <v>0</v>
      </c>
      <c r="N14" s="216">
        <v>0</v>
      </c>
      <c r="O14" s="216">
        <v>0</v>
      </c>
      <c r="P14" s="216">
        <v>0</v>
      </c>
      <c r="Q14" s="216">
        <v>0</v>
      </c>
      <c r="R14" s="216">
        <v>0</v>
      </c>
      <c r="S14" s="216">
        <v>0</v>
      </c>
      <c r="T14" s="216">
        <v>0</v>
      </c>
      <c r="U14" s="216">
        <v>0</v>
      </c>
      <c r="V14" s="216">
        <v>0</v>
      </c>
      <c r="W14" s="216">
        <v>0</v>
      </c>
      <c r="X14" s="216">
        <v>0</v>
      </c>
      <c r="Y14" s="216">
        <v>0</v>
      </c>
      <c r="Z14" s="216">
        <v>0</v>
      </c>
      <c r="AA14" s="216">
        <v>0</v>
      </c>
      <c r="AB14" s="216">
        <v>0</v>
      </c>
      <c r="AC14" s="216">
        <v>0</v>
      </c>
      <c r="AD14" s="216">
        <v>0</v>
      </c>
      <c r="AE14" s="216">
        <v>0</v>
      </c>
      <c r="AF14" s="216">
        <v>0</v>
      </c>
      <c r="AG14" s="216">
        <v>0</v>
      </c>
      <c r="AH14" s="216">
        <v>0</v>
      </c>
      <c r="AI14" s="217">
        <f t="shared" si="11"/>
        <v>0</v>
      </c>
      <c r="AJ14" s="198">
        <f>SUM(D14:AH14)/DAY($B$4)*0.001</f>
        <v>0</v>
      </c>
      <c r="AK14" s="176">
        <f t="shared" si="6"/>
        <v>0</v>
      </c>
      <c r="AL14" s="199">
        <v>9.513525328410676</v>
      </c>
      <c r="AP14" s="170"/>
      <c r="AQ14" s="200" t="str">
        <f>'[2]ОПЕРАТИВКА пн-пн'!B18</f>
        <v>ГИС ВЕЛКЕ КАПУШАНЫ - ПОДАЧА РЕСУРСА ОТБОР из ПХГ</v>
      </c>
      <c r="AR14" s="151"/>
    </row>
    <row r="15" spans="2:46" s="156" customFormat="1" ht="30" customHeight="1" x14ac:dyDescent="0.45">
      <c r="B15" s="213" t="s">
        <v>214</v>
      </c>
      <c r="C15" s="214"/>
      <c r="D15" s="218">
        <f t="shared" ref="D15:AH15" si="12">SUM(D16:D24)</f>
        <v>69732.815006278237</v>
      </c>
      <c r="E15" s="219">
        <f t="shared" si="12"/>
        <v>69131.962146147125</v>
      </c>
      <c r="F15" s="219">
        <f t="shared" si="12"/>
        <v>69002.143021222015</v>
      </c>
      <c r="G15" s="219">
        <f t="shared" si="12"/>
        <v>69197.023199258285</v>
      </c>
      <c r="H15" s="219">
        <f t="shared" si="12"/>
        <v>69462.5349374855</v>
      </c>
      <c r="I15" s="219">
        <f t="shared" si="12"/>
        <v>70495.716452872875</v>
      </c>
      <c r="J15" s="219">
        <f t="shared" si="12"/>
        <v>67894.501316223017</v>
      </c>
      <c r="K15" s="219">
        <f t="shared" si="12"/>
        <v>69174.388917931981</v>
      </c>
      <c r="L15" s="219">
        <f t="shared" si="12"/>
        <v>69839.528779587141</v>
      </c>
      <c r="M15" s="219">
        <f t="shared" si="12"/>
        <v>68684.990597865748</v>
      </c>
      <c r="N15" s="219">
        <f t="shared" si="12"/>
        <v>69259.60599525983</v>
      </c>
      <c r="O15" s="219">
        <f t="shared" si="12"/>
        <v>69179.456348748106</v>
      </c>
      <c r="P15" s="219">
        <f t="shared" si="12"/>
        <v>68984.872496590659</v>
      </c>
      <c r="Q15" s="219">
        <f t="shared" si="12"/>
        <v>69083.729533310354</v>
      </c>
      <c r="R15" s="219">
        <f t="shared" si="12"/>
        <v>69217.150311700738</v>
      </c>
      <c r="S15" s="219">
        <f t="shared" si="12"/>
        <v>68982.157039247424</v>
      </c>
      <c r="T15" s="219">
        <f t="shared" si="12"/>
        <v>69113.215096363492</v>
      </c>
      <c r="U15" s="219">
        <f t="shared" si="12"/>
        <v>69466.126568435473</v>
      </c>
      <c r="V15" s="219">
        <f t="shared" si="12"/>
        <v>68982.746708995357</v>
      </c>
      <c r="W15" s="219">
        <f t="shared" si="12"/>
        <v>69106.491153029463</v>
      </c>
      <c r="X15" s="219">
        <f t="shared" si="12"/>
        <v>68779.388667793173</v>
      </c>
      <c r="Y15" s="219">
        <f t="shared" si="12"/>
        <v>69502.765324504915</v>
      </c>
      <c r="Z15" s="219">
        <f t="shared" si="12"/>
        <v>69152.559952213385</v>
      </c>
      <c r="AA15" s="219">
        <f t="shared" si="12"/>
        <v>69125.994687311962</v>
      </c>
      <c r="AB15" s="219">
        <f t="shared" si="12"/>
        <v>69191.793496470462</v>
      </c>
      <c r="AC15" s="219">
        <f t="shared" si="12"/>
        <v>69889.76896056869</v>
      </c>
      <c r="AD15" s="219">
        <f t="shared" si="12"/>
        <v>69003.715183071472</v>
      </c>
      <c r="AE15" s="219">
        <f t="shared" si="12"/>
        <v>67965.66988238554</v>
      </c>
      <c r="AF15" s="219">
        <f t="shared" si="12"/>
        <v>66982.020615645655</v>
      </c>
      <c r="AG15" s="219">
        <f t="shared" si="12"/>
        <v>59862.898265096206</v>
      </c>
      <c r="AH15" s="219">
        <f t="shared" si="12"/>
        <v>54597.062722213217</v>
      </c>
      <c r="AI15" s="220">
        <f t="shared" si="11"/>
        <v>2118044.7933838274</v>
      </c>
      <c r="AJ15" s="198">
        <f t="shared" si="5"/>
        <v>68.32402559302669</v>
      </c>
      <c r="AK15" s="176">
        <f t="shared" si="6"/>
        <v>68.32402559302669</v>
      </c>
      <c r="AL15" s="199">
        <v>61.987787560622174</v>
      </c>
      <c r="AP15" s="160"/>
      <c r="AQ15" s="221"/>
      <c r="AR15" s="151"/>
    </row>
    <row r="16" spans="2:46" s="192" customFormat="1" ht="30" customHeight="1" x14ac:dyDescent="0.45">
      <c r="B16" s="213" t="s">
        <v>215</v>
      </c>
      <c r="C16" s="214"/>
      <c r="D16" s="215">
        <v>9904.9666314506703</v>
      </c>
      <c r="E16" s="216">
        <v>9908.29283612984</v>
      </c>
      <c r="F16" s="216">
        <v>9908.5364182249104</v>
      </c>
      <c r="G16" s="216">
        <v>9910.9374832455796</v>
      </c>
      <c r="H16" s="216">
        <v>9911.4913988804583</v>
      </c>
      <c r="I16" s="216">
        <v>9922.8905320862796</v>
      </c>
      <c r="J16" s="216">
        <v>9905.3413493597</v>
      </c>
      <c r="K16" s="216">
        <v>9905.1737668103106</v>
      </c>
      <c r="L16" s="216">
        <v>9909.5307706180793</v>
      </c>
      <c r="M16" s="216">
        <v>9905.14903279604</v>
      </c>
      <c r="N16" s="216">
        <v>9904.9855838908898</v>
      </c>
      <c r="O16" s="216">
        <v>9899.9759745235715</v>
      </c>
      <c r="P16" s="216">
        <v>9892.1382069398496</v>
      </c>
      <c r="Q16" s="216">
        <v>9900.8095070490508</v>
      </c>
      <c r="R16" s="216">
        <v>9897.426978423211</v>
      </c>
      <c r="S16" s="216">
        <v>9891.9105380198089</v>
      </c>
      <c r="T16" s="216">
        <v>9889.6182853169485</v>
      </c>
      <c r="U16" s="216">
        <v>9890.3641044414799</v>
      </c>
      <c r="V16" s="216">
        <v>9847.61266020318</v>
      </c>
      <c r="W16" s="216">
        <v>9855.3139109349104</v>
      </c>
      <c r="X16" s="216">
        <v>9896.7401791286702</v>
      </c>
      <c r="Y16" s="216">
        <v>9905.3607232227896</v>
      </c>
      <c r="Z16" s="216">
        <v>9906.8524825408695</v>
      </c>
      <c r="AA16" s="216">
        <v>9901.9692550094496</v>
      </c>
      <c r="AB16" s="216">
        <v>9888.7584118574905</v>
      </c>
      <c r="AC16" s="216">
        <v>9891.4124123248002</v>
      </c>
      <c r="AD16" s="216">
        <v>9893.7223060903307</v>
      </c>
      <c r="AE16" s="216">
        <v>9892.2525063763605</v>
      </c>
      <c r="AF16" s="216">
        <v>9888.7436136845608</v>
      </c>
      <c r="AG16" s="216">
        <v>10206.248578786899</v>
      </c>
      <c r="AH16" s="216">
        <v>9786.1969647288897</v>
      </c>
      <c r="AI16" s="217">
        <f t="shared" si="11"/>
        <v>307020.72340309591</v>
      </c>
      <c r="AJ16" s="198">
        <f t="shared" si="5"/>
        <v>9.903894303325675</v>
      </c>
      <c r="AK16" s="176">
        <f t="shared" si="6"/>
        <v>9.903894303325675</v>
      </c>
      <c r="AL16" s="222">
        <v>15.288865509086403</v>
      </c>
      <c r="AP16" s="170"/>
      <c r="AQ16" s="200" t="str">
        <f>'[2]ОПЕРАТИВКА пн-пн'!B21</f>
        <v>ГИС ВЕЛКЕ КАПУШАНЫ - ПОДАЧА РЕСУРСА СЛОВАКИЯ</v>
      </c>
      <c r="AR16" s="151"/>
    </row>
    <row r="17" spans="2:44" s="192" customFormat="1" ht="30" customHeight="1" x14ac:dyDescent="0.35">
      <c r="B17" s="213" t="s">
        <v>216</v>
      </c>
      <c r="C17" s="214"/>
      <c r="D17" s="215">
        <v>0</v>
      </c>
      <c r="E17" s="216">
        <v>0</v>
      </c>
      <c r="F17" s="216">
        <v>0</v>
      </c>
      <c r="G17" s="216">
        <v>0</v>
      </c>
      <c r="H17" s="216">
        <v>0</v>
      </c>
      <c r="I17" s="216">
        <v>0</v>
      </c>
      <c r="J17" s="216">
        <v>0</v>
      </c>
      <c r="K17" s="216">
        <v>0</v>
      </c>
      <c r="L17" s="216">
        <v>0</v>
      </c>
      <c r="M17" s="216">
        <v>0</v>
      </c>
      <c r="N17" s="216">
        <v>0</v>
      </c>
      <c r="O17" s="216">
        <v>0</v>
      </c>
      <c r="P17" s="216">
        <v>0</v>
      </c>
      <c r="Q17" s="216">
        <v>0</v>
      </c>
      <c r="R17" s="216">
        <v>0</v>
      </c>
      <c r="S17" s="216">
        <v>0</v>
      </c>
      <c r="T17" s="216">
        <v>0</v>
      </c>
      <c r="U17" s="216">
        <v>0</v>
      </c>
      <c r="V17" s="216">
        <v>0</v>
      </c>
      <c r="W17" s="216">
        <v>0</v>
      </c>
      <c r="X17" s="216">
        <v>0</v>
      </c>
      <c r="Y17" s="216">
        <v>0</v>
      </c>
      <c r="Z17" s="216">
        <v>0</v>
      </c>
      <c r="AA17" s="216">
        <v>0</v>
      </c>
      <c r="AB17" s="216">
        <v>0</v>
      </c>
      <c r="AC17" s="216">
        <v>0</v>
      </c>
      <c r="AD17" s="216">
        <v>0</v>
      </c>
      <c r="AE17" s="216">
        <v>0</v>
      </c>
      <c r="AF17" s="216">
        <v>0</v>
      </c>
      <c r="AG17" s="216">
        <v>0</v>
      </c>
      <c r="AH17" s="216">
        <v>0</v>
      </c>
      <c r="AI17" s="217">
        <f t="shared" si="11"/>
        <v>0</v>
      </c>
      <c r="AJ17" s="198">
        <f t="shared" si="5"/>
        <v>0</v>
      </c>
      <c r="AK17" s="176">
        <f t="shared" si="6"/>
        <v>0</v>
      </c>
      <c r="AL17" s="223">
        <v>0</v>
      </c>
      <c r="AP17" s="170"/>
      <c r="AQ17" s="200" t="str">
        <f>'[2]ОПЕРАТИВКА пн-пн'!B22</f>
        <v>ГИС ВЕЛКЕ КАПУШАНЫ - ПОДАЧА РЕСУРСА ЧEXИЯ</v>
      </c>
      <c r="AR17" s="151"/>
    </row>
    <row r="18" spans="2:44" s="192" customFormat="1" ht="30" customHeight="1" x14ac:dyDescent="0.35">
      <c r="B18" s="213" t="s">
        <v>217</v>
      </c>
      <c r="C18" s="214"/>
      <c r="D18" s="215">
        <v>21224.948883749501</v>
      </c>
      <c r="E18" s="216">
        <v>21236.141450552899</v>
      </c>
      <c r="F18" s="216">
        <v>21238.648866498701</v>
      </c>
      <c r="G18" s="216">
        <v>21245.505492169203</v>
      </c>
      <c r="H18" s="216">
        <v>21241.324096233799</v>
      </c>
      <c r="I18" s="216">
        <v>21255.547562214899</v>
      </c>
      <c r="J18" s="216">
        <v>21248.182449619202</v>
      </c>
      <c r="K18" s="216">
        <v>21228.455732055601</v>
      </c>
      <c r="L18" s="216">
        <v>21234.971525711899</v>
      </c>
      <c r="M18" s="216">
        <v>21245.003637738002</v>
      </c>
      <c r="N18" s="216">
        <v>21233.467526028799</v>
      </c>
      <c r="O18" s="216">
        <v>21226.117704440898</v>
      </c>
      <c r="P18" s="216">
        <v>21207.4320073569</v>
      </c>
      <c r="Q18" s="216">
        <v>21223.4463034193</v>
      </c>
      <c r="R18" s="216">
        <v>21217.438108943403</v>
      </c>
      <c r="S18" s="216">
        <v>21210.599584931799</v>
      </c>
      <c r="T18" s="216">
        <v>21196.769229560603</v>
      </c>
      <c r="U18" s="216">
        <v>21205.931906064299</v>
      </c>
      <c r="V18" s="216">
        <v>21212.433878157502</v>
      </c>
      <c r="W18" s="216">
        <v>21217.938661885397</v>
      </c>
      <c r="X18" s="216">
        <v>21218.772969274698</v>
      </c>
      <c r="Y18" s="216">
        <v>21228.9568049851</v>
      </c>
      <c r="Z18" s="216">
        <v>21239.484803400599</v>
      </c>
      <c r="AA18" s="216">
        <v>21232.1308162639</v>
      </c>
      <c r="AB18" s="216">
        <v>21211.433315251998</v>
      </c>
      <c r="AC18" s="216">
        <v>21207.4320073569</v>
      </c>
      <c r="AD18" s="216">
        <v>21224.281044003601</v>
      </c>
      <c r="AE18" s="216">
        <v>21228.9568049851</v>
      </c>
      <c r="AF18" s="216">
        <v>21178.079440797203</v>
      </c>
      <c r="AG18" s="216">
        <v>21391.599920697801</v>
      </c>
      <c r="AH18" s="216">
        <v>20821.184975689801</v>
      </c>
      <c r="AI18" s="217">
        <f t="shared" si="11"/>
        <v>657732.61751003913</v>
      </c>
      <c r="AJ18" s="198">
        <f>SUM(D18:AH18)/DAY($B$4)*0.001</f>
        <v>21.217181210001261</v>
      </c>
      <c r="AK18" s="176">
        <f t="shared" si="6"/>
        <v>21.217181210001261</v>
      </c>
      <c r="AL18" s="223">
        <v>28.382377616235225</v>
      </c>
      <c r="AP18" s="170"/>
      <c r="AQ18" s="200" t="str">
        <f>'[2]ОПЕРАТИВКА пн-пн'!B23</f>
        <v>ГИС ВЕЛКЕ КАПУШАНЫ - ПОДАЧА РЕСУРСА ABCTPИЯ</v>
      </c>
      <c r="AR18" s="151"/>
    </row>
    <row r="19" spans="2:44" s="192" customFormat="1" ht="30" customHeight="1" x14ac:dyDescent="0.35">
      <c r="B19" s="213" t="s">
        <v>218</v>
      </c>
      <c r="C19" s="214"/>
      <c r="D19" s="215">
        <v>35740.7648802318</v>
      </c>
      <c r="E19" s="224">
        <v>35145.272584189894</v>
      </c>
      <c r="F19" s="224">
        <v>35031.758901485802</v>
      </c>
      <c r="G19" s="224">
        <v>35178.284142771998</v>
      </c>
      <c r="H19" s="216">
        <v>35438.399093460801</v>
      </c>
      <c r="I19" s="216">
        <v>36352.394469459599</v>
      </c>
      <c r="J19" s="216">
        <v>33660.2549008309</v>
      </c>
      <c r="K19" s="216">
        <v>35022.996348751905</v>
      </c>
      <c r="L19" s="216">
        <v>35841.9093278527</v>
      </c>
      <c r="M19" s="216">
        <v>34747.444626438803</v>
      </c>
      <c r="N19" s="216">
        <v>35284.584950878299</v>
      </c>
      <c r="O19" s="216">
        <v>35291.475842894601</v>
      </c>
      <c r="P19" s="216">
        <v>35130.761029257999</v>
      </c>
      <c r="Q19" s="216">
        <v>35238.214643624502</v>
      </c>
      <c r="R19" s="216">
        <v>35407.602830316799</v>
      </c>
      <c r="S19" s="216">
        <v>35224.075254136202</v>
      </c>
      <c r="T19" s="216">
        <v>35355.397048298204</v>
      </c>
      <c r="U19" s="216">
        <v>35772.565067030897</v>
      </c>
      <c r="V19" s="216">
        <v>35481.242306062399</v>
      </c>
      <c r="W19" s="216">
        <v>35476.889990985801</v>
      </c>
      <c r="X19" s="216">
        <v>35040.595436973301</v>
      </c>
      <c r="Y19" s="216">
        <v>35703.250137797295</v>
      </c>
      <c r="Z19" s="216">
        <v>35276.484373675405</v>
      </c>
      <c r="AA19" s="216">
        <v>35271.290582327303</v>
      </c>
      <c r="AB19" s="216">
        <v>35349.949638514998</v>
      </c>
      <c r="AC19" s="216">
        <v>36025.1747236312</v>
      </c>
      <c r="AD19" s="216">
        <v>35031.2769888072</v>
      </c>
      <c r="AE19" s="216">
        <v>33903.6107386113</v>
      </c>
      <c r="AF19" s="216">
        <v>32898.766162684704</v>
      </c>
      <c r="AG19" s="216">
        <v>25155.319015262201</v>
      </c>
      <c r="AH19" s="216">
        <v>21074.040034413199</v>
      </c>
      <c r="AI19" s="217">
        <f t="shared" si="11"/>
        <v>1066552.0460716579</v>
      </c>
      <c r="AJ19" s="198">
        <f>SUM(D19:AH19)/DAY($B$4)*0.001</f>
        <v>34.404904711988969</v>
      </c>
      <c r="AK19" s="176">
        <f t="shared" si="6"/>
        <v>34.404904711988962</v>
      </c>
      <c r="AL19" s="223">
        <v>9.373766869300276</v>
      </c>
      <c r="AP19" s="170"/>
      <c r="AQ19" s="200" t="str">
        <f>'[2]ОПЕРАТИВКА пн-пн'!B24</f>
        <v>ГИС ВЕЛКЕ КАПУШАНЫ - ПОДАЧА РЕСУРСА ИTAЛИЯ</v>
      </c>
      <c r="AR19" s="151"/>
    </row>
    <row r="20" spans="2:44" s="192" customFormat="1" ht="30" customHeight="1" x14ac:dyDescent="0.35">
      <c r="B20" s="213" t="s">
        <v>219</v>
      </c>
      <c r="C20" s="214"/>
      <c r="D20" s="215">
        <v>0</v>
      </c>
      <c r="E20" s="224">
        <v>0</v>
      </c>
      <c r="F20" s="224">
        <v>0</v>
      </c>
      <c r="G20" s="224">
        <v>0</v>
      </c>
      <c r="H20" s="216">
        <v>0</v>
      </c>
      <c r="I20" s="216">
        <v>0</v>
      </c>
      <c r="J20" s="216">
        <v>0</v>
      </c>
      <c r="K20" s="216">
        <v>0</v>
      </c>
      <c r="L20" s="216">
        <v>0</v>
      </c>
      <c r="M20" s="216">
        <v>0</v>
      </c>
      <c r="N20" s="216">
        <v>0</v>
      </c>
      <c r="O20" s="216">
        <v>0</v>
      </c>
      <c r="P20" s="216">
        <v>0</v>
      </c>
      <c r="Q20" s="216">
        <v>0</v>
      </c>
      <c r="R20" s="216">
        <v>0</v>
      </c>
      <c r="S20" s="216">
        <v>0</v>
      </c>
      <c r="T20" s="216">
        <v>0</v>
      </c>
      <c r="U20" s="216">
        <v>0</v>
      </c>
      <c r="V20" s="216">
        <v>0</v>
      </c>
      <c r="W20" s="216">
        <v>0</v>
      </c>
      <c r="X20" s="216">
        <v>0</v>
      </c>
      <c r="Y20" s="216">
        <v>0</v>
      </c>
      <c r="Z20" s="216">
        <v>0</v>
      </c>
      <c r="AA20" s="216">
        <v>0</v>
      </c>
      <c r="AB20" s="216">
        <v>0</v>
      </c>
      <c r="AC20" s="216">
        <v>0</v>
      </c>
      <c r="AD20" s="216">
        <v>0</v>
      </c>
      <c r="AE20" s="216">
        <v>0</v>
      </c>
      <c r="AF20" s="216">
        <v>0</v>
      </c>
      <c r="AG20" s="216">
        <v>0</v>
      </c>
      <c r="AH20" s="216">
        <v>0</v>
      </c>
      <c r="AI20" s="217">
        <f t="shared" si="11"/>
        <v>0</v>
      </c>
      <c r="AJ20" s="198">
        <f t="shared" si="5"/>
        <v>0</v>
      </c>
      <c r="AK20" s="176">
        <f t="shared" si="6"/>
        <v>0</v>
      </c>
      <c r="AL20" s="223">
        <v>5.86713759428382</v>
      </c>
      <c r="AP20" s="170"/>
      <c r="AQ20" s="200" t="str">
        <f>'[2]ОПЕРАТИВКА пн-пн'!B25</f>
        <v>ГИС ВЕЛКЕ КАПУШАНЫ - ПОДАЧА РЕСУРСА ФPAHЦИЯ</v>
      </c>
      <c r="AR20" s="151"/>
    </row>
    <row r="21" spans="2:44" s="192" customFormat="1" ht="30" customHeight="1" x14ac:dyDescent="0.35">
      <c r="B21" s="213" t="s">
        <v>220</v>
      </c>
      <c r="C21" s="214"/>
      <c r="D21" s="215">
        <v>934.15990937839297</v>
      </c>
      <c r="E21" s="216">
        <v>913.26389358939093</v>
      </c>
      <c r="F21" s="216">
        <v>893.97969143577507</v>
      </c>
      <c r="G21" s="216">
        <v>932.45411381192002</v>
      </c>
      <c r="H21" s="216">
        <v>941.8582000251921</v>
      </c>
      <c r="I21" s="216">
        <v>1034.12974735897</v>
      </c>
      <c r="J21" s="216">
        <v>1150.6374869077001</v>
      </c>
      <c r="K21" s="216">
        <v>1089.4698232114599</v>
      </c>
      <c r="L21" s="216">
        <v>924.2320441988951</v>
      </c>
      <c r="M21" s="216">
        <v>857.59691973354802</v>
      </c>
      <c r="N21" s="216">
        <v>907.81943952593406</v>
      </c>
      <c r="O21" s="216">
        <v>833.80595523738305</v>
      </c>
      <c r="P21" s="216">
        <v>828.15770237449601</v>
      </c>
      <c r="Q21" s="216">
        <v>793.42086509191302</v>
      </c>
      <c r="R21" s="216">
        <v>767.38993606831991</v>
      </c>
      <c r="S21" s="216">
        <v>728.90038362367204</v>
      </c>
      <c r="T21" s="216">
        <v>746.01553919758601</v>
      </c>
      <c r="U21" s="216">
        <v>671.01820239554797</v>
      </c>
      <c r="V21" s="216">
        <v>514.61996745205602</v>
      </c>
      <c r="W21" s="216">
        <v>629.01066339529996</v>
      </c>
      <c r="X21" s="216">
        <v>695.86637202242798</v>
      </c>
      <c r="Y21" s="216">
        <v>736.85889628475593</v>
      </c>
      <c r="Z21" s="216">
        <v>800.44321643641501</v>
      </c>
      <c r="AA21" s="216">
        <v>791.97695921434695</v>
      </c>
      <c r="AB21" s="216">
        <v>814.90512016226</v>
      </c>
      <c r="AC21" s="216">
        <v>839.36626659435501</v>
      </c>
      <c r="AD21" s="216">
        <v>926.52080612935197</v>
      </c>
      <c r="AE21" s="216">
        <v>1012.5110701978</v>
      </c>
      <c r="AF21" s="216">
        <v>1087.1818825863099</v>
      </c>
      <c r="AG21" s="216">
        <v>1101.21521090593</v>
      </c>
      <c r="AH21" s="216">
        <v>988.30282155326995</v>
      </c>
      <c r="AI21" s="217">
        <f t="shared" si="11"/>
        <v>26887.089106100681</v>
      </c>
      <c r="AJ21" s="198">
        <f t="shared" si="5"/>
        <v>0.86732545503550584</v>
      </c>
      <c r="AK21" s="176">
        <f t="shared" si="6"/>
        <v>0.86732545503550584</v>
      </c>
      <c r="AL21" s="223">
        <v>1.0853807044401058</v>
      </c>
      <c r="AP21" s="170"/>
      <c r="AQ21" s="200" t="str">
        <f>'[2]ОПЕРАТИВКА пн-пн'!B26</f>
        <v>ГИС ВЕЛКЕ КАПУШАНЫ - ПОДАЧА РЕСУРСА ГЕРМАНИЯ</v>
      </c>
      <c r="AR21" s="151"/>
    </row>
    <row r="22" spans="2:44" s="192" customFormat="1" ht="30" customHeight="1" x14ac:dyDescent="0.35">
      <c r="B22" s="213" t="s">
        <v>221</v>
      </c>
      <c r="C22" s="214"/>
      <c r="D22" s="215">
        <v>0</v>
      </c>
      <c r="E22" s="224">
        <v>0</v>
      </c>
      <c r="F22" s="216">
        <v>0</v>
      </c>
      <c r="G22" s="224">
        <v>0</v>
      </c>
      <c r="H22" s="216">
        <v>0</v>
      </c>
      <c r="I22" s="216">
        <v>0</v>
      </c>
      <c r="J22" s="216">
        <v>0</v>
      </c>
      <c r="K22" s="216">
        <v>0</v>
      </c>
      <c r="L22" s="216">
        <v>0</v>
      </c>
      <c r="M22" s="216">
        <v>0</v>
      </c>
      <c r="N22" s="216">
        <v>0</v>
      </c>
      <c r="O22" s="216">
        <v>0</v>
      </c>
      <c r="P22" s="216">
        <v>0</v>
      </c>
      <c r="Q22" s="216">
        <v>0</v>
      </c>
      <c r="R22" s="216">
        <v>0</v>
      </c>
      <c r="S22" s="216">
        <v>0</v>
      </c>
      <c r="T22" s="216">
        <v>0</v>
      </c>
      <c r="U22" s="216">
        <v>0</v>
      </c>
      <c r="V22" s="216">
        <v>0</v>
      </c>
      <c r="W22" s="216">
        <v>0</v>
      </c>
      <c r="X22" s="216">
        <v>0</v>
      </c>
      <c r="Y22" s="216">
        <v>0</v>
      </c>
      <c r="Z22" s="216">
        <v>0</v>
      </c>
      <c r="AA22" s="216">
        <v>0</v>
      </c>
      <c r="AB22" s="216">
        <v>0</v>
      </c>
      <c r="AC22" s="216">
        <v>0</v>
      </c>
      <c r="AD22" s="216">
        <v>0</v>
      </c>
      <c r="AE22" s="216">
        <v>0</v>
      </c>
      <c r="AF22" s="216">
        <v>0</v>
      </c>
      <c r="AG22" s="216">
        <v>0</v>
      </c>
      <c r="AH22" s="216">
        <v>0</v>
      </c>
      <c r="AI22" s="217">
        <f t="shared" si="11"/>
        <v>0</v>
      </c>
      <c r="AJ22" s="198">
        <f t="shared" si="5"/>
        <v>0</v>
      </c>
      <c r="AK22" s="176">
        <f t="shared" si="6"/>
        <v>0</v>
      </c>
      <c r="AL22" s="223">
        <v>1.4821557494192286</v>
      </c>
      <c r="AP22" s="170"/>
      <c r="AQ22" s="200" t="str">
        <f>'[2]ОПЕРАТИВКА пн-пн'!B27</f>
        <v>ГИС ВЕЛКЕ КАПУШАНЫ - ПОДАЧА РЕСУРСА ВЕНГРИЯ</v>
      </c>
      <c r="AR22" s="151"/>
    </row>
    <row r="23" spans="2:44" s="192" customFormat="1" ht="30" customHeight="1" x14ac:dyDescent="0.35">
      <c r="B23" s="213" t="s">
        <v>222</v>
      </c>
      <c r="C23" s="214"/>
      <c r="D23" s="215">
        <v>1927.9747014678801</v>
      </c>
      <c r="E23" s="224">
        <v>1928.9913816851001</v>
      </c>
      <c r="F23" s="216">
        <v>1929.21914357683</v>
      </c>
      <c r="G23" s="224">
        <v>1929.8419672595799</v>
      </c>
      <c r="H23" s="216">
        <v>1929.4621488852499</v>
      </c>
      <c r="I23" s="216">
        <v>1930.7541417531299</v>
      </c>
      <c r="J23" s="216">
        <v>1930.0851295055199</v>
      </c>
      <c r="K23" s="216">
        <v>1928.2932471027</v>
      </c>
      <c r="L23" s="216">
        <v>1928.8851112055502</v>
      </c>
      <c r="M23" s="216">
        <v>1929.7963811593499</v>
      </c>
      <c r="N23" s="216">
        <v>1928.7484949359</v>
      </c>
      <c r="O23" s="216">
        <v>1928.0808716516499</v>
      </c>
      <c r="P23" s="216">
        <v>1926.38355066142</v>
      </c>
      <c r="Q23" s="216">
        <v>1927.8382141255902</v>
      </c>
      <c r="R23" s="216">
        <v>1927.292457949</v>
      </c>
      <c r="S23" s="216">
        <v>1926.6712785359398</v>
      </c>
      <c r="T23" s="216">
        <v>1925.4149939901499</v>
      </c>
      <c r="U23" s="216">
        <v>1926.24728850325</v>
      </c>
      <c r="V23" s="216">
        <v>1926.8378971202201</v>
      </c>
      <c r="W23" s="216">
        <v>1927.3379258280602</v>
      </c>
      <c r="X23" s="216">
        <v>1927.41371039407</v>
      </c>
      <c r="Y23" s="216">
        <v>1928.3387622149799</v>
      </c>
      <c r="Z23" s="216">
        <v>1929.2950761601101</v>
      </c>
      <c r="AA23" s="216">
        <v>1928.62707449697</v>
      </c>
      <c r="AB23" s="216">
        <v>1926.74701068371</v>
      </c>
      <c r="AC23" s="216">
        <v>1926.38355066142</v>
      </c>
      <c r="AD23" s="216">
        <v>1927.9140380410001</v>
      </c>
      <c r="AE23" s="216">
        <v>1928.3387622149799</v>
      </c>
      <c r="AF23" s="216">
        <v>1929.24951589288</v>
      </c>
      <c r="AG23" s="216">
        <v>2008.51553944337</v>
      </c>
      <c r="AH23" s="216">
        <v>1927.3379258280602</v>
      </c>
      <c r="AI23" s="217">
        <f t="shared" si="11"/>
        <v>59852.317292933622</v>
      </c>
      <c r="AJ23" s="198">
        <f t="shared" si="5"/>
        <v>1.9307199126752781</v>
      </c>
      <c r="AK23" s="176">
        <f t="shared" si="6"/>
        <v>1.9307199126752781</v>
      </c>
      <c r="AL23" s="223">
        <v>0.50810351785714281</v>
      </c>
      <c r="AP23" s="170"/>
      <c r="AQ23" s="200" t="str">
        <f>'[2]ОПЕРАТИВКА пн-пн'!B28</f>
        <v>ГИС ВЕЛКЕ КАПУШАНЫ - ПОДАЧА РЕСУРСА CЛOBEHИЯ</v>
      </c>
      <c r="AR23" s="151"/>
    </row>
    <row r="24" spans="2:44" s="192" customFormat="1" ht="30" customHeight="1" x14ac:dyDescent="0.35">
      <c r="B24" s="213" t="s">
        <v>223</v>
      </c>
      <c r="C24" s="214"/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24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224">
        <v>0</v>
      </c>
      <c r="V24" s="224">
        <v>0</v>
      </c>
      <c r="W24" s="224">
        <v>0</v>
      </c>
      <c r="X24" s="216">
        <v>0</v>
      </c>
      <c r="Y24" s="224">
        <v>0</v>
      </c>
      <c r="Z24" s="224">
        <v>0</v>
      </c>
      <c r="AA24" s="224">
        <v>0</v>
      </c>
      <c r="AB24" s="224">
        <v>0</v>
      </c>
      <c r="AC24" s="224">
        <v>0</v>
      </c>
      <c r="AD24" s="224">
        <v>0</v>
      </c>
      <c r="AE24" s="224">
        <v>0</v>
      </c>
      <c r="AF24" s="224">
        <v>0</v>
      </c>
      <c r="AG24" s="224">
        <v>0</v>
      </c>
      <c r="AH24" s="224">
        <v>0</v>
      </c>
      <c r="AI24" s="217"/>
      <c r="AJ24" s="225"/>
      <c r="AK24" s="176"/>
      <c r="AL24" s="223"/>
      <c r="AP24" s="170"/>
      <c r="AQ24" s="200" t="str">
        <f>'[2]ОПЕРАТИВКА пн-пн'!B29</f>
        <v>ГИС ВЕЛКЕ КАПУШАНЫ - ПОДАЧА РЕСУРСА НИДЕРЛАНДЫ</v>
      </c>
      <c r="AR24" s="151"/>
    </row>
    <row r="25" spans="2:44" s="170" customFormat="1" ht="42" customHeight="1" x14ac:dyDescent="0.35">
      <c r="B25" s="226" t="s">
        <v>224</v>
      </c>
      <c r="C25" s="227"/>
      <c r="D25" s="228">
        <f>D26+D27</f>
        <v>0</v>
      </c>
      <c r="E25" s="228">
        <f t="shared" ref="E25:AH25" si="13">E26+E27</f>
        <v>0</v>
      </c>
      <c r="F25" s="228">
        <f t="shared" si="13"/>
        <v>0</v>
      </c>
      <c r="G25" s="228">
        <f t="shared" si="13"/>
        <v>0</v>
      </c>
      <c r="H25" s="228">
        <f t="shared" si="13"/>
        <v>0</v>
      </c>
      <c r="I25" s="228">
        <f t="shared" si="13"/>
        <v>0</v>
      </c>
      <c r="J25" s="228">
        <f t="shared" si="13"/>
        <v>0</v>
      </c>
      <c r="K25" s="228">
        <f t="shared" si="13"/>
        <v>0</v>
      </c>
      <c r="L25" s="228">
        <f t="shared" si="13"/>
        <v>0</v>
      </c>
      <c r="M25" s="228">
        <f t="shared" si="13"/>
        <v>0</v>
      </c>
      <c r="N25" s="228">
        <f t="shared" si="13"/>
        <v>0</v>
      </c>
      <c r="O25" s="228">
        <f t="shared" si="13"/>
        <v>0</v>
      </c>
      <c r="P25" s="228">
        <f t="shared" si="13"/>
        <v>0</v>
      </c>
      <c r="Q25" s="228">
        <f t="shared" si="13"/>
        <v>0</v>
      </c>
      <c r="R25" s="228">
        <f t="shared" si="13"/>
        <v>0</v>
      </c>
      <c r="S25" s="228">
        <f t="shared" si="13"/>
        <v>0</v>
      </c>
      <c r="T25" s="228">
        <f t="shared" si="13"/>
        <v>0</v>
      </c>
      <c r="U25" s="228">
        <f t="shared" si="13"/>
        <v>0</v>
      </c>
      <c r="V25" s="228">
        <f t="shared" si="13"/>
        <v>0</v>
      </c>
      <c r="W25" s="228">
        <f t="shared" si="13"/>
        <v>0</v>
      </c>
      <c r="X25" s="228">
        <f t="shared" si="13"/>
        <v>0</v>
      </c>
      <c r="Y25" s="228">
        <f t="shared" si="13"/>
        <v>0</v>
      </c>
      <c r="Z25" s="228">
        <f t="shared" si="13"/>
        <v>0</v>
      </c>
      <c r="AA25" s="228">
        <f t="shared" si="13"/>
        <v>0</v>
      </c>
      <c r="AB25" s="228">
        <f t="shared" si="13"/>
        <v>0</v>
      </c>
      <c r="AC25" s="228">
        <f t="shared" si="13"/>
        <v>0</v>
      </c>
      <c r="AD25" s="228">
        <f t="shared" si="13"/>
        <v>0</v>
      </c>
      <c r="AE25" s="228">
        <f t="shared" si="13"/>
        <v>0</v>
      </c>
      <c r="AF25" s="228">
        <f t="shared" si="13"/>
        <v>0</v>
      </c>
      <c r="AG25" s="228">
        <f t="shared" si="13"/>
        <v>0</v>
      </c>
      <c r="AH25" s="228">
        <f t="shared" si="13"/>
        <v>0</v>
      </c>
      <c r="AI25" s="229">
        <f t="shared" ref="AI25:AI33" si="14">SUM(D25:AH25)</f>
        <v>0</v>
      </c>
      <c r="AJ25" s="225">
        <f t="shared" ref="AJ25:AJ88" si="15">SUM(D25:AH25)/DAY($B$4)*0.001</f>
        <v>0</v>
      </c>
      <c r="AK25" s="176">
        <f>IFERROR(AVERAGE(D25:AD25)/1000,0)</f>
        <v>0</v>
      </c>
      <c r="AL25" s="223">
        <v>5.539609636137909</v>
      </c>
      <c r="AM25" s="192"/>
      <c r="AQ25" s="200"/>
      <c r="AR25" s="151"/>
    </row>
    <row r="26" spans="2:44" s="170" customFormat="1" ht="42" customHeight="1" x14ac:dyDescent="0.35">
      <c r="B26" s="213" t="s">
        <v>225</v>
      </c>
      <c r="C26" s="214"/>
      <c r="D26" s="215">
        <v>0</v>
      </c>
      <c r="E26" s="224">
        <v>0</v>
      </c>
      <c r="F26" s="216">
        <v>0</v>
      </c>
      <c r="G26" s="224">
        <v>0</v>
      </c>
      <c r="H26" s="216">
        <v>0</v>
      </c>
      <c r="I26" s="216">
        <v>0</v>
      </c>
      <c r="J26" s="216">
        <v>0</v>
      </c>
      <c r="K26" s="216">
        <v>0</v>
      </c>
      <c r="L26" s="216">
        <v>0</v>
      </c>
      <c r="M26" s="216">
        <v>0</v>
      </c>
      <c r="N26" s="216">
        <v>0</v>
      </c>
      <c r="O26" s="216">
        <v>0</v>
      </c>
      <c r="P26" s="216">
        <v>0</v>
      </c>
      <c r="Q26" s="216">
        <v>0</v>
      </c>
      <c r="R26" s="216">
        <v>0</v>
      </c>
      <c r="S26" s="216">
        <v>0</v>
      </c>
      <c r="T26" s="216">
        <v>0</v>
      </c>
      <c r="U26" s="216">
        <v>0</v>
      </c>
      <c r="V26" s="216">
        <v>0</v>
      </c>
      <c r="W26" s="216">
        <v>0</v>
      </c>
      <c r="X26" s="216">
        <v>0</v>
      </c>
      <c r="Y26" s="216">
        <v>0</v>
      </c>
      <c r="Z26" s="216">
        <v>0</v>
      </c>
      <c r="AA26" s="216">
        <v>0</v>
      </c>
      <c r="AB26" s="216">
        <v>0</v>
      </c>
      <c r="AC26" s="216">
        <v>0</v>
      </c>
      <c r="AD26" s="216">
        <v>0</v>
      </c>
      <c r="AE26" s="216">
        <v>0</v>
      </c>
      <c r="AF26" s="216">
        <v>0</v>
      </c>
      <c r="AG26" s="216">
        <v>0</v>
      </c>
      <c r="AH26" s="216">
        <v>0</v>
      </c>
      <c r="AI26" s="217">
        <f t="shared" si="14"/>
        <v>0</v>
      </c>
      <c r="AJ26" s="225">
        <f t="shared" si="15"/>
        <v>0</v>
      </c>
      <c r="AK26" s="176"/>
      <c r="AL26" s="223">
        <v>5.539609636137909</v>
      </c>
      <c r="AM26" s="192"/>
      <c r="AQ26" s="200" t="str">
        <f>'[2]ОПЕРАТИВКА пн-пн'!B31</f>
        <v>ГИС ИСАКЧА РУМЫНИЯ</v>
      </c>
      <c r="AR26" s="151"/>
    </row>
    <row r="27" spans="2:44" s="170" customFormat="1" ht="42" customHeight="1" x14ac:dyDescent="0.35">
      <c r="B27" s="213" t="s">
        <v>226</v>
      </c>
      <c r="C27" s="214"/>
      <c r="D27" s="215">
        <v>0</v>
      </c>
      <c r="E27" s="224">
        <v>0</v>
      </c>
      <c r="F27" s="216">
        <v>0</v>
      </c>
      <c r="G27" s="224">
        <v>0</v>
      </c>
      <c r="H27" s="216">
        <v>0</v>
      </c>
      <c r="I27" s="216">
        <v>0</v>
      </c>
      <c r="J27" s="216">
        <v>0</v>
      </c>
      <c r="K27" s="216">
        <v>0</v>
      </c>
      <c r="L27" s="216">
        <v>0</v>
      </c>
      <c r="M27" s="216">
        <v>0</v>
      </c>
      <c r="N27" s="216">
        <v>0</v>
      </c>
      <c r="O27" s="216">
        <v>0</v>
      </c>
      <c r="P27" s="216">
        <v>0</v>
      </c>
      <c r="Q27" s="216">
        <v>0</v>
      </c>
      <c r="R27" s="216">
        <v>0</v>
      </c>
      <c r="S27" s="216">
        <v>0</v>
      </c>
      <c r="T27" s="216">
        <v>0</v>
      </c>
      <c r="U27" s="216">
        <v>0</v>
      </c>
      <c r="V27" s="216">
        <v>0</v>
      </c>
      <c r="W27" s="216">
        <v>0</v>
      </c>
      <c r="X27" s="216">
        <v>0</v>
      </c>
      <c r="Y27" s="216">
        <v>0</v>
      </c>
      <c r="Z27" s="216">
        <v>0</v>
      </c>
      <c r="AA27" s="216">
        <v>0</v>
      </c>
      <c r="AB27" s="216">
        <v>0</v>
      </c>
      <c r="AC27" s="216">
        <v>0</v>
      </c>
      <c r="AD27" s="216">
        <v>0</v>
      </c>
      <c r="AE27" s="216">
        <v>0</v>
      </c>
      <c r="AF27" s="216">
        <v>0</v>
      </c>
      <c r="AG27" s="216">
        <v>0</v>
      </c>
      <c r="AH27" s="216">
        <v>0</v>
      </c>
      <c r="AI27" s="217">
        <f t="shared" si="14"/>
        <v>0</v>
      </c>
      <c r="AJ27" s="225">
        <f t="shared" si="15"/>
        <v>0</v>
      </c>
      <c r="AK27" s="176"/>
      <c r="AL27" s="223">
        <v>0</v>
      </c>
      <c r="AM27" s="192"/>
      <c r="AQ27" s="200" t="str">
        <f>'[2]ОПЕРАТИВКА пн-пн'!B32</f>
        <v>ГИС ИСАКЧА БОЛГАРИЯ</v>
      </c>
      <c r="AR27" s="151"/>
    </row>
    <row r="28" spans="2:44" s="170" customFormat="1" ht="42" customHeight="1" x14ac:dyDescent="0.25">
      <c r="B28" s="230" t="s">
        <v>227</v>
      </c>
      <c r="C28" s="231"/>
      <c r="D28" s="232">
        <f t="shared" ref="D28:AH28" si="16">D31+D29-D30</f>
        <v>0</v>
      </c>
      <c r="E28" s="233">
        <f t="shared" si="16"/>
        <v>0</v>
      </c>
      <c r="F28" s="233">
        <f t="shared" si="16"/>
        <v>0</v>
      </c>
      <c r="G28" s="233">
        <f t="shared" si="16"/>
        <v>0</v>
      </c>
      <c r="H28" s="233">
        <f t="shared" si="16"/>
        <v>0</v>
      </c>
      <c r="I28" s="233">
        <f t="shared" si="16"/>
        <v>0</v>
      </c>
      <c r="J28" s="233">
        <f t="shared" si="16"/>
        <v>0</v>
      </c>
      <c r="K28" s="233">
        <f t="shared" si="16"/>
        <v>0</v>
      </c>
      <c r="L28" s="233">
        <f t="shared" si="16"/>
        <v>0</v>
      </c>
      <c r="M28" s="233">
        <f t="shared" si="16"/>
        <v>0</v>
      </c>
      <c r="N28" s="233">
        <f t="shared" si="16"/>
        <v>0</v>
      </c>
      <c r="O28" s="233">
        <f t="shared" si="16"/>
        <v>0</v>
      </c>
      <c r="P28" s="233">
        <f t="shared" si="16"/>
        <v>0</v>
      </c>
      <c r="Q28" s="233">
        <f t="shared" si="16"/>
        <v>0</v>
      </c>
      <c r="R28" s="233">
        <f t="shared" si="16"/>
        <v>0</v>
      </c>
      <c r="S28" s="233">
        <f t="shared" si="16"/>
        <v>0</v>
      </c>
      <c r="T28" s="233">
        <f t="shared" si="16"/>
        <v>0</v>
      </c>
      <c r="U28" s="233">
        <f t="shared" si="16"/>
        <v>0</v>
      </c>
      <c r="V28" s="233">
        <f t="shared" si="16"/>
        <v>0</v>
      </c>
      <c r="W28" s="233">
        <f t="shared" si="16"/>
        <v>0</v>
      </c>
      <c r="X28" s="233">
        <f t="shared" si="16"/>
        <v>0</v>
      </c>
      <c r="Y28" s="233">
        <f t="shared" si="16"/>
        <v>0</v>
      </c>
      <c r="Z28" s="233">
        <f t="shared" si="16"/>
        <v>0</v>
      </c>
      <c r="AA28" s="233">
        <f t="shared" si="16"/>
        <v>0</v>
      </c>
      <c r="AB28" s="233">
        <f t="shared" si="16"/>
        <v>0</v>
      </c>
      <c r="AC28" s="233">
        <f t="shared" si="16"/>
        <v>0</v>
      </c>
      <c r="AD28" s="233">
        <f t="shared" si="16"/>
        <v>0</v>
      </c>
      <c r="AE28" s="233">
        <f t="shared" si="16"/>
        <v>0</v>
      </c>
      <c r="AF28" s="233">
        <f t="shared" si="16"/>
        <v>0</v>
      </c>
      <c r="AG28" s="233">
        <f t="shared" si="16"/>
        <v>0</v>
      </c>
      <c r="AH28" s="233">
        <f t="shared" si="16"/>
        <v>0</v>
      </c>
      <c r="AI28" s="234">
        <f t="shared" si="14"/>
        <v>0</v>
      </c>
      <c r="AJ28" s="225">
        <f>SUM(D28:AH28)/DAY($B$4)*0.001</f>
        <v>0</v>
      </c>
      <c r="AK28" s="176">
        <f t="shared" ref="AK28:AK62" si="17">IFERROR(AVERAGE(D28:AD28)/1000,0)</f>
        <v>0</v>
      </c>
      <c r="AL28" s="177">
        <v>20.836112683470699</v>
      </c>
      <c r="AR28" s="151"/>
    </row>
    <row r="29" spans="2:44" s="192" customFormat="1" ht="30" customHeight="1" x14ac:dyDescent="0.45">
      <c r="B29" s="235" t="s">
        <v>212</v>
      </c>
      <c r="C29" s="236"/>
      <c r="D29" s="237">
        <v>0</v>
      </c>
      <c r="E29" s="238">
        <v>0</v>
      </c>
      <c r="F29" s="238">
        <v>0</v>
      </c>
      <c r="G29" s="238">
        <v>0</v>
      </c>
      <c r="H29" s="239">
        <v>0</v>
      </c>
      <c r="I29" s="239">
        <v>0</v>
      </c>
      <c r="J29" s="239">
        <v>0</v>
      </c>
      <c r="K29" s="239">
        <v>0</v>
      </c>
      <c r="L29" s="239">
        <v>0</v>
      </c>
      <c r="M29" s="239">
        <v>0</v>
      </c>
      <c r="N29" s="239">
        <v>0</v>
      </c>
      <c r="O29" s="239">
        <v>0</v>
      </c>
      <c r="P29" s="239">
        <v>0</v>
      </c>
      <c r="Q29" s="239">
        <v>0</v>
      </c>
      <c r="R29" s="239">
        <v>0</v>
      </c>
      <c r="S29" s="239">
        <v>0</v>
      </c>
      <c r="T29" s="239">
        <v>0</v>
      </c>
      <c r="U29" s="239">
        <v>0</v>
      </c>
      <c r="V29" s="239">
        <v>0</v>
      </c>
      <c r="W29" s="239">
        <v>0</v>
      </c>
      <c r="X29" s="239">
        <v>0</v>
      </c>
      <c r="Y29" s="239">
        <v>0</v>
      </c>
      <c r="Z29" s="239">
        <v>0</v>
      </c>
      <c r="AA29" s="239">
        <v>0</v>
      </c>
      <c r="AB29" s="239">
        <v>0</v>
      </c>
      <c r="AC29" s="239">
        <v>0</v>
      </c>
      <c r="AD29" s="239">
        <v>0</v>
      </c>
      <c r="AE29" s="239">
        <v>0</v>
      </c>
      <c r="AF29" s="239">
        <v>0</v>
      </c>
      <c r="AG29" s="239">
        <v>0</v>
      </c>
      <c r="AH29" s="239">
        <v>0</v>
      </c>
      <c r="AI29" s="240">
        <f t="shared" si="14"/>
        <v>0</v>
      </c>
      <c r="AJ29" s="225">
        <f t="shared" si="15"/>
        <v>0</v>
      </c>
      <c r="AK29" s="176">
        <f t="shared" si="17"/>
        <v>0</v>
      </c>
      <c r="AL29" s="199">
        <v>0</v>
      </c>
      <c r="AP29" s="170"/>
      <c r="AQ29" s="200" t="str">
        <f>'[2]ОПЕРАТИВКА пн-пн'!B34</f>
        <v>ГИС БEPEГ - ПОДАЧА РЕСУРСАЗАКАЧКА в ПХГ</v>
      </c>
      <c r="AR29" s="151"/>
    </row>
    <row r="30" spans="2:44" s="192" customFormat="1" ht="30" customHeight="1" x14ac:dyDescent="0.45">
      <c r="B30" s="235" t="s">
        <v>213</v>
      </c>
      <c r="C30" s="236"/>
      <c r="D30" s="237">
        <v>0</v>
      </c>
      <c r="E30" s="239">
        <v>0</v>
      </c>
      <c r="F30" s="239">
        <v>0</v>
      </c>
      <c r="G30" s="239">
        <v>0</v>
      </c>
      <c r="H30" s="239">
        <v>0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239">
        <v>0</v>
      </c>
      <c r="P30" s="239">
        <v>0</v>
      </c>
      <c r="Q30" s="239">
        <v>0</v>
      </c>
      <c r="R30" s="239">
        <v>0</v>
      </c>
      <c r="S30" s="239">
        <v>0</v>
      </c>
      <c r="T30" s="239">
        <v>0</v>
      </c>
      <c r="U30" s="239">
        <v>0</v>
      </c>
      <c r="V30" s="239">
        <v>0</v>
      </c>
      <c r="W30" s="239">
        <v>0</v>
      </c>
      <c r="X30" s="239">
        <v>0</v>
      </c>
      <c r="Y30" s="239">
        <v>0</v>
      </c>
      <c r="Z30" s="239">
        <v>0</v>
      </c>
      <c r="AA30" s="239">
        <v>0</v>
      </c>
      <c r="AB30" s="239">
        <v>0</v>
      </c>
      <c r="AC30" s="239">
        <v>0</v>
      </c>
      <c r="AD30" s="239">
        <v>0</v>
      </c>
      <c r="AE30" s="239">
        <v>0</v>
      </c>
      <c r="AF30" s="239">
        <v>0</v>
      </c>
      <c r="AG30" s="239">
        <v>0</v>
      </c>
      <c r="AH30" s="239">
        <v>0</v>
      </c>
      <c r="AI30" s="240">
        <f t="shared" si="14"/>
        <v>0</v>
      </c>
      <c r="AJ30" s="225">
        <f t="shared" si="15"/>
        <v>0</v>
      </c>
      <c r="AK30" s="176">
        <f t="shared" si="17"/>
        <v>0</v>
      </c>
      <c r="AL30" s="199">
        <v>0</v>
      </c>
      <c r="AP30" s="170"/>
      <c r="AQ30" s="200" t="str">
        <f>'[2]ОПЕРАТИВКА пн-пн'!B35</f>
        <v>ГИС БEPEГ - ПОДАЧА РЕСУРСАОТБОР из ПХГ</v>
      </c>
      <c r="AR30" s="151"/>
    </row>
    <row r="31" spans="2:44" s="156" customFormat="1" ht="30" customHeight="1" x14ac:dyDescent="0.45">
      <c r="B31" s="235" t="s">
        <v>214</v>
      </c>
      <c r="C31" s="241"/>
      <c r="D31" s="242">
        <f t="shared" ref="D31:AH31" si="18">D33+D32+D34+D35</f>
        <v>0</v>
      </c>
      <c r="E31" s="243">
        <f t="shared" si="18"/>
        <v>0</v>
      </c>
      <c r="F31" s="243">
        <f t="shared" si="18"/>
        <v>0</v>
      </c>
      <c r="G31" s="243">
        <f t="shared" si="18"/>
        <v>0</v>
      </c>
      <c r="H31" s="243">
        <f t="shared" si="18"/>
        <v>0</v>
      </c>
      <c r="I31" s="243">
        <f t="shared" si="18"/>
        <v>0</v>
      </c>
      <c r="J31" s="243">
        <f t="shared" si="18"/>
        <v>0</v>
      </c>
      <c r="K31" s="243">
        <f t="shared" si="18"/>
        <v>0</v>
      </c>
      <c r="L31" s="243">
        <f t="shared" si="18"/>
        <v>0</v>
      </c>
      <c r="M31" s="243">
        <f t="shared" si="18"/>
        <v>0</v>
      </c>
      <c r="N31" s="243">
        <f t="shared" si="18"/>
        <v>0</v>
      </c>
      <c r="O31" s="243">
        <f t="shared" si="18"/>
        <v>0</v>
      </c>
      <c r="P31" s="243">
        <f t="shared" si="18"/>
        <v>0</v>
      </c>
      <c r="Q31" s="243">
        <f t="shared" si="18"/>
        <v>0</v>
      </c>
      <c r="R31" s="243">
        <f t="shared" si="18"/>
        <v>0</v>
      </c>
      <c r="S31" s="243">
        <f t="shared" si="18"/>
        <v>0</v>
      </c>
      <c r="T31" s="243">
        <f t="shared" si="18"/>
        <v>0</v>
      </c>
      <c r="U31" s="243">
        <f t="shared" si="18"/>
        <v>0</v>
      </c>
      <c r="V31" s="243">
        <f t="shared" si="18"/>
        <v>0</v>
      </c>
      <c r="W31" s="243">
        <f t="shared" si="18"/>
        <v>0</v>
      </c>
      <c r="X31" s="243">
        <f t="shared" si="18"/>
        <v>0</v>
      </c>
      <c r="Y31" s="243">
        <f t="shared" si="18"/>
        <v>0</v>
      </c>
      <c r="Z31" s="243">
        <f t="shared" si="18"/>
        <v>0</v>
      </c>
      <c r="AA31" s="243">
        <f t="shared" si="18"/>
        <v>0</v>
      </c>
      <c r="AB31" s="243">
        <f t="shared" si="18"/>
        <v>0</v>
      </c>
      <c r="AC31" s="243">
        <f t="shared" si="18"/>
        <v>0</v>
      </c>
      <c r="AD31" s="243">
        <f t="shared" si="18"/>
        <v>0</v>
      </c>
      <c r="AE31" s="243">
        <f t="shared" si="18"/>
        <v>0</v>
      </c>
      <c r="AF31" s="243">
        <f t="shared" si="18"/>
        <v>0</v>
      </c>
      <c r="AG31" s="243">
        <f t="shared" si="18"/>
        <v>0</v>
      </c>
      <c r="AH31" s="243">
        <f t="shared" si="18"/>
        <v>0</v>
      </c>
      <c r="AI31" s="244">
        <f t="shared" si="14"/>
        <v>0</v>
      </c>
      <c r="AJ31" s="225">
        <f t="shared" si="15"/>
        <v>0</v>
      </c>
      <c r="AK31" s="176">
        <f t="shared" si="17"/>
        <v>0</v>
      </c>
      <c r="AL31" s="199">
        <v>20.836112683470699</v>
      </c>
      <c r="AP31" s="160"/>
      <c r="AQ31" s="221"/>
      <c r="AR31" s="151"/>
    </row>
    <row r="32" spans="2:44" s="192" customFormat="1" ht="30" customHeight="1" x14ac:dyDescent="0.45">
      <c r="B32" s="235" t="s">
        <v>228</v>
      </c>
      <c r="C32" s="241"/>
      <c r="D32" s="237">
        <v>0</v>
      </c>
      <c r="E32" s="239">
        <v>0</v>
      </c>
      <c r="F32" s="239">
        <v>0</v>
      </c>
      <c r="G32" s="239">
        <v>0</v>
      </c>
      <c r="H32" s="239">
        <v>0</v>
      </c>
      <c r="I32" s="239">
        <v>0</v>
      </c>
      <c r="J32" s="239">
        <v>0</v>
      </c>
      <c r="K32" s="239">
        <v>0</v>
      </c>
      <c r="L32" s="239">
        <v>0</v>
      </c>
      <c r="M32" s="239">
        <v>0</v>
      </c>
      <c r="N32" s="239">
        <v>0</v>
      </c>
      <c r="O32" s="239">
        <v>0</v>
      </c>
      <c r="P32" s="239">
        <v>0</v>
      </c>
      <c r="Q32" s="239">
        <v>0</v>
      </c>
      <c r="R32" s="239">
        <v>0</v>
      </c>
      <c r="S32" s="239">
        <v>0</v>
      </c>
      <c r="T32" s="239">
        <v>0</v>
      </c>
      <c r="U32" s="239">
        <v>0</v>
      </c>
      <c r="V32" s="239">
        <v>0</v>
      </c>
      <c r="W32" s="239">
        <v>0</v>
      </c>
      <c r="X32" s="239">
        <v>0</v>
      </c>
      <c r="Y32" s="239">
        <v>0</v>
      </c>
      <c r="Z32" s="239">
        <v>0</v>
      </c>
      <c r="AA32" s="239">
        <v>0</v>
      </c>
      <c r="AB32" s="239">
        <v>0</v>
      </c>
      <c r="AC32" s="239">
        <v>0</v>
      </c>
      <c r="AD32" s="239">
        <v>0</v>
      </c>
      <c r="AE32" s="239">
        <v>0</v>
      </c>
      <c r="AF32" s="239">
        <v>0</v>
      </c>
      <c r="AG32" s="239">
        <v>0</v>
      </c>
      <c r="AH32" s="239">
        <v>0</v>
      </c>
      <c r="AI32" s="240">
        <f t="shared" si="14"/>
        <v>0</v>
      </c>
      <c r="AJ32" s="225">
        <f t="shared" si="15"/>
        <v>0</v>
      </c>
      <c r="AK32" s="176">
        <f t="shared" si="17"/>
        <v>0</v>
      </c>
      <c r="AL32" s="199">
        <v>2.3524052571428569</v>
      </c>
      <c r="AP32" s="170"/>
      <c r="AQ32" s="200" t="str">
        <f>'[2]ОПЕРАТИВКА пн-пн'!B37</f>
        <v>ГИС БEPEГ - ПОДАЧА РЕСУРСАИТАЛИЯ</v>
      </c>
      <c r="AR32" s="151"/>
    </row>
    <row r="33" spans="1:44" s="192" customFormat="1" ht="30" customHeight="1" x14ac:dyDescent="0.45">
      <c r="B33" s="235" t="s">
        <v>221</v>
      </c>
      <c r="C33" s="241"/>
      <c r="D33" s="237">
        <v>0</v>
      </c>
      <c r="E33" s="239">
        <v>0</v>
      </c>
      <c r="F33" s="239">
        <v>0</v>
      </c>
      <c r="G33" s="239">
        <v>0</v>
      </c>
      <c r="H33" s="239">
        <v>0</v>
      </c>
      <c r="I33" s="239">
        <v>0</v>
      </c>
      <c r="J33" s="239">
        <v>0</v>
      </c>
      <c r="K33" s="239">
        <v>0</v>
      </c>
      <c r="L33" s="239">
        <v>0</v>
      </c>
      <c r="M33" s="239">
        <v>0</v>
      </c>
      <c r="N33" s="239">
        <v>0</v>
      </c>
      <c r="O33" s="239">
        <v>0</v>
      </c>
      <c r="P33" s="239">
        <v>0</v>
      </c>
      <c r="Q33" s="239">
        <v>0</v>
      </c>
      <c r="R33" s="239">
        <v>0</v>
      </c>
      <c r="S33" s="239">
        <v>0</v>
      </c>
      <c r="T33" s="239">
        <v>0</v>
      </c>
      <c r="U33" s="239">
        <v>0</v>
      </c>
      <c r="V33" s="239">
        <v>0</v>
      </c>
      <c r="W33" s="239">
        <v>0</v>
      </c>
      <c r="X33" s="239">
        <v>0</v>
      </c>
      <c r="Y33" s="239">
        <v>0</v>
      </c>
      <c r="Z33" s="239">
        <v>0</v>
      </c>
      <c r="AA33" s="239">
        <v>0</v>
      </c>
      <c r="AB33" s="239">
        <v>0</v>
      </c>
      <c r="AC33" s="239">
        <v>0</v>
      </c>
      <c r="AD33" s="239">
        <v>0</v>
      </c>
      <c r="AE33" s="239">
        <v>0</v>
      </c>
      <c r="AF33" s="239">
        <v>0</v>
      </c>
      <c r="AG33" s="239">
        <v>0</v>
      </c>
      <c r="AH33" s="239">
        <v>0</v>
      </c>
      <c r="AI33" s="240">
        <f t="shared" si="14"/>
        <v>0</v>
      </c>
      <c r="AJ33" s="225">
        <f t="shared" si="15"/>
        <v>0</v>
      </c>
      <c r="AK33" s="176">
        <f t="shared" si="17"/>
        <v>0</v>
      </c>
      <c r="AL33" s="199">
        <v>17.638776289489744</v>
      </c>
      <c r="AP33" s="170"/>
      <c r="AQ33" s="200" t="str">
        <f>'[2]ОПЕРАТИВКА пн-пн'!B38</f>
        <v>ГИС БEPEГ - ПОДАЧА РЕСУРСАВЕНГРИЯ</v>
      </c>
      <c r="AR33" s="151"/>
    </row>
    <row r="34" spans="1:44" s="192" customFormat="1" ht="30" customHeight="1" x14ac:dyDescent="0.45">
      <c r="B34" s="235" t="s">
        <v>229</v>
      </c>
      <c r="C34" s="241"/>
      <c r="D34" s="237">
        <v>0</v>
      </c>
      <c r="E34" s="239">
        <v>0</v>
      </c>
      <c r="F34" s="239">
        <v>0</v>
      </c>
      <c r="G34" s="239">
        <v>0</v>
      </c>
      <c r="H34" s="239">
        <v>0</v>
      </c>
      <c r="I34" s="239">
        <v>0</v>
      </c>
      <c r="J34" s="239">
        <v>0</v>
      </c>
      <c r="K34" s="239">
        <v>0</v>
      </c>
      <c r="L34" s="239">
        <v>0</v>
      </c>
      <c r="M34" s="239">
        <v>0</v>
      </c>
      <c r="N34" s="239">
        <v>0</v>
      </c>
      <c r="O34" s="239">
        <v>0</v>
      </c>
      <c r="P34" s="239">
        <v>0</v>
      </c>
      <c r="Q34" s="239">
        <v>0</v>
      </c>
      <c r="R34" s="239">
        <v>0</v>
      </c>
      <c r="S34" s="239">
        <v>0</v>
      </c>
      <c r="T34" s="239">
        <v>0</v>
      </c>
      <c r="U34" s="239">
        <v>0</v>
      </c>
      <c r="V34" s="239">
        <v>0</v>
      </c>
      <c r="W34" s="239">
        <v>0</v>
      </c>
      <c r="X34" s="239">
        <v>0</v>
      </c>
      <c r="Y34" s="239">
        <v>0</v>
      </c>
      <c r="Z34" s="239">
        <v>0</v>
      </c>
      <c r="AA34" s="239">
        <v>0</v>
      </c>
      <c r="AB34" s="239">
        <v>0</v>
      </c>
      <c r="AC34" s="239">
        <v>0</v>
      </c>
      <c r="AD34" s="239">
        <v>0</v>
      </c>
      <c r="AE34" s="239">
        <v>0</v>
      </c>
      <c r="AF34" s="239">
        <v>0</v>
      </c>
      <c r="AG34" s="239">
        <v>0</v>
      </c>
      <c r="AH34" s="239">
        <v>0</v>
      </c>
      <c r="AI34" s="240">
        <f>SUM(D34:AG34)</f>
        <v>0</v>
      </c>
      <c r="AJ34" s="225">
        <f t="shared" si="15"/>
        <v>0</v>
      </c>
      <c r="AK34" s="176">
        <f t="shared" si="17"/>
        <v>0</v>
      </c>
      <c r="AL34" s="199">
        <v>0.84493113683810861</v>
      </c>
      <c r="AP34" s="170"/>
      <c r="AQ34" s="200" t="str">
        <f>'[2]ОПЕРАТИВКА пн-пн'!B39</f>
        <v>ГИС БEPEГ - ПОДАЧА РЕСУРСАБОСНИЯ и ГЕРЦЕГОВИНА</v>
      </c>
      <c r="AR34" s="151"/>
    </row>
    <row r="35" spans="1:44" s="192" customFormat="1" ht="30" customHeight="1" x14ac:dyDescent="0.45">
      <c r="B35" s="235" t="s">
        <v>230</v>
      </c>
      <c r="C35" s="241"/>
      <c r="D35" s="237">
        <v>0</v>
      </c>
      <c r="E35" s="239">
        <v>0</v>
      </c>
      <c r="F35" s="239">
        <v>0</v>
      </c>
      <c r="G35" s="239">
        <v>0</v>
      </c>
      <c r="H35" s="239">
        <v>0</v>
      </c>
      <c r="I35" s="239">
        <v>0</v>
      </c>
      <c r="J35" s="239">
        <v>0</v>
      </c>
      <c r="K35" s="239">
        <v>0</v>
      </c>
      <c r="L35" s="239">
        <v>0</v>
      </c>
      <c r="M35" s="239">
        <v>0</v>
      </c>
      <c r="N35" s="239">
        <v>0</v>
      </c>
      <c r="O35" s="239">
        <v>0</v>
      </c>
      <c r="P35" s="239">
        <v>0</v>
      </c>
      <c r="Q35" s="239">
        <v>0</v>
      </c>
      <c r="R35" s="239">
        <v>0</v>
      </c>
      <c r="S35" s="239">
        <v>0</v>
      </c>
      <c r="T35" s="239">
        <v>0</v>
      </c>
      <c r="U35" s="239">
        <v>0</v>
      </c>
      <c r="V35" s="239">
        <v>0</v>
      </c>
      <c r="W35" s="239">
        <v>0</v>
      </c>
      <c r="X35" s="239">
        <v>0</v>
      </c>
      <c r="Y35" s="239">
        <v>0</v>
      </c>
      <c r="Z35" s="239">
        <v>0</v>
      </c>
      <c r="AA35" s="239">
        <v>0</v>
      </c>
      <c r="AB35" s="239">
        <v>0</v>
      </c>
      <c r="AC35" s="239">
        <v>0</v>
      </c>
      <c r="AD35" s="239">
        <v>0</v>
      </c>
      <c r="AE35" s="239">
        <v>0</v>
      </c>
      <c r="AF35" s="239">
        <v>0</v>
      </c>
      <c r="AG35" s="239">
        <v>0</v>
      </c>
      <c r="AH35" s="239">
        <v>0</v>
      </c>
      <c r="AI35" s="240">
        <f>SUM(D35:AH35)</f>
        <v>0</v>
      </c>
      <c r="AJ35" s="225">
        <f t="shared" si="15"/>
        <v>0</v>
      </c>
      <c r="AK35" s="176">
        <f t="shared" si="17"/>
        <v>0</v>
      </c>
      <c r="AL35" s="199">
        <v>0</v>
      </c>
      <c r="AQ35" s="200" t="str">
        <f>'[2]ОПЕРАТИВКА пн-пн'!B40</f>
        <v>ГИС БEPEГ - ПОДАЧА РЕСУРСАХОРВАТИЯ</v>
      </c>
      <c r="AR35" s="151"/>
    </row>
    <row r="36" spans="1:44" s="170" customFormat="1" ht="56.25" hidden="1" customHeight="1" outlineLevel="1" x14ac:dyDescent="0.25">
      <c r="B36" s="245" t="s">
        <v>231</v>
      </c>
      <c r="C36" s="246"/>
      <c r="D36" s="247">
        <v>0</v>
      </c>
      <c r="E36" s="248">
        <v>0</v>
      </c>
      <c r="F36" s="248">
        <v>0</v>
      </c>
      <c r="G36" s="248">
        <v>0</v>
      </c>
      <c r="H36" s="248">
        <v>0</v>
      </c>
      <c r="I36" s="248">
        <v>0</v>
      </c>
      <c r="J36" s="248">
        <v>0</v>
      </c>
      <c r="K36" s="248">
        <v>0</v>
      </c>
      <c r="L36" s="248">
        <v>0</v>
      </c>
      <c r="M36" s="248">
        <v>0</v>
      </c>
      <c r="N36" s="248">
        <v>0</v>
      </c>
      <c r="O36" s="248">
        <v>0</v>
      </c>
      <c r="P36" s="248">
        <v>0</v>
      </c>
      <c r="Q36" s="248">
        <v>0</v>
      </c>
      <c r="R36" s="248">
        <v>0</v>
      </c>
      <c r="S36" s="248">
        <v>0</v>
      </c>
      <c r="T36" s="248">
        <v>0</v>
      </c>
      <c r="U36" s="248">
        <v>0</v>
      </c>
      <c r="V36" s="248">
        <v>0</v>
      </c>
      <c r="W36" s="248">
        <v>0</v>
      </c>
      <c r="X36" s="248">
        <v>0</v>
      </c>
      <c r="Y36" s="248">
        <v>0</v>
      </c>
      <c r="Z36" s="248">
        <v>0</v>
      </c>
      <c r="AA36" s="248">
        <v>0</v>
      </c>
      <c r="AB36" s="248">
        <v>0</v>
      </c>
      <c r="AC36" s="248">
        <v>0</v>
      </c>
      <c r="AD36" s="248">
        <v>0</v>
      </c>
      <c r="AE36" s="248">
        <v>0</v>
      </c>
      <c r="AF36" s="248">
        <v>0</v>
      </c>
      <c r="AG36" s="248">
        <v>0</v>
      </c>
      <c r="AH36" s="248">
        <v>0</v>
      </c>
      <c r="AI36" s="249">
        <f>SUM(D36:AF36)</f>
        <v>0</v>
      </c>
      <c r="AJ36" s="225">
        <f t="shared" si="15"/>
        <v>0</v>
      </c>
      <c r="AK36" s="176">
        <f t="shared" si="17"/>
        <v>0</v>
      </c>
      <c r="AL36" s="177">
        <v>0</v>
      </c>
      <c r="AQ36" s="200" t="s">
        <v>232</v>
      </c>
      <c r="AR36" s="151"/>
    </row>
    <row r="37" spans="1:44" s="170" customFormat="1" ht="42" customHeight="1" collapsed="1" x14ac:dyDescent="0.25">
      <c r="B37" s="245" t="s">
        <v>233</v>
      </c>
      <c r="C37" s="246"/>
      <c r="D37" s="247">
        <v>10620.256594231501</v>
      </c>
      <c r="E37" s="248">
        <v>10637.660395271902</v>
      </c>
      <c r="F37" s="248">
        <v>10638.682702959301</v>
      </c>
      <c r="G37" s="248">
        <v>10629.8927292136</v>
      </c>
      <c r="H37" s="248">
        <v>10634.1682367178</v>
      </c>
      <c r="I37" s="248">
        <v>11140.851221364401</v>
      </c>
      <c r="J37" s="248">
        <v>11115.3296375267</v>
      </c>
      <c r="K37" s="248">
        <v>11117.9300721403</v>
      </c>
      <c r="L37" s="248">
        <v>11122.011413937002</v>
      </c>
      <c r="M37" s="248">
        <v>11113.8816559634</v>
      </c>
      <c r="N37" s="248">
        <v>11108.184877933199</v>
      </c>
      <c r="O37" s="248">
        <v>11112.7442257125</v>
      </c>
      <c r="P37" s="248">
        <v>11119.746018712201</v>
      </c>
      <c r="Q37" s="248">
        <v>11139.9798222588</v>
      </c>
      <c r="R37" s="248">
        <v>11130.4619468607</v>
      </c>
      <c r="S37" s="248">
        <v>11122.2261907582</v>
      </c>
      <c r="T37" s="248">
        <v>11138.050868750999</v>
      </c>
      <c r="U37" s="248">
        <v>11146.5931335357</v>
      </c>
      <c r="V37" s="248">
        <v>11147.7815110099</v>
      </c>
      <c r="W37" s="248">
        <v>11147.189370032</v>
      </c>
      <c r="X37" s="248">
        <v>11151.7737818475</v>
      </c>
      <c r="Y37" s="248">
        <v>11163.8631983671</v>
      </c>
      <c r="Z37" s="248">
        <v>11150.236977766501</v>
      </c>
      <c r="AA37" s="248">
        <v>11131.509668246399</v>
      </c>
      <c r="AB37" s="248">
        <v>11097.1285572547</v>
      </c>
      <c r="AC37" s="248">
        <v>11099.2429001213</v>
      </c>
      <c r="AD37" s="248">
        <v>11093.597310045601</v>
      </c>
      <c r="AE37" s="248">
        <v>11095.522960932101</v>
      </c>
      <c r="AF37" s="248">
        <v>11064.254073817301</v>
      </c>
      <c r="AG37" s="248">
        <v>11138.9560285886</v>
      </c>
      <c r="AH37" s="248">
        <v>10926.295586742101</v>
      </c>
      <c r="AI37" s="249">
        <f t="shared" ref="AI37:AI58" si="19">SUM(D37:AH37)</f>
        <v>342196.00366861926</v>
      </c>
      <c r="AJ37" s="225">
        <f t="shared" si="15"/>
        <v>11.038580763503848</v>
      </c>
      <c r="AK37" s="176">
        <f t="shared" si="17"/>
        <v>11.035962037723673</v>
      </c>
      <c r="AL37" s="177">
        <v>8.6346116778487101</v>
      </c>
      <c r="AQ37" s="200" t="str">
        <f>'[2]ОПЕРАТИВКА пн-пн'!B42</f>
        <v>GCP GAZ-SYSTEM/UATSO (ПОЛЬША)</v>
      </c>
      <c r="AR37" s="151"/>
    </row>
    <row r="38" spans="1:44" s="170" customFormat="1" ht="42" customHeight="1" x14ac:dyDescent="0.25">
      <c r="B38" s="250" t="s">
        <v>234</v>
      </c>
      <c r="C38" s="251"/>
      <c r="D38" s="252">
        <v>3179.8339999999998</v>
      </c>
      <c r="E38" s="252">
        <v>2217.395</v>
      </c>
      <c r="F38" s="252">
        <v>2135.5810000000001</v>
      </c>
      <c r="G38" s="252">
        <v>2244.6689999999999</v>
      </c>
      <c r="H38" s="252">
        <v>2404.277</v>
      </c>
      <c r="I38" s="252">
        <v>8049.3520000000008</v>
      </c>
      <c r="J38" s="252">
        <v>8396.902</v>
      </c>
      <c r="K38" s="252">
        <v>13333.664999999999</v>
      </c>
      <c r="L38" s="252">
        <v>13181.466</v>
      </c>
      <c r="M38" s="252">
        <v>13093.762000000001</v>
      </c>
      <c r="N38" s="252">
        <v>9960.8469999999998</v>
      </c>
      <c r="O38" s="252">
        <v>9969.7119999999995</v>
      </c>
      <c r="P38" s="252">
        <v>10001.041000000001</v>
      </c>
      <c r="Q38" s="252">
        <v>9929.0910000000003</v>
      </c>
      <c r="R38" s="252">
        <v>9967.8140000000003</v>
      </c>
      <c r="S38" s="252">
        <v>9936.3629999999994</v>
      </c>
      <c r="T38" s="252">
        <v>9935.7739999999994</v>
      </c>
      <c r="U38" s="252">
        <v>9982.360999999999</v>
      </c>
      <c r="V38" s="252">
        <v>9962.9259999999995</v>
      </c>
      <c r="W38" s="252">
        <v>10071.632</v>
      </c>
      <c r="X38" s="252">
        <v>13194.909000000001</v>
      </c>
      <c r="Y38" s="252">
        <v>13223.787</v>
      </c>
      <c r="Z38" s="252">
        <v>13224.040999999999</v>
      </c>
      <c r="AA38" s="252">
        <v>13225.833000000001</v>
      </c>
      <c r="AB38" s="252">
        <v>13230.779</v>
      </c>
      <c r="AC38" s="252">
        <v>13241.128000000001</v>
      </c>
      <c r="AD38" s="252">
        <v>13197.207</v>
      </c>
      <c r="AE38" s="252">
        <v>13213.763999999999</v>
      </c>
      <c r="AF38" s="252">
        <v>13082.958000000001</v>
      </c>
      <c r="AG38" s="252">
        <v>13054.463</v>
      </c>
      <c r="AH38" s="252">
        <v>12832.131000000001</v>
      </c>
      <c r="AI38" s="253">
        <f t="shared" si="19"/>
        <v>312675.46400000004</v>
      </c>
      <c r="AJ38" s="225">
        <f t="shared" si="15"/>
        <v>10.086305290322581</v>
      </c>
      <c r="AK38" s="176">
        <f t="shared" si="17"/>
        <v>9.6478573333333344</v>
      </c>
      <c r="AL38" s="177">
        <v>10.020112546428571</v>
      </c>
      <c r="AQ38" s="200" t="str">
        <f>'[2]ОПЕРАТИВКА пн-пн'!B43</f>
        <v>ГИС ВЫСОКОЕ,ТЕТЕРЕВКА (ПОЛЬША)</v>
      </c>
      <c r="AR38" s="151"/>
    </row>
    <row r="39" spans="1:44" s="170" customFormat="1" ht="42" customHeight="1" x14ac:dyDescent="0.25">
      <c r="B39" s="254" t="s">
        <v>235</v>
      </c>
      <c r="C39" s="255"/>
      <c r="D39" s="256">
        <f t="shared" ref="D39:AH39" si="20">D42+D40-D41</f>
        <v>27478.884453633495</v>
      </c>
      <c r="E39" s="257">
        <f t="shared" si="20"/>
        <v>27445.464915929908</v>
      </c>
      <c r="F39" s="257">
        <f t="shared" si="20"/>
        <v>27502.511999999981</v>
      </c>
      <c r="G39" s="257">
        <f t="shared" si="20"/>
        <v>27437.25699999995</v>
      </c>
      <c r="H39" s="257">
        <f t="shared" si="20"/>
        <v>29915.000999999997</v>
      </c>
      <c r="I39" s="257">
        <f t="shared" si="20"/>
        <v>35685.601999999984</v>
      </c>
      <c r="J39" s="257">
        <f t="shared" si="20"/>
        <v>33731.909</v>
      </c>
      <c r="K39" s="257">
        <f t="shared" si="20"/>
        <v>33798.259525670313</v>
      </c>
      <c r="L39" s="257">
        <f t="shared" si="20"/>
        <v>33014.679718626954</v>
      </c>
      <c r="M39" s="257">
        <f t="shared" si="20"/>
        <v>33529.334999999999</v>
      </c>
      <c r="N39" s="257">
        <f t="shared" si="20"/>
        <v>34162.036000000029</v>
      </c>
      <c r="O39" s="257">
        <f t="shared" si="20"/>
        <v>33576.958999999995</v>
      </c>
      <c r="P39" s="257">
        <f t="shared" si="20"/>
        <v>33769.631999999954</v>
      </c>
      <c r="Q39" s="257">
        <f t="shared" si="20"/>
        <v>33738.699000000008</v>
      </c>
      <c r="R39" s="257">
        <f t="shared" si="20"/>
        <v>33450.093441838202</v>
      </c>
      <c r="S39" s="257">
        <f t="shared" si="20"/>
        <v>33616.36059007977</v>
      </c>
      <c r="T39" s="257">
        <f t="shared" si="20"/>
        <v>33553.684999999998</v>
      </c>
      <c r="U39" s="257">
        <f t="shared" si="20"/>
        <v>33239.638999999981</v>
      </c>
      <c r="V39" s="257">
        <f t="shared" si="20"/>
        <v>29560.178999999989</v>
      </c>
      <c r="W39" s="257">
        <f t="shared" si="20"/>
        <v>29702.768999999997</v>
      </c>
      <c r="X39" s="257">
        <f>X42+X40-X41</f>
        <v>32880.21899999999</v>
      </c>
      <c r="Y39" s="257">
        <f t="shared" ref="Y39:Z39" si="21">Y42+Y40-Y41</f>
        <v>27478.11060040216</v>
      </c>
      <c r="Z39" s="257">
        <f t="shared" si="21"/>
        <v>22180.40321113362</v>
      </c>
      <c r="AA39" s="257">
        <f>AA42+AA40-AA41</f>
        <v>22034.464</v>
      </c>
      <c r="AB39" s="257">
        <f t="shared" si="20"/>
        <v>20890.457999999999</v>
      </c>
      <c r="AC39" s="257">
        <f t="shared" si="20"/>
        <v>27500.039000000001</v>
      </c>
      <c r="AD39" s="257">
        <f t="shared" si="20"/>
        <v>36207.010999999977</v>
      </c>
      <c r="AE39" s="257">
        <f t="shared" si="20"/>
        <v>35710.397000000004</v>
      </c>
      <c r="AF39" s="257">
        <f t="shared" si="20"/>
        <v>23285.128203489472</v>
      </c>
      <c r="AG39" s="257">
        <f t="shared" si="20"/>
        <v>8681.4987982934599</v>
      </c>
      <c r="AH39" s="257">
        <f t="shared" si="20"/>
        <v>7949.8738163294602</v>
      </c>
      <c r="AI39" s="259">
        <f t="shared" si="19"/>
        <v>902706.55927542655</v>
      </c>
      <c r="AJ39" s="225">
        <f>SUM(D39:AH39)/DAY($B$4)*0.001</f>
        <v>29.119566428239565</v>
      </c>
      <c r="AK39" s="176">
        <f t="shared" si="17"/>
        <v>30.6325800539746</v>
      </c>
      <c r="AL39" s="177">
        <v>93.447808109877542</v>
      </c>
      <c r="AR39" s="151"/>
    </row>
    <row r="40" spans="1:44" s="192" customFormat="1" ht="30" customHeight="1" x14ac:dyDescent="0.45">
      <c r="B40" s="260" t="s">
        <v>212</v>
      </c>
      <c r="C40" s="261"/>
      <c r="D40" s="262">
        <v>0</v>
      </c>
      <c r="E40" s="263">
        <v>0</v>
      </c>
      <c r="F40" s="263">
        <v>0</v>
      </c>
      <c r="G40" s="263">
        <v>0</v>
      </c>
      <c r="H40" s="263">
        <v>0</v>
      </c>
      <c r="I40" s="263">
        <v>0</v>
      </c>
      <c r="J40" s="263">
        <v>0</v>
      </c>
      <c r="K40" s="263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3">
        <v>0</v>
      </c>
      <c r="R40" s="263">
        <v>0</v>
      </c>
      <c r="S40" s="263">
        <v>0</v>
      </c>
      <c r="T40" s="263">
        <v>0</v>
      </c>
      <c r="U40" s="263">
        <v>0</v>
      </c>
      <c r="V40" s="263">
        <v>0</v>
      </c>
      <c r="W40" s="263">
        <v>0</v>
      </c>
      <c r="X40" s="263">
        <v>0</v>
      </c>
      <c r="Y40" s="264">
        <v>0</v>
      </c>
      <c r="Z40" s="263">
        <v>0</v>
      </c>
      <c r="AA40" s="263">
        <v>0</v>
      </c>
      <c r="AB40" s="263">
        <v>0</v>
      </c>
      <c r="AC40" s="263">
        <v>0</v>
      </c>
      <c r="AD40" s="263">
        <v>0</v>
      </c>
      <c r="AE40" s="263">
        <v>0</v>
      </c>
      <c r="AF40" s="263">
        <v>0</v>
      </c>
      <c r="AG40" s="263">
        <v>0</v>
      </c>
      <c r="AH40" s="263">
        <v>0</v>
      </c>
      <c r="AI40" s="265">
        <f t="shared" si="19"/>
        <v>0</v>
      </c>
      <c r="AJ40" s="225">
        <f t="shared" si="15"/>
        <v>0</v>
      </c>
      <c r="AK40" s="176">
        <f t="shared" si="17"/>
        <v>0</v>
      </c>
      <c r="AL40" s="199">
        <v>0.5760399365349661</v>
      </c>
      <c r="AQ40" s="200" t="str">
        <f>'[2]ОПЕРАТИВКА пн-пн'!B45</f>
        <v>ГИС КОНДРАТКИ - ПОДАЧА РЕСУРСАЗАКАЧКА в ПХГ</v>
      </c>
      <c r="AR40" s="151"/>
    </row>
    <row r="41" spans="1:44" s="271" customFormat="1" ht="30" customHeight="1" x14ac:dyDescent="0.45">
      <c r="A41" s="266"/>
      <c r="B41" s="267" t="s">
        <v>213</v>
      </c>
      <c r="C41" s="268"/>
      <c r="D41" s="262">
        <v>0</v>
      </c>
      <c r="E41" s="269">
        <v>0</v>
      </c>
      <c r="F41" s="269">
        <v>0</v>
      </c>
      <c r="G41" s="269">
        <v>0</v>
      </c>
      <c r="H41" s="263">
        <v>0</v>
      </c>
      <c r="I41" s="263">
        <v>0</v>
      </c>
      <c r="J41" s="263">
        <v>0</v>
      </c>
      <c r="K41" s="263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3">
        <v>0</v>
      </c>
      <c r="R41" s="263">
        <v>0</v>
      </c>
      <c r="S41" s="263">
        <v>0</v>
      </c>
      <c r="T41" s="263">
        <v>0</v>
      </c>
      <c r="U41" s="263">
        <v>0</v>
      </c>
      <c r="V41" s="263">
        <v>0</v>
      </c>
      <c r="W41" s="263">
        <v>0</v>
      </c>
      <c r="X41" s="263">
        <v>0</v>
      </c>
      <c r="Y41" s="263">
        <v>0</v>
      </c>
      <c r="Z41" s="263">
        <v>0</v>
      </c>
      <c r="AA41" s="263">
        <v>0</v>
      </c>
      <c r="AB41" s="263">
        <v>0</v>
      </c>
      <c r="AC41" s="263">
        <v>0</v>
      </c>
      <c r="AD41" s="263">
        <v>0</v>
      </c>
      <c r="AE41" s="263">
        <v>0</v>
      </c>
      <c r="AF41" s="263">
        <v>0</v>
      </c>
      <c r="AG41" s="263">
        <v>0</v>
      </c>
      <c r="AH41" s="263">
        <v>0</v>
      </c>
      <c r="AI41" s="270">
        <f t="shared" si="19"/>
        <v>0</v>
      </c>
      <c r="AJ41" s="225">
        <f t="shared" si="15"/>
        <v>0</v>
      </c>
      <c r="AK41" s="176">
        <f t="shared" si="17"/>
        <v>0</v>
      </c>
      <c r="AL41" s="199">
        <v>14.260343110714285</v>
      </c>
      <c r="AQ41" s="200" t="str">
        <f>'[2]ОПЕРАТИВКА пн-пн'!B46</f>
        <v>ГИС КОНДРАТКИ - ПОДАЧА РЕСУРСАОТБОР из ПХГ</v>
      </c>
      <c r="AR41" s="151"/>
    </row>
    <row r="42" spans="1:44" s="156" customFormat="1" ht="30" customHeight="1" x14ac:dyDescent="0.45">
      <c r="B42" s="260" t="s">
        <v>214</v>
      </c>
      <c r="C42" s="261"/>
      <c r="D42" s="272">
        <f t="shared" ref="D42:AH42" si="22">SUM(D43:D56)</f>
        <v>27478.884453633495</v>
      </c>
      <c r="E42" s="273">
        <f t="shared" si="22"/>
        <v>27445.464915929908</v>
      </c>
      <c r="F42" s="273">
        <f t="shared" si="22"/>
        <v>27502.511999999981</v>
      </c>
      <c r="G42" s="273">
        <f t="shared" si="22"/>
        <v>27437.25699999995</v>
      </c>
      <c r="H42" s="273">
        <f t="shared" si="22"/>
        <v>29915.000999999997</v>
      </c>
      <c r="I42" s="273">
        <f t="shared" si="22"/>
        <v>35685.601999999984</v>
      </c>
      <c r="J42" s="273">
        <f t="shared" si="22"/>
        <v>33731.909</v>
      </c>
      <c r="K42" s="273">
        <f t="shared" si="22"/>
        <v>33798.259525670313</v>
      </c>
      <c r="L42" s="273">
        <f t="shared" si="22"/>
        <v>33014.679718626954</v>
      </c>
      <c r="M42" s="273">
        <f t="shared" si="22"/>
        <v>33529.334999999999</v>
      </c>
      <c r="N42" s="273">
        <f t="shared" si="22"/>
        <v>34162.036000000029</v>
      </c>
      <c r="O42" s="273">
        <f t="shared" si="22"/>
        <v>33576.958999999995</v>
      </c>
      <c r="P42" s="273">
        <f t="shared" si="22"/>
        <v>33769.631999999954</v>
      </c>
      <c r="Q42" s="273">
        <f t="shared" si="22"/>
        <v>33738.699000000008</v>
      </c>
      <c r="R42" s="273">
        <f t="shared" si="22"/>
        <v>33450.093441838202</v>
      </c>
      <c r="S42" s="273">
        <f t="shared" si="22"/>
        <v>33616.36059007977</v>
      </c>
      <c r="T42" s="273">
        <f t="shared" si="22"/>
        <v>33553.684999999998</v>
      </c>
      <c r="U42" s="273">
        <f t="shared" si="22"/>
        <v>33239.638999999981</v>
      </c>
      <c r="V42" s="273">
        <f t="shared" si="22"/>
        <v>29560.178999999989</v>
      </c>
      <c r="W42" s="273">
        <f t="shared" si="22"/>
        <v>29702.768999999997</v>
      </c>
      <c r="X42" s="273">
        <f t="shared" si="22"/>
        <v>32880.21899999999</v>
      </c>
      <c r="Y42" s="273">
        <f t="shared" si="22"/>
        <v>27478.11060040216</v>
      </c>
      <c r="Z42" s="273">
        <f t="shared" si="22"/>
        <v>22180.40321113362</v>
      </c>
      <c r="AA42" s="273">
        <f t="shared" si="22"/>
        <v>22034.464</v>
      </c>
      <c r="AB42" s="273">
        <f t="shared" si="22"/>
        <v>20890.457999999999</v>
      </c>
      <c r="AC42" s="273">
        <f t="shared" si="22"/>
        <v>27500.039000000001</v>
      </c>
      <c r="AD42" s="273">
        <f t="shared" si="22"/>
        <v>36207.010999999977</v>
      </c>
      <c r="AE42" s="273">
        <f t="shared" si="22"/>
        <v>35710.397000000004</v>
      </c>
      <c r="AF42" s="273">
        <f t="shared" si="22"/>
        <v>23285.128203489472</v>
      </c>
      <c r="AG42" s="273">
        <f t="shared" si="22"/>
        <v>8681.4987982934599</v>
      </c>
      <c r="AH42" s="273">
        <f t="shared" si="22"/>
        <v>7949.8738163294602</v>
      </c>
      <c r="AI42" s="275">
        <f t="shared" si="19"/>
        <v>902706.55927542655</v>
      </c>
      <c r="AJ42" s="225">
        <f t="shared" si="15"/>
        <v>29.119566428239565</v>
      </c>
      <c r="AK42" s="176">
        <f t="shared" si="17"/>
        <v>30.6325800539746</v>
      </c>
      <c r="AL42" s="199">
        <v>107.13211128405689</v>
      </c>
      <c r="AQ42" s="221"/>
      <c r="AR42" s="151"/>
    </row>
    <row r="43" spans="1:44" s="192" customFormat="1" ht="30" customHeight="1" x14ac:dyDescent="0.35">
      <c r="B43" s="260" t="s">
        <v>236</v>
      </c>
      <c r="C43" s="261"/>
      <c r="D43" s="262">
        <v>3090.7800554723203</v>
      </c>
      <c r="E43" s="263">
        <v>2862.1829807929903</v>
      </c>
      <c r="F43" s="263">
        <v>2348.5293175772499</v>
      </c>
      <c r="G43" s="263">
        <v>2443.9942566436098</v>
      </c>
      <c r="H43" s="263">
        <v>5204.8677495695601</v>
      </c>
      <c r="I43" s="263">
        <v>11889.4654961378</v>
      </c>
      <c r="J43" s="263">
        <v>7246.3952477478206</v>
      </c>
      <c r="K43" s="263">
        <v>8689.33820316114</v>
      </c>
      <c r="L43" s="263">
        <v>8693.3803246488806</v>
      </c>
      <c r="M43" s="263">
        <v>8399.1371609448906</v>
      </c>
      <c r="N43" s="263">
        <v>8961.4083076922998</v>
      </c>
      <c r="O43" s="263">
        <v>8701.9545008590703</v>
      </c>
      <c r="P43" s="263">
        <v>8748.4022339854091</v>
      </c>
      <c r="Q43" s="263">
        <v>8814.6521586761701</v>
      </c>
      <c r="R43" s="263">
        <v>8730.3571086644406</v>
      </c>
      <c r="S43" s="263">
        <v>8729.1549477816188</v>
      </c>
      <c r="T43" s="263">
        <v>8792.7793691303505</v>
      </c>
      <c r="U43" s="263">
        <v>9212.2664059178387</v>
      </c>
      <c r="V43" s="263">
        <v>8784.2736088288893</v>
      </c>
      <c r="W43" s="263">
        <v>8592.6969900411896</v>
      </c>
      <c r="X43" s="263">
        <v>8179.8671853873493</v>
      </c>
      <c r="Y43" s="263">
        <v>8725.1845255194803</v>
      </c>
      <c r="Z43" s="263">
        <v>8719.8423161019491</v>
      </c>
      <c r="AA43" s="263">
        <v>8593.1220566885695</v>
      </c>
      <c r="AB43" s="263">
        <v>7591.9421601483</v>
      </c>
      <c r="AC43" s="263">
        <v>9153.187144596799</v>
      </c>
      <c r="AD43" s="263">
        <v>11105.598804741599</v>
      </c>
      <c r="AE43" s="263">
        <v>10405.346008702301</v>
      </c>
      <c r="AF43" s="263">
        <v>8701.5363328433505</v>
      </c>
      <c r="AG43" s="263">
        <v>8681.4987982934599</v>
      </c>
      <c r="AH43" s="263">
        <v>7949.8738163294602</v>
      </c>
      <c r="AI43" s="265">
        <f t="shared" si="19"/>
        <v>246743.01557362615</v>
      </c>
      <c r="AJ43" s="225">
        <f t="shared" si="15"/>
        <v>7.9594521152782631</v>
      </c>
      <c r="AK43" s="176">
        <f t="shared" si="17"/>
        <v>7.8149911339799099</v>
      </c>
      <c r="AL43" s="223">
        <v>4.6719078234102298</v>
      </c>
      <c r="AM43" s="276"/>
      <c r="AQ43" s="200" t="str">
        <f>'[2]ОПЕРАТИВКА пн-пн'!B48</f>
        <v>ГИС КОНДРАТКИ - ПОДАЧА РЕСУРСАПОЛЬША</v>
      </c>
      <c r="AR43" s="151"/>
    </row>
    <row r="44" spans="1:44" s="192" customFormat="1" ht="30" customHeight="1" x14ac:dyDescent="0.35">
      <c r="B44" s="260" t="s">
        <v>220</v>
      </c>
      <c r="C44" s="261"/>
      <c r="D44" s="262">
        <v>6750.4507813026403</v>
      </c>
      <c r="E44" s="263">
        <v>6672.75241503299</v>
      </c>
      <c r="F44" s="263">
        <v>6757.42781171556</v>
      </c>
      <c r="G44" s="263">
        <v>7191.1736709152701</v>
      </c>
      <c r="H44" s="263">
        <v>9242.1946623301992</v>
      </c>
      <c r="I44" s="263">
        <v>13112.894274075901</v>
      </c>
      <c r="J44" s="263">
        <v>12868.228805586999</v>
      </c>
      <c r="K44" s="263">
        <v>13474.244469608801</v>
      </c>
      <c r="L44" s="263">
        <v>13427.330261970701</v>
      </c>
      <c r="M44" s="263">
        <v>13536.5014733715</v>
      </c>
      <c r="N44" s="263">
        <v>13640.0598761239</v>
      </c>
      <c r="O44" s="263">
        <v>12381.6256043473</v>
      </c>
      <c r="P44" s="263">
        <v>13538.0688530878</v>
      </c>
      <c r="Q44" s="263">
        <v>13523.1535035203</v>
      </c>
      <c r="R44" s="263">
        <v>13335.0269028243</v>
      </c>
      <c r="S44" s="263">
        <v>13528.3803125923</v>
      </c>
      <c r="T44" s="263">
        <v>13529.670095031401</v>
      </c>
      <c r="U44" s="263">
        <v>12721.8829838169</v>
      </c>
      <c r="V44" s="263">
        <v>3963.8600019151504</v>
      </c>
      <c r="W44" s="263">
        <v>3858.4410609977899</v>
      </c>
      <c r="X44" s="263">
        <v>3825.9155415110604</v>
      </c>
      <c r="Y44" s="263">
        <v>3337.4714162596902</v>
      </c>
      <c r="Z44" s="263">
        <v>1812.3137079655901</v>
      </c>
      <c r="AA44" s="263">
        <v>1751.8224152106102</v>
      </c>
      <c r="AB44" s="263">
        <v>1577.98115996452</v>
      </c>
      <c r="AC44" s="263">
        <v>3370.8512800843801</v>
      </c>
      <c r="AD44" s="263">
        <v>3354.4862921204599</v>
      </c>
      <c r="AE44" s="263">
        <v>3428.1065375302601</v>
      </c>
      <c r="AF44" s="263">
        <v>1976.44935131334</v>
      </c>
      <c r="AG44" s="263">
        <v>0</v>
      </c>
      <c r="AH44" s="263">
        <v>0</v>
      </c>
      <c r="AI44" s="265">
        <f t="shared" si="19"/>
        <v>241488.76552212756</v>
      </c>
      <c r="AJ44" s="225">
        <f t="shared" si="15"/>
        <v>7.789960178133148</v>
      </c>
      <c r="AK44" s="176">
        <f t="shared" si="17"/>
        <v>8.743859616047553</v>
      </c>
      <c r="AL44" s="223">
        <v>38.431965187422279</v>
      </c>
      <c r="AM44" s="276"/>
      <c r="AQ44" s="200" t="str">
        <f>'[2]ОПЕРАТИВКА пн-пн'!B49</f>
        <v>ГИС КОНДРАТКИ - ПОДАЧА РЕСУРСАГЕРМАНИЯ</v>
      </c>
      <c r="AR44" s="151"/>
    </row>
    <row r="45" spans="1:44" s="192" customFormat="1" ht="30" customHeight="1" x14ac:dyDescent="0.35">
      <c r="B45" s="260" t="s">
        <v>237</v>
      </c>
      <c r="C45" s="261"/>
      <c r="D45" s="262">
        <v>0</v>
      </c>
      <c r="E45" s="263">
        <v>0</v>
      </c>
      <c r="F45" s="263">
        <v>0</v>
      </c>
      <c r="G45" s="263">
        <v>0</v>
      </c>
      <c r="H45" s="263">
        <v>0</v>
      </c>
      <c r="I45" s="263">
        <v>0</v>
      </c>
      <c r="J45" s="263">
        <v>0</v>
      </c>
      <c r="K45" s="263">
        <v>0</v>
      </c>
      <c r="L45" s="263">
        <v>0</v>
      </c>
      <c r="M45" s="263">
        <v>0</v>
      </c>
      <c r="N45" s="263">
        <v>0</v>
      </c>
      <c r="O45" s="263">
        <v>0</v>
      </c>
      <c r="P45" s="263">
        <v>0</v>
      </c>
      <c r="Q45" s="263">
        <v>0</v>
      </c>
      <c r="R45" s="263">
        <v>0</v>
      </c>
      <c r="S45" s="263">
        <v>0</v>
      </c>
      <c r="T45" s="263">
        <v>0</v>
      </c>
      <c r="U45" s="263">
        <v>0</v>
      </c>
      <c r="V45" s="263">
        <v>0</v>
      </c>
      <c r="W45" s="263">
        <v>0</v>
      </c>
      <c r="X45" s="263">
        <v>0</v>
      </c>
      <c r="Y45" s="263">
        <v>0</v>
      </c>
      <c r="Z45" s="263">
        <v>0</v>
      </c>
      <c r="AA45" s="263">
        <v>0</v>
      </c>
      <c r="AB45" s="263">
        <v>0</v>
      </c>
      <c r="AC45" s="263">
        <v>0</v>
      </c>
      <c r="AD45" s="263">
        <v>0</v>
      </c>
      <c r="AE45" s="263">
        <v>0</v>
      </c>
      <c r="AF45" s="263">
        <v>0</v>
      </c>
      <c r="AG45" s="263">
        <v>0</v>
      </c>
      <c r="AH45" s="263">
        <v>0</v>
      </c>
      <c r="AI45" s="265">
        <f t="shared" si="19"/>
        <v>0</v>
      </c>
      <c r="AJ45" s="225">
        <f t="shared" si="15"/>
        <v>0</v>
      </c>
      <c r="AK45" s="176">
        <f t="shared" si="17"/>
        <v>0</v>
      </c>
      <c r="AL45" s="223">
        <v>0</v>
      </c>
      <c r="AM45" s="276"/>
      <c r="AQ45" s="200" t="str">
        <f>'[2]ОПЕРАТИВКА пн-пн'!B50</f>
        <v>ГИС КОНДРАТКИ - ПОДАЧА РЕСУРСАБЕЛЬГИЯ</v>
      </c>
      <c r="AR45" s="151"/>
    </row>
    <row r="46" spans="1:44" s="192" customFormat="1" ht="30" customHeight="1" x14ac:dyDescent="0.35">
      <c r="B46" s="260" t="s">
        <v>223</v>
      </c>
      <c r="C46" s="261"/>
      <c r="D46" s="262">
        <v>4162.2252685943795</v>
      </c>
      <c r="E46" s="263">
        <v>4163.7186162027701</v>
      </c>
      <c r="F46" s="263">
        <v>4164.0506167622207</v>
      </c>
      <c r="G46" s="263">
        <v>4163.6190263581693</v>
      </c>
      <c r="H46" s="263">
        <v>4162.8888463745898</v>
      </c>
      <c r="I46" s="263">
        <v>4162.9220308177901</v>
      </c>
      <c r="J46" s="263">
        <v>4163.3534767288002</v>
      </c>
      <c r="K46" s="263">
        <v>4233.4493373100104</v>
      </c>
      <c r="L46" s="263">
        <v>4238.68862930463</v>
      </c>
      <c r="M46" s="263">
        <v>3939.2118061378501</v>
      </c>
      <c r="N46" s="263">
        <v>4543.0748451548498</v>
      </c>
      <c r="O46" s="263">
        <v>4242.3469053422305</v>
      </c>
      <c r="P46" s="263">
        <v>4242.3130034522501</v>
      </c>
      <c r="Q46" s="263">
        <v>4237.6397337037197</v>
      </c>
      <c r="R46" s="263">
        <v>4235.40832934419</v>
      </c>
      <c r="S46" s="263">
        <v>4235.4421209679394</v>
      </c>
      <c r="T46" s="263">
        <v>4235.8476625148596</v>
      </c>
      <c r="U46" s="263">
        <v>4236.2194771617296</v>
      </c>
      <c r="V46" s="263">
        <v>4236.2194771617296</v>
      </c>
      <c r="W46" s="263">
        <v>4236.2194771617296</v>
      </c>
      <c r="X46" s="263">
        <v>4236.2194771617296</v>
      </c>
      <c r="Y46" s="263">
        <v>4167.2737719046199</v>
      </c>
      <c r="Z46" s="263">
        <v>4167.3402812135892</v>
      </c>
      <c r="AA46" s="263">
        <v>4168.4379913953398</v>
      </c>
      <c r="AB46" s="263">
        <v>4172.5012184501293</v>
      </c>
      <c r="AC46" s="263">
        <v>4172.8679643302303</v>
      </c>
      <c r="AD46" s="263">
        <v>4172.9013080617196</v>
      </c>
      <c r="AE46" s="263">
        <v>4173.1680770982703</v>
      </c>
      <c r="AF46" s="263">
        <v>4171.93455614495</v>
      </c>
      <c r="AG46" s="263">
        <v>0</v>
      </c>
      <c r="AH46" s="263">
        <v>0</v>
      </c>
      <c r="AI46" s="265">
        <f t="shared" si="19"/>
        <v>121837.50333231702</v>
      </c>
      <c r="AJ46" s="225">
        <f t="shared" si="15"/>
        <v>3.9302420429779685</v>
      </c>
      <c r="AK46" s="176">
        <f t="shared" si="17"/>
        <v>4.2034222481138448</v>
      </c>
      <c r="AL46" s="223">
        <v>22.980795510748109</v>
      </c>
      <c r="AM46" s="276"/>
      <c r="AQ46" s="200" t="str">
        <f>'[2]ОПЕРАТИВКА пн-пн'!B51</f>
        <v>ГИС КОНДРАТКИ - ПОДАЧА РЕСУРСАНИДЕРЛАНДЫ</v>
      </c>
      <c r="AR46" s="151"/>
    </row>
    <row r="47" spans="1:44" s="192" customFormat="1" ht="30" customHeight="1" x14ac:dyDescent="0.35">
      <c r="B47" s="260" t="s">
        <v>238</v>
      </c>
      <c r="C47" s="261"/>
      <c r="D47" s="262">
        <v>0</v>
      </c>
      <c r="E47" s="263">
        <v>0</v>
      </c>
      <c r="F47" s="263">
        <v>0</v>
      </c>
      <c r="G47" s="263">
        <v>0</v>
      </c>
      <c r="H47" s="263">
        <v>0</v>
      </c>
      <c r="I47" s="263">
        <v>0</v>
      </c>
      <c r="J47" s="263">
        <v>0</v>
      </c>
      <c r="K47" s="263">
        <v>0</v>
      </c>
      <c r="L47" s="263">
        <v>0</v>
      </c>
      <c r="M47" s="263">
        <v>0</v>
      </c>
      <c r="N47" s="263">
        <v>0</v>
      </c>
      <c r="O47" s="263">
        <v>0</v>
      </c>
      <c r="P47" s="263">
        <v>0</v>
      </c>
      <c r="Q47" s="263">
        <v>0</v>
      </c>
      <c r="R47" s="263">
        <v>0</v>
      </c>
      <c r="S47" s="263">
        <v>0</v>
      </c>
      <c r="T47" s="263">
        <v>0</v>
      </c>
      <c r="U47" s="263">
        <v>0</v>
      </c>
      <c r="V47" s="263">
        <v>0</v>
      </c>
      <c r="W47" s="263">
        <v>0</v>
      </c>
      <c r="X47" s="263">
        <v>0</v>
      </c>
      <c r="Y47" s="263">
        <v>0</v>
      </c>
      <c r="Z47" s="263">
        <v>0</v>
      </c>
      <c r="AA47" s="263">
        <v>0</v>
      </c>
      <c r="AB47" s="263">
        <v>0</v>
      </c>
      <c r="AC47" s="263">
        <v>0</v>
      </c>
      <c r="AD47" s="263">
        <v>0</v>
      </c>
      <c r="AE47" s="263">
        <v>0</v>
      </c>
      <c r="AF47" s="263">
        <v>0</v>
      </c>
      <c r="AG47" s="263">
        <v>0</v>
      </c>
      <c r="AH47" s="263">
        <v>0</v>
      </c>
      <c r="AI47" s="265">
        <f t="shared" si="19"/>
        <v>0</v>
      </c>
      <c r="AJ47" s="225">
        <f t="shared" si="15"/>
        <v>0</v>
      </c>
      <c r="AK47" s="176">
        <f t="shared" si="17"/>
        <v>0</v>
      </c>
      <c r="AL47" s="223">
        <v>16.515393180365518</v>
      </c>
      <c r="AM47" s="276"/>
      <c r="AQ47" s="200" t="str">
        <f>'[2]ОПЕРАТИВКА пн-пн'!B52</f>
        <v>ГИС КОНДРАТКИ - ПОДАЧА РЕСУРСАВЕЛИКОБРИТАНИЯ</v>
      </c>
      <c r="AR47" s="151"/>
    </row>
    <row r="48" spans="1:44" s="192" customFormat="1" ht="30" customHeight="1" x14ac:dyDescent="0.35">
      <c r="B48" s="260" t="s">
        <v>239</v>
      </c>
      <c r="C48" s="261"/>
      <c r="D48" s="262">
        <v>0</v>
      </c>
      <c r="E48" s="263">
        <v>0</v>
      </c>
      <c r="F48" s="263">
        <v>0</v>
      </c>
      <c r="G48" s="263">
        <v>0</v>
      </c>
      <c r="H48" s="263">
        <v>0</v>
      </c>
      <c r="I48" s="263">
        <v>0</v>
      </c>
      <c r="J48" s="263">
        <v>0</v>
      </c>
      <c r="K48" s="263">
        <v>0</v>
      </c>
      <c r="L48" s="263">
        <v>0</v>
      </c>
      <c r="M48" s="263">
        <v>0</v>
      </c>
      <c r="N48" s="263">
        <v>0</v>
      </c>
      <c r="O48" s="263">
        <v>0</v>
      </c>
      <c r="P48" s="263">
        <v>0</v>
      </c>
      <c r="Q48" s="263">
        <v>0</v>
      </c>
      <c r="R48" s="263">
        <v>0</v>
      </c>
      <c r="S48" s="263">
        <v>0</v>
      </c>
      <c r="T48" s="263">
        <v>0</v>
      </c>
      <c r="U48" s="263">
        <v>0</v>
      </c>
      <c r="V48" s="263">
        <v>0</v>
      </c>
      <c r="W48" s="263">
        <v>0</v>
      </c>
      <c r="X48" s="263">
        <v>0</v>
      </c>
      <c r="Y48" s="263">
        <v>0</v>
      </c>
      <c r="Z48" s="263">
        <v>0</v>
      </c>
      <c r="AA48" s="263">
        <v>0</v>
      </c>
      <c r="AB48" s="263">
        <v>0</v>
      </c>
      <c r="AC48" s="263">
        <v>0</v>
      </c>
      <c r="AD48" s="263">
        <v>0</v>
      </c>
      <c r="AE48" s="263">
        <v>0</v>
      </c>
      <c r="AF48" s="263">
        <v>0</v>
      </c>
      <c r="AG48" s="263">
        <v>0</v>
      </c>
      <c r="AH48" s="263">
        <v>0</v>
      </c>
      <c r="AI48" s="265">
        <f t="shared" si="19"/>
        <v>0</v>
      </c>
      <c r="AJ48" s="225">
        <f t="shared" si="15"/>
        <v>0</v>
      </c>
      <c r="AK48" s="176">
        <f t="shared" si="17"/>
        <v>0</v>
      </c>
      <c r="AL48" s="223">
        <v>2.7142099321428566</v>
      </c>
      <c r="AM48" s="276"/>
      <c r="AQ48" s="200" t="str">
        <f>'[2]ОПЕРАТИВКА пн-пн'!B53</f>
        <v>ГИС КОНДРАТКИ - ПОДАЧА РЕСУРСАДАНИЯ</v>
      </c>
      <c r="AR48" s="151"/>
    </row>
    <row r="49" spans="2:44" s="192" customFormat="1" ht="30" customHeight="1" x14ac:dyDescent="0.35">
      <c r="B49" s="260" t="s">
        <v>240</v>
      </c>
      <c r="C49" s="261"/>
      <c r="D49" s="262">
        <v>-2.2204460492503101E-13</v>
      </c>
      <c r="E49" s="263">
        <v>0</v>
      </c>
      <c r="F49" s="263">
        <v>-2.2204460492503101E-13</v>
      </c>
      <c r="G49" s="263">
        <v>-2.2204460492503101E-13</v>
      </c>
      <c r="H49" s="263">
        <v>0</v>
      </c>
      <c r="I49" s="263">
        <v>0</v>
      </c>
      <c r="J49" s="263">
        <v>0</v>
      </c>
      <c r="K49" s="263">
        <v>-2.2204460492503101E-13</v>
      </c>
      <c r="L49" s="263">
        <v>-2.2204460492503101E-13</v>
      </c>
      <c r="M49" s="263">
        <v>-2.2204460492503101E-13</v>
      </c>
      <c r="N49" s="263">
        <v>-2.2204460492503101E-13</v>
      </c>
      <c r="O49" s="263">
        <v>-2.2204460492503101E-13</v>
      </c>
      <c r="P49" s="263">
        <v>-2.2204460492503101E-13</v>
      </c>
      <c r="Q49" s="263">
        <v>-2.2204460492503101E-13</v>
      </c>
      <c r="R49" s="263">
        <v>-2.2204460492503101E-13</v>
      </c>
      <c r="S49" s="263">
        <v>-2.2204460492503101E-13</v>
      </c>
      <c r="T49" s="263">
        <v>-2.2204460492503101E-13</v>
      </c>
      <c r="U49" s="263">
        <v>-2.2204460492503101E-13</v>
      </c>
      <c r="V49" s="263">
        <v>-2.2204460492503101E-13</v>
      </c>
      <c r="W49" s="263">
        <v>-2.2204460492503101E-13</v>
      </c>
      <c r="X49" s="263">
        <v>-2.2204460492503101E-13</v>
      </c>
      <c r="Y49" s="263">
        <v>-2.2204460492503101E-13</v>
      </c>
      <c r="Z49" s="263">
        <v>-2.2204460492503101E-13</v>
      </c>
      <c r="AA49" s="263">
        <v>-2.2204460492503101E-13</v>
      </c>
      <c r="AB49" s="263">
        <v>-2.2204460492503101E-13</v>
      </c>
      <c r="AC49" s="263">
        <v>-2.2204460492503101E-13</v>
      </c>
      <c r="AD49" s="263">
        <v>-2.2204460492503101E-13</v>
      </c>
      <c r="AE49" s="263">
        <v>-2.2204460492503101E-13</v>
      </c>
      <c r="AF49" s="263">
        <v>-2.2204460492503101E-13</v>
      </c>
      <c r="AG49" s="263">
        <v>0</v>
      </c>
      <c r="AH49" s="263">
        <v>0</v>
      </c>
      <c r="AI49" s="265">
        <f t="shared" si="19"/>
        <v>-5.5511151231257762E-12</v>
      </c>
      <c r="AJ49" s="225">
        <f t="shared" si="15"/>
        <v>-1.7906822977825085E-16</v>
      </c>
      <c r="AK49" s="176">
        <f t="shared" si="17"/>
        <v>-1.8914910789910052E-16</v>
      </c>
      <c r="AL49" s="223">
        <v>0</v>
      </c>
      <c r="AM49" s="276"/>
      <c r="AQ49" s="200" t="str">
        <f>'[2]ОПЕРАТИВКА пн-пн'!B54</f>
        <v>ГИС КОНДРАТКИ - ПОДАЧА РЕСУРСАШBEЙЦAPИЯ</v>
      </c>
      <c r="AR49" s="151"/>
    </row>
    <row r="50" spans="2:44" s="192" customFormat="1" ht="30" customHeight="1" x14ac:dyDescent="0.35">
      <c r="B50" s="260" t="s">
        <v>241</v>
      </c>
      <c r="C50" s="261"/>
      <c r="D50" s="262">
        <v>7.1054273576010002E-12</v>
      </c>
      <c r="E50" s="263">
        <v>0</v>
      </c>
      <c r="F50" s="263">
        <v>0</v>
      </c>
      <c r="G50" s="263">
        <v>0</v>
      </c>
      <c r="H50" s="263">
        <v>0</v>
      </c>
      <c r="I50" s="263">
        <v>0</v>
      </c>
      <c r="J50" s="263">
        <v>0</v>
      </c>
      <c r="K50" s="263">
        <v>0</v>
      </c>
      <c r="L50" s="263">
        <v>0</v>
      </c>
      <c r="M50" s="263">
        <v>0</v>
      </c>
      <c r="N50" s="263">
        <v>0</v>
      </c>
      <c r="O50" s="263">
        <v>0</v>
      </c>
      <c r="P50" s="263">
        <v>0</v>
      </c>
      <c r="Q50" s="263">
        <v>0</v>
      </c>
      <c r="R50" s="263">
        <v>0</v>
      </c>
      <c r="S50" s="263">
        <v>0</v>
      </c>
      <c r="T50" s="263">
        <v>0</v>
      </c>
      <c r="U50" s="263">
        <v>0</v>
      </c>
      <c r="V50" s="263">
        <v>0</v>
      </c>
      <c r="W50" s="263">
        <v>0</v>
      </c>
      <c r="X50" s="263">
        <v>0</v>
      </c>
      <c r="Y50" s="263">
        <v>0</v>
      </c>
      <c r="Z50" s="263">
        <v>0</v>
      </c>
      <c r="AA50" s="263">
        <v>0</v>
      </c>
      <c r="AB50" s="263">
        <v>0</v>
      </c>
      <c r="AC50" s="263">
        <v>0</v>
      </c>
      <c r="AD50" s="263">
        <v>0</v>
      </c>
      <c r="AE50" s="263">
        <v>0</v>
      </c>
      <c r="AF50" s="263">
        <v>0</v>
      </c>
      <c r="AG50" s="263">
        <v>0</v>
      </c>
      <c r="AH50" s="263">
        <v>0</v>
      </c>
      <c r="AI50" s="265">
        <f t="shared" si="19"/>
        <v>7.1054273576010002E-12</v>
      </c>
      <c r="AJ50" s="225">
        <f t="shared" si="15"/>
        <v>2.2920733411616129E-16</v>
      </c>
      <c r="AK50" s="176">
        <f t="shared" si="17"/>
        <v>2.6316397620744445E-16</v>
      </c>
      <c r="AL50" s="223">
        <v>9.8563130068073459</v>
      </c>
      <c r="AM50" s="276"/>
      <c r="AQ50" s="200" t="str">
        <f>'[2]ОПЕРАТИВКА пн-пн'!B55</f>
        <v>ГИС КОНДРАТКИ - ПОДАЧА РЕСУРСАФPAHЦИЯ</v>
      </c>
      <c r="AR50" s="151"/>
    </row>
    <row r="51" spans="2:44" s="192" customFormat="1" ht="30" customHeight="1" x14ac:dyDescent="0.35">
      <c r="B51" s="260" t="s">
        <v>242</v>
      </c>
      <c r="C51" s="261"/>
      <c r="D51" s="262">
        <v>10147.089648356599</v>
      </c>
      <c r="E51" s="263">
        <v>10417.2780431021</v>
      </c>
      <c r="F51" s="263">
        <v>10902.705907681</v>
      </c>
      <c r="G51" s="263">
        <v>10309.0168226683</v>
      </c>
      <c r="H51" s="263">
        <v>7976.1804094126592</v>
      </c>
      <c r="I51" s="263">
        <v>3191.4243305937998</v>
      </c>
      <c r="J51" s="263">
        <v>6124.69059425674</v>
      </c>
      <c r="K51" s="263">
        <v>4071.0308617362302</v>
      </c>
      <c r="L51" s="263">
        <v>3320.9624170612301</v>
      </c>
      <c r="M51" s="263">
        <v>4319.63393306341</v>
      </c>
      <c r="N51" s="263">
        <v>3680.03043356644</v>
      </c>
      <c r="O51" s="263">
        <v>4913.8361609461799</v>
      </c>
      <c r="P51" s="263">
        <v>3903.6787495205199</v>
      </c>
      <c r="Q51" s="263">
        <v>3829.7606207193899</v>
      </c>
      <c r="R51" s="263">
        <v>3817.5634274772601</v>
      </c>
      <c r="S51" s="263">
        <v>3791.6189533983902</v>
      </c>
      <c r="T51" s="263">
        <v>3663.3046031581398</v>
      </c>
      <c r="U51" s="263">
        <v>3736.8943790098597</v>
      </c>
      <c r="V51" s="263">
        <v>9243.4501580005708</v>
      </c>
      <c r="W51" s="263">
        <v>9683.0357177056394</v>
      </c>
      <c r="X51" s="263">
        <v>13305.841041846201</v>
      </c>
      <c r="Y51" s="263">
        <v>7915.8051326247196</v>
      </c>
      <c r="Z51" s="263">
        <v>4148.4779673460198</v>
      </c>
      <c r="AA51" s="263">
        <v>4187.7748102266105</v>
      </c>
      <c r="AB51" s="263">
        <v>4211.4775605429904</v>
      </c>
      <c r="AC51" s="263">
        <v>7466.2834404065597</v>
      </c>
      <c r="AD51" s="263">
        <v>14237.148761057</v>
      </c>
      <c r="AE51" s="263">
        <v>14366.6872198116</v>
      </c>
      <c r="AF51" s="263">
        <v>5099.1051958841908</v>
      </c>
      <c r="AG51" s="263">
        <v>0</v>
      </c>
      <c r="AH51" s="263">
        <v>0</v>
      </c>
      <c r="AI51" s="265">
        <f t="shared" si="19"/>
        <v>195981.78730118036</v>
      </c>
      <c r="AJ51" s="225">
        <f t="shared" si="15"/>
        <v>6.3219931387477537</v>
      </c>
      <c r="AK51" s="176">
        <f t="shared" si="17"/>
        <v>6.5376294402031325</v>
      </c>
      <c r="AL51" s="223">
        <v>1.8986633250000002</v>
      </c>
      <c r="AM51" s="276"/>
      <c r="AQ51" s="200" t="str">
        <f>'[2]ОПЕРАТИВКА пн-пн'!B56</f>
        <v>ГИС КОНДРАТКИ - ПОДАЧА РЕСУРСАИТАЛИЯ</v>
      </c>
      <c r="AR51" s="151"/>
    </row>
    <row r="52" spans="2:44" s="192" customFormat="1" ht="30" customHeight="1" x14ac:dyDescent="0.35">
      <c r="B52" s="260" t="s">
        <v>243</v>
      </c>
      <c r="C52" s="261"/>
      <c r="D52" s="262">
        <v>3328.3386999075501</v>
      </c>
      <c r="E52" s="263">
        <v>3329.53286079906</v>
      </c>
      <c r="F52" s="263">
        <v>3329.7983462639504</v>
      </c>
      <c r="G52" s="263">
        <v>3329.4532234146</v>
      </c>
      <c r="H52" s="263">
        <v>3328.8693323129901</v>
      </c>
      <c r="I52" s="263">
        <v>3328.8958683746901</v>
      </c>
      <c r="J52" s="263">
        <v>3329.2408756796399</v>
      </c>
      <c r="K52" s="263">
        <v>3330.1966538541301</v>
      </c>
      <c r="L52" s="263">
        <v>3334.3180856415102</v>
      </c>
      <c r="M52" s="263">
        <v>3334.85062648235</v>
      </c>
      <c r="N52" s="263">
        <v>3337.4625374625402</v>
      </c>
      <c r="O52" s="263">
        <v>3337.1958285052201</v>
      </c>
      <c r="P52" s="263">
        <v>3337.1691599539699</v>
      </c>
      <c r="Q52" s="263">
        <v>3333.4929833804299</v>
      </c>
      <c r="R52" s="263">
        <v>3331.7376735280104</v>
      </c>
      <c r="S52" s="263">
        <v>3331.7642553395199</v>
      </c>
      <c r="T52" s="263">
        <v>3332.0832701652503</v>
      </c>
      <c r="U52" s="263">
        <v>3332.3757540936499</v>
      </c>
      <c r="V52" s="263">
        <v>3332.3757540936499</v>
      </c>
      <c r="W52" s="263">
        <v>3332.3757540936499</v>
      </c>
      <c r="X52" s="263">
        <v>3332.3757540936499</v>
      </c>
      <c r="Y52" s="263">
        <v>3332.3757540936499</v>
      </c>
      <c r="Z52" s="263">
        <v>3332.4289385064699</v>
      </c>
      <c r="AA52" s="263">
        <v>3333.3067264788697</v>
      </c>
      <c r="AB52" s="263">
        <v>3336.55590089406</v>
      </c>
      <c r="AC52" s="263">
        <v>3336.8491705820297</v>
      </c>
      <c r="AD52" s="263">
        <v>3336.8758340191903</v>
      </c>
      <c r="AE52" s="263">
        <v>3337.0891568575698</v>
      </c>
      <c r="AF52" s="263">
        <v>3336.1027673036401</v>
      </c>
      <c r="AG52" s="263">
        <v>0</v>
      </c>
      <c r="AH52" s="263">
        <v>0</v>
      </c>
      <c r="AI52" s="265">
        <f t="shared" si="19"/>
        <v>96655.4875461755</v>
      </c>
      <c r="AJ52" s="225">
        <f t="shared" si="15"/>
        <v>3.1179189531024356</v>
      </c>
      <c r="AK52" s="176">
        <f t="shared" si="17"/>
        <v>3.3326776156301583</v>
      </c>
      <c r="AL52" s="223">
        <v>8.0707670288748297</v>
      </c>
      <c r="AM52" s="276"/>
      <c r="AQ52" s="200" t="str">
        <f>'[2]ОПЕРАТИВКА пн-пн'!B57</f>
        <v>ГИС КОНДРАТКИ - ПОДАЧА РЕСУРСАЧEXИЯ</v>
      </c>
      <c r="AR52" s="151"/>
    </row>
    <row r="53" spans="2:44" s="192" customFormat="1" ht="30" customHeight="1" x14ac:dyDescent="0.35">
      <c r="B53" s="260" t="s">
        <v>244</v>
      </c>
      <c r="C53" s="261"/>
      <c r="D53" s="262">
        <v>0</v>
      </c>
      <c r="E53" s="263">
        <v>0</v>
      </c>
      <c r="F53" s="263">
        <v>0</v>
      </c>
      <c r="G53" s="263">
        <v>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  <c r="O53" s="263">
        <v>0</v>
      </c>
      <c r="P53" s="263">
        <v>0</v>
      </c>
      <c r="Q53" s="263">
        <v>0</v>
      </c>
      <c r="R53" s="263">
        <v>0</v>
      </c>
      <c r="S53" s="263">
        <v>0</v>
      </c>
      <c r="T53" s="263">
        <v>0</v>
      </c>
      <c r="U53" s="263">
        <v>0</v>
      </c>
      <c r="V53" s="263">
        <v>0</v>
      </c>
      <c r="W53" s="263">
        <v>0</v>
      </c>
      <c r="X53" s="263">
        <v>0</v>
      </c>
      <c r="Y53" s="263">
        <v>0</v>
      </c>
      <c r="Z53" s="263">
        <v>0</v>
      </c>
      <c r="AA53" s="263">
        <v>0</v>
      </c>
      <c r="AB53" s="263">
        <v>0</v>
      </c>
      <c r="AC53" s="263">
        <v>0</v>
      </c>
      <c r="AD53" s="263">
        <v>0</v>
      </c>
      <c r="AE53" s="263">
        <v>0</v>
      </c>
      <c r="AF53" s="263">
        <v>0</v>
      </c>
      <c r="AG53" s="263">
        <v>0</v>
      </c>
      <c r="AH53" s="263">
        <v>0</v>
      </c>
      <c r="AI53" s="265">
        <f t="shared" si="19"/>
        <v>0</v>
      </c>
      <c r="AJ53" s="225">
        <f t="shared" si="15"/>
        <v>0</v>
      </c>
      <c r="AK53" s="176">
        <f t="shared" si="17"/>
        <v>0</v>
      </c>
      <c r="AL53" s="223">
        <v>1.9920962892857139</v>
      </c>
      <c r="AQ53" s="200" t="str">
        <f>'[2]ОПЕРАТИВКА пн-пн'!B58</f>
        <v>ГИС КОНДРАТКИ - ПОДАЧА РЕСУРСААВСТРИЯ</v>
      </c>
      <c r="AR53" s="151"/>
    </row>
    <row r="54" spans="2:44" s="192" customFormat="1" ht="30" customHeight="1" x14ac:dyDescent="0.45">
      <c r="B54" s="260" t="s">
        <v>221</v>
      </c>
      <c r="C54" s="261"/>
      <c r="D54" s="262">
        <v>0</v>
      </c>
      <c r="E54" s="263">
        <v>0</v>
      </c>
      <c r="F54" s="263">
        <v>0</v>
      </c>
      <c r="G54" s="263">
        <v>0</v>
      </c>
      <c r="H54" s="263">
        <v>0</v>
      </c>
      <c r="I54" s="263">
        <v>0</v>
      </c>
      <c r="J54" s="263">
        <v>0</v>
      </c>
      <c r="K54" s="263">
        <v>0</v>
      </c>
      <c r="L54" s="263">
        <v>0</v>
      </c>
      <c r="M54" s="263">
        <v>0</v>
      </c>
      <c r="N54" s="263">
        <v>0</v>
      </c>
      <c r="O54" s="263">
        <v>0</v>
      </c>
      <c r="P54" s="263">
        <v>0</v>
      </c>
      <c r="Q54" s="263">
        <v>0</v>
      </c>
      <c r="R54" s="263">
        <v>0</v>
      </c>
      <c r="S54" s="263">
        <v>0</v>
      </c>
      <c r="T54" s="263">
        <v>0</v>
      </c>
      <c r="U54" s="263">
        <v>0</v>
      </c>
      <c r="V54" s="263">
        <v>0</v>
      </c>
      <c r="W54" s="263">
        <v>0</v>
      </c>
      <c r="X54" s="263">
        <v>0</v>
      </c>
      <c r="Y54" s="263">
        <v>0</v>
      </c>
      <c r="Z54" s="263">
        <v>0</v>
      </c>
      <c r="AA54" s="263">
        <v>0</v>
      </c>
      <c r="AB54" s="263">
        <v>0</v>
      </c>
      <c r="AC54" s="263">
        <v>0</v>
      </c>
      <c r="AD54" s="263">
        <v>0</v>
      </c>
      <c r="AE54" s="263">
        <v>0</v>
      </c>
      <c r="AF54" s="263">
        <v>0</v>
      </c>
      <c r="AG54" s="263">
        <v>0</v>
      </c>
      <c r="AH54" s="263">
        <v>0</v>
      </c>
      <c r="AI54" s="265">
        <f t="shared" si="19"/>
        <v>0</v>
      </c>
      <c r="AJ54" s="225">
        <f t="shared" si="15"/>
        <v>0</v>
      </c>
      <c r="AK54" s="176">
        <f t="shared" si="17"/>
        <v>0</v>
      </c>
      <c r="AL54" s="199">
        <v>0</v>
      </c>
      <c r="AQ54" s="200" t="str">
        <f>'[2]ОПЕРАТИВКА пн-пн'!B59</f>
        <v>ГИС КОНДРАТКИ - ПОДАЧА РЕСУРСАВЕНГРИЯ</v>
      </c>
      <c r="AR54" s="151"/>
    </row>
    <row r="55" spans="2:44" s="192" customFormat="1" ht="30" customHeight="1" x14ac:dyDescent="0.45">
      <c r="B55" s="260" t="s">
        <v>245</v>
      </c>
      <c r="C55" s="261"/>
      <c r="D55" s="262">
        <v>0</v>
      </c>
      <c r="E55" s="263">
        <v>0</v>
      </c>
      <c r="F55" s="263">
        <v>0</v>
      </c>
      <c r="G55" s="263">
        <v>0</v>
      </c>
      <c r="H55" s="263">
        <v>0</v>
      </c>
      <c r="I55" s="263">
        <v>0</v>
      </c>
      <c r="J55" s="263">
        <v>0</v>
      </c>
      <c r="K55" s="263">
        <v>0</v>
      </c>
      <c r="L55" s="263">
        <v>0</v>
      </c>
      <c r="M55" s="263">
        <v>0</v>
      </c>
      <c r="N55" s="263">
        <v>0</v>
      </c>
      <c r="O55" s="263">
        <v>0</v>
      </c>
      <c r="P55" s="263">
        <v>0</v>
      </c>
      <c r="Q55" s="263">
        <v>0</v>
      </c>
      <c r="R55" s="263">
        <v>0</v>
      </c>
      <c r="S55" s="263">
        <v>0</v>
      </c>
      <c r="T55" s="263">
        <v>0</v>
      </c>
      <c r="U55" s="263">
        <v>0</v>
      </c>
      <c r="V55" s="263">
        <v>0</v>
      </c>
      <c r="W55" s="263">
        <v>0</v>
      </c>
      <c r="X55" s="263">
        <v>0</v>
      </c>
      <c r="Y55" s="263">
        <v>0</v>
      </c>
      <c r="Z55" s="263">
        <v>0</v>
      </c>
      <c r="AA55" s="263">
        <v>0</v>
      </c>
      <c r="AB55" s="263">
        <v>0</v>
      </c>
      <c r="AC55" s="263">
        <v>0</v>
      </c>
      <c r="AD55" s="263">
        <v>0</v>
      </c>
      <c r="AE55" s="263">
        <v>0</v>
      </c>
      <c r="AF55" s="263">
        <v>0</v>
      </c>
      <c r="AG55" s="263">
        <v>0</v>
      </c>
      <c r="AH55" s="263">
        <v>0</v>
      </c>
      <c r="AI55" s="265">
        <f t="shared" si="19"/>
        <v>0</v>
      </c>
      <c r="AJ55" s="225">
        <f t="shared" si="15"/>
        <v>0</v>
      </c>
      <c r="AK55" s="176">
        <f t="shared" si="17"/>
        <v>0</v>
      </c>
      <c r="AL55" s="199">
        <v>0</v>
      </c>
      <c r="AQ55" s="200" t="str">
        <f>'[2]ОПЕРАТИВКА пн-пн'!B60</f>
        <v>ГИС КОНДРАТКИ - ПОДАЧА РЕСУРСАСЛОВЕНИЯ</v>
      </c>
      <c r="AR55" s="151"/>
    </row>
    <row r="56" spans="2:44" s="192" customFormat="1" ht="30" customHeight="1" x14ac:dyDescent="0.45">
      <c r="B56" s="260" t="s">
        <v>215</v>
      </c>
      <c r="C56" s="261"/>
      <c r="D56" s="262">
        <v>0</v>
      </c>
      <c r="E56" s="263">
        <v>0</v>
      </c>
      <c r="F56" s="263">
        <v>0</v>
      </c>
      <c r="G56" s="263">
        <v>0</v>
      </c>
      <c r="H56" s="263">
        <v>0</v>
      </c>
      <c r="I56" s="263">
        <v>0</v>
      </c>
      <c r="J56" s="263">
        <v>0</v>
      </c>
      <c r="K56" s="263">
        <v>0</v>
      </c>
      <c r="L56" s="263">
        <v>0</v>
      </c>
      <c r="M56" s="263">
        <v>0</v>
      </c>
      <c r="N56" s="263">
        <v>0</v>
      </c>
      <c r="O56" s="263">
        <v>0</v>
      </c>
      <c r="P56" s="263">
        <v>0</v>
      </c>
      <c r="Q56" s="263">
        <v>0</v>
      </c>
      <c r="R56" s="263">
        <v>0</v>
      </c>
      <c r="S56" s="263">
        <v>0</v>
      </c>
      <c r="T56" s="263">
        <v>0</v>
      </c>
      <c r="U56" s="263">
        <v>0</v>
      </c>
      <c r="V56" s="263">
        <v>0</v>
      </c>
      <c r="W56" s="263">
        <v>0</v>
      </c>
      <c r="X56" s="263">
        <v>0</v>
      </c>
      <c r="Y56" s="263">
        <v>0</v>
      </c>
      <c r="Z56" s="263">
        <v>0</v>
      </c>
      <c r="AA56" s="263">
        <v>0</v>
      </c>
      <c r="AB56" s="263">
        <v>0</v>
      </c>
      <c r="AC56" s="263">
        <v>0</v>
      </c>
      <c r="AD56" s="263">
        <v>0</v>
      </c>
      <c r="AE56" s="263">
        <v>0</v>
      </c>
      <c r="AF56" s="263">
        <v>0</v>
      </c>
      <c r="AG56" s="263">
        <v>0</v>
      </c>
      <c r="AH56" s="263">
        <v>0</v>
      </c>
      <c r="AI56" s="265">
        <f t="shared" si="19"/>
        <v>0</v>
      </c>
      <c r="AJ56" s="225">
        <f t="shared" si="15"/>
        <v>0</v>
      </c>
      <c r="AK56" s="176">
        <f t="shared" si="17"/>
        <v>0</v>
      </c>
      <c r="AL56" s="199">
        <v>0</v>
      </c>
      <c r="AQ56" s="200" t="str">
        <f>'[2]ОПЕРАТИВКА пн-пн'!B61</f>
        <v>ГИС КОНДРАТКИ - ПОДАЧА РЕСУРСАСЛОВАКИЯ</v>
      </c>
      <c r="AR56" s="151"/>
    </row>
    <row r="57" spans="2:44" s="170" customFormat="1" ht="42" customHeight="1" thickBot="1" x14ac:dyDescent="0.3">
      <c r="B57" s="277" t="s">
        <v>246</v>
      </c>
      <c r="C57" s="278"/>
      <c r="D57" s="279">
        <v>3464.3209999999999</v>
      </c>
      <c r="E57" s="280">
        <v>2779.14</v>
      </c>
      <c r="F57" s="280">
        <v>2934.0510000000004</v>
      </c>
      <c r="G57" s="280">
        <v>2448.6579999999999</v>
      </c>
      <c r="H57" s="280">
        <v>2923.2379999999998</v>
      </c>
      <c r="I57" s="280">
        <v>2701.6589999999997</v>
      </c>
      <c r="J57" s="280">
        <v>2902.9740000000002</v>
      </c>
      <c r="K57" s="280">
        <v>2631.4989999999998</v>
      </c>
      <c r="L57" s="280">
        <v>2596.2079999999996</v>
      </c>
      <c r="M57" s="280">
        <v>2543.9259999999999</v>
      </c>
      <c r="N57" s="280">
        <v>2918.125</v>
      </c>
      <c r="O57" s="280">
        <v>3132.9180000000001</v>
      </c>
      <c r="P57" s="280">
        <v>3143.8719999999998</v>
      </c>
      <c r="Q57" s="280">
        <v>3359.7460000000001</v>
      </c>
      <c r="R57" s="280">
        <v>3257.768</v>
      </c>
      <c r="S57" s="280">
        <v>3770.9540000000002</v>
      </c>
      <c r="T57" s="280">
        <v>4569.7539999999999</v>
      </c>
      <c r="U57" s="280">
        <v>4162.933</v>
      </c>
      <c r="V57" s="280">
        <v>5061.51</v>
      </c>
      <c r="W57" s="280">
        <v>3247.1239999999998</v>
      </c>
      <c r="X57" s="280">
        <v>3240.5479999999998</v>
      </c>
      <c r="Y57" s="280">
        <v>3950.8830000000003</v>
      </c>
      <c r="Z57" s="280">
        <v>3806.3829999999998</v>
      </c>
      <c r="AA57" s="280">
        <v>3759.7950000000001</v>
      </c>
      <c r="AB57" s="280">
        <v>3660.6260000000002</v>
      </c>
      <c r="AC57" s="280">
        <v>3399.221</v>
      </c>
      <c r="AD57" s="280">
        <v>3250.8669999999997</v>
      </c>
      <c r="AE57" s="280">
        <v>3543.2380000000003</v>
      </c>
      <c r="AF57" s="280">
        <v>3129.89</v>
      </c>
      <c r="AG57" s="280">
        <v>3005.2870000000003</v>
      </c>
      <c r="AH57" s="280">
        <v>2917.6169999999997</v>
      </c>
      <c r="AI57" s="281">
        <f t="shared" si="19"/>
        <v>102214.73299999999</v>
      </c>
      <c r="AJ57" s="225">
        <f t="shared" si="15"/>
        <v>3.2972494516129034</v>
      </c>
      <c r="AK57" s="176">
        <f t="shared" si="17"/>
        <v>3.3192111481481485</v>
      </c>
      <c r="AL57" s="177">
        <v>10.063132135714286</v>
      </c>
      <c r="AQ57" s="200" t="str">
        <f>'[2]ОПЕРАТИВКА пн-пн'!B62</f>
        <v>ГИС ИМАТРА (ФИНЛЯНДИЯ)</v>
      </c>
      <c r="AR57" s="151"/>
    </row>
    <row r="58" spans="2:44" s="170" customFormat="1" ht="42" customHeight="1" x14ac:dyDescent="0.25">
      <c r="B58" s="282" t="s">
        <v>247</v>
      </c>
      <c r="C58" s="283"/>
      <c r="D58" s="284">
        <v>47858.412000000004</v>
      </c>
      <c r="E58" s="285">
        <v>47930.061000000002</v>
      </c>
      <c r="F58" s="285">
        <v>47874.251000000004</v>
      </c>
      <c r="G58" s="285">
        <v>47859.962</v>
      </c>
      <c r="H58" s="285">
        <v>47921.525999999998</v>
      </c>
      <c r="I58" s="285">
        <v>47901.878000000004</v>
      </c>
      <c r="J58" s="285">
        <v>47847.783000000003</v>
      </c>
      <c r="K58" s="285">
        <v>47875.483</v>
      </c>
      <c r="L58" s="285">
        <v>47871.620999999999</v>
      </c>
      <c r="M58" s="285">
        <v>47855.203000000001</v>
      </c>
      <c r="N58" s="285">
        <v>47789.788999999997</v>
      </c>
      <c r="O58" s="285">
        <v>47771.428</v>
      </c>
      <c r="P58" s="285">
        <v>47834.565999999999</v>
      </c>
      <c r="Q58" s="285">
        <v>47866.777000000002</v>
      </c>
      <c r="R58" s="285">
        <v>47795.318999999996</v>
      </c>
      <c r="S58" s="285">
        <v>47903.714999999997</v>
      </c>
      <c r="T58" s="285">
        <v>47901.521999999997</v>
      </c>
      <c r="U58" s="285">
        <v>47883.724000000002</v>
      </c>
      <c r="V58" s="285">
        <v>47817.832999999999</v>
      </c>
      <c r="W58" s="285">
        <v>34775.553999999996</v>
      </c>
      <c r="X58" s="285">
        <v>15004.604000000001</v>
      </c>
      <c r="Y58" s="285">
        <v>28872.510999999999</v>
      </c>
      <c r="Z58" s="285">
        <v>21927.857</v>
      </c>
      <c r="AA58" s="285">
        <v>29815.995999999999</v>
      </c>
      <c r="AB58" s="285">
        <v>29846.039000000001</v>
      </c>
      <c r="AC58" s="285">
        <v>39721.384999999995</v>
      </c>
      <c r="AD58" s="285">
        <v>34749.166000000005</v>
      </c>
      <c r="AE58" s="285">
        <v>34695.925000000003</v>
      </c>
      <c r="AF58" s="285">
        <v>24852.822</v>
      </c>
      <c r="AG58" s="285">
        <v>24899.920999999998</v>
      </c>
      <c r="AH58" s="285">
        <v>24882.731</v>
      </c>
      <c r="AI58" s="286">
        <f t="shared" si="19"/>
        <v>1253405.3640000001</v>
      </c>
      <c r="AJ58" s="225">
        <f t="shared" si="15"/>
        <v>40.432431096774202</v>
      </c>
      <c r="AK58" s="176">
        <f t="shared" si="17"/>
        <v>42.373109814814818</v>
      </c>
      <c r="AL58" s="177">
        <v>46.782028153571424</v>
      </c>
      <c r="AQ58" s="200" t="str">
        <f>'[2]ОПЕРАТИВКА пн-пн'!B63</f>
        <v>ГОЛУБОЙ ПОТОК (ТУРЦИЯ)</v>
      </c>
      <c r="AR58" s="151"/>
    </row>
    <row r="59" spans="2:44" s="170" customFormat="1" ht="42" customHeight="1" x14ac:dyDescent="0.25">
      <c r="B59" s="287" t="s">
        <v>248</v>
      </c>
      <c r="C59" s="288"/>
      <c r="D59" s="289">
        <f>D63+D62+D60-D61</f>
        <v>53391.36725058774</v>
      </c>
      <c r="E59" s="289">
        <f t="shared" ref="E59:AH59" si="23">E63+E62+E60-E61</f>
        <v>52657.495501463767</v>
      </c>
      <c r="F59" s="289">
        <f t="shared" si="23"/>
        <v>50664.642257699903</v>
      </c>
      <c r="G59" s="289">
        <f t="shared" si="23"/>
        <v>53894.382824573193</v>
      </c>
      <c r="H59" s="289">
        <f t="shared" si="23"/>
        <v>54273.733378588615</v>
      </c>
      <c r="I59" s="289">
        <f t="shared" si="23"/>
        <v>57729.0146409265</v>
      </c>
      <c r="J59" s="289">
        <f t="shared" si="23"/>
        <v>54598.479497965913</v>
      </c>
      <c r="K59" s="289">
        <f t="shared" si="23"/>
        <v>59489.983725106642</v>
      </c>
      <c r="L59" s="289">
        <f t="shared" si="23"/>
        <v>59048.75602045541</v>
      </c>
      <c r="M59" s="289">
        <f t="shared" si="23"/>
        <v>57857.372416802085</v>
      </c>
      <c r="N59" s="289">
        <f t="shared" si="23"/>
        <v>59053.450334701338</v>
      </c>
      <c r="O59" s="289">
        <f t="shared" si="23"/>
        <v>59673.053179671144</v>
      </c>
      <c r="P59" s="289">
        <f t="shared" si="23"/>
        <v>59580.63197033621</v>
      </c>
      <c r="Q59" s="289">
        <f t="shared" si="23"/>
        <v>59728.90927448486</v>
      </c>
      <c r="R59" s="289">
        <f t="shared" si="23"/>
        <v>59728.854376541596</v>
      </c>
      <c r="S59" s="289">
        <f t="shared" si="23"/>
        <v>59707.264791004898</v>
      </c>
      <c r="T59" s="289">
        <f t="shared" si="23"/>
        <v>62647.271724389917</v>
      </c>
      <c r="U59" s="289">
        <f t="shared" si="23"/>
        <v>62630.828401041435</v>
      </c>
      <c r="V59" s="289">
        <f t="shared" si="23"/>
        <v>62623.50630203187</v>
      </c>
      <c r="W59" s="289">
        <f t="shared" si="23"/>
        <v>62663.840244813618</v>
      </c>
      <c r="X59" s="289">
        <f t="shared" si="23"/>
        <v>62742.118642042318</v>
      </c>
      <c r="Y59" s="289">
        <f t="shared" si="23"/>
        <v>62293.355465742075</v>
      </c>
      <c r="Z59" s="289">
        <f t="shared" si="23"/>
        <v>62360.163198894501</v>
      </c>
      <c r="AA59" s="289">
        <f t="shared" si="23"/>
        <v>62279.6295665652</v>
      </c>
      <c r="AB59" s="289">
        <f t="shared" si="23"/>
        <v>62755.428072405215</v>
      </c>
      <c r="AC59" s="289">
        <f t="shared" si="23"/>
        <v>62912.239042745146</v>
      </c>
      <c r="AD59" s="289">
        <f t="shared" si="23"/>
        <v>67887.923563701013</v>
      </c>
      <c r="AE59" s="289">
        <f t="shared" si="23"/>
        <v>69361.498120697885</v>
      </c>
      <c r="AF59" s="289">
        <f t="shared" si="23"/>
        <v>69191.435329621978</v>
      </c>
      <c r="AG59" s="289">
        <f t="shared" si="23"/>
        <v>68645.06388794705</v>
      </c>
      <c r="AH59" s="289">
        <f t="shared" si="23"/>
        <v>67581.885176501732</v>
      </c>
      <c r="AI59" s="290">
        <f>SUM(D59:AH59)</f>
        <v>1879653.5781800509</v>
      </c>
      <c r="AJ59" s="225">
        <f t="shared" si="15"/>
        <v>60.633986392904866</v>
      </c>
      <c r="AK59" s="176">
        <f t="shared" si="17"/>
        <v>59.439766506121572</v>
      </c>
      <c r="AL59" s="177">
        <v>69.386309121428582</v>
      </c>
      <c r="AQ59" s="200"/>
      <c r="AR59" s="151"/>
    </row>
    <row r="60" spans="2:44" s="170" customFormat="1" ht="42" customHeight="1" x14ac:dyDescent="0.25">
      <c r="B60" s="291" t="s">
        <v>212</v>
      </c>
      <c r="C60" s="292"/>
      <c r="D60" s="293">
        <v>0</v>
      </c>
      <c r="E60" s="294">
        <v>0</v>
      </c>
      <c r="F60" s="294">
        <v>0</v>
      </c>
      <c r="G60" s="294">
        <v>0</v>
      </c>
      <c r="H60" s="294">
        <v>0</v>
      </c>
      <c r="I60" s="294">
        <v>0</v>
      </c>
      <c r="J60" s="294">
        <v>0</v>
      </c>
      <c r="K60" s="294">
        <v>0</v>
      </c>
      <c r="L60" s="294">
        <v>0</v>
      </c>
      <c r="M60" s="294">
        <v>0</v>
      </c>
      <c r="N60" s="294">
        <v>0</v>
      </c>
      <c r="O60" s="294">
        <v>0</v>
      </c>
      <c r="P60" s="294">
        <v>0</v>
      </c>
      <c r="Q60" s="294">
        <v>0</v>
      </c>
      <c r="R60" s="295">
        <v>0</v>
      </c>
      <c r="S60" s="294">
        <v>0</v>
      </c>
      <c r="T60" s="294">
        <v>0</v>
      </c>
      <c r="U60" s="294">
        <v>0</v>
      </c>
      <c r="V60" s="294">
        <v>0</v>
      </c>
      <c r="W60" s="294">
        <v>0</v>
      </c>
      <c r="X60" s="294">
        <v>0</v>
      </c>
      <c r="Y60" s="294">
        <v>0</v>
      </c>
      <c r="Z60" s="294">
        <v>0</v>
      </c>
      <c r="AA60" s="294">
        <v>0</v>
      </c>
      <c r="AB60" s="294">
        <v>0</v>
      </c>
      <c r="AC60" s="294">
        <v>0</v>
      </c>
      <c r="AD60" s="294">
        <v>0</v>
      </c>
      <c r="AE60" s="294">
        <v>0</v>
      </c>
      <c r="AF60" s="294">
        <v>0</v>
      </c>
      <c r="AG60" s="294">
        <v>0</v>
      </c>
      <c r="AH60" s="294">
        <v>0</v>
      </c>
      <c r="AI60" s="296"/>
      <c r="AJ60" s="225">
        <f t="shared" si="15"/>
        <v>0</v>
      </c>
      <c r="AK60" s="176">
        <f t="shared" si="17"/>
        <v>0</v>
      </c>
      <c r="AL60" s="177">
        <v>0</v>
      </c>
      <c r="AQ60" s="200" t="str">
        <f>'[2]ОПЕРАТИВКА пн-пн'!B65</f>
        <v>ТУРЕЦКИЙ ПОТОК - ПОДАЧА РЕСУРСАЗАКАЧКА в ПХГ</v>
      </c>
      <c r="AR60" s="151"/>
    </row>
    <row r="61" spans="2:44" s="170" customFormat="1" ht="42" customHeight="1" x14ac:dyDescent="0.25">
      <c r="B61" s="291" t="s">
        <v>213</v>
      </c>
      <c r="C61" s="292"/>
      <c r="D61" s="293">
        <v>0</v>
      </c>
      <c r="E61" s="294">
        <v>0</v>
      </c>
      <c r="F61" s="294">
        <v>0</v>
      </c>
      <c r="G61" s="294">
        <v>0</v>
      </c>
      <c r="H61" s="294">
        <v>0</v>
      </c>
      <c r="I61" s="294">
        <v>0</v>
      </c>
      <c r="J61" s="294">
        <v>0</v>
      </c>
      <c r="K61" s="294">
        <v>0</v>
      </c>
      <c r="L61" s="294">
        <v>0</v>
      </c>
      <c r="M61" s="294">
        <v>0</v>
      </c>
      <c r="N61" s="294">
        <v>0</v>
      </c>
      <c r="O61" s="294">
        <v>0</v>
      </c>
      <c r="P61" s="294">
        <v>0</v>
      </c>
      <c r="Q61" s="294">
        <v>0</v>
      </c>
      <c r="R61" s="295">
        <v>0</v>
      </c>
      <c r="S61" s="294">
        <v>0</v>
      </c>
      <c r="T61" s="294">
        <v>0</v>
      </c>
      <c r="U61" s="294">
        <v>0</v>
      </c>
      <c r="V61" s="294">
        <v>0</v>
      </c>
      <c r="W61" s="294">
        <v>0</v>
      </c>
      <c r="X61" s="294">
        <v>0</v>
      </c>
      <c r="Y61" s="294">
        <v>0</v>
      </c>
      <c r="Z61" s="294">
        <v>0</v>
      </c>
      <c r="AA61" s="294">
        <v>0</v>
      </c>
      <c r="AB61" s="294">
        <v>0</v>
      </c>
      <c r="AC61" s="294">
        <v>0</v>
      </c>
      <c r="AD61" s="294">
        <v>0</v>
      </c>
      <c r="AE61" s="294">
        <v>0</v>
      </c>
      <c r="AF61" s="294">
        <v>0</v>
      </c>
      <c r="AG61" s="294">
        <v>0</v>
      </c>
      <c r="AH61" s="294">
        <v>0</v>
      </c>
      <c r="AI61" s="296"/>
      <c r="AJ61" s="225">
        <f t="shared" si="15"/>
        <v>0</v>
      </c>
      <c r="AK61" s="176">
        <f t="shared" si="17"/>
        <v>0</v>
      </c>
      <c r="AL61" s="177">
        <v>0</v>
      </c>
      <c r="AQ61" s="200" t="str">
        <f>'[2]ОПЕРАТИВКА пн-пн'!B66</f>
        <v>ТУРЕЦКИЙ ПОТОК - ПОДАЧА РЕСУРСАОТБОР из ПХГ</v>
      </c>
      <c r="AR61" s="151"/>
    </row>
    <row r="62" spans="2:44" s="170" customFormat="1" ht="42" customHeight="1" x14ac:dyDescent="0.25">
      <c r="B62" s="291" t="s">
        <v>249</v>
      </c>
      <c r="C62" s="292"/>
      <c r="D62" s="293">
        <v>0</v>
      </c>
      <c r="E62" s="294">
        <v>0</v>
      </c>
      <c r="F62" s="294">
        <v>0</v>
      </c>
      <c r="G62" s="294">
        <v>0</v>
      </c>
      <c r="H62" s="294">
        <v>0</v>
      </c>
      <c r="I62" s="294">
        <v>0</v>
      </c>
      <c r="J62" s="294">
        <v>0</v>
      </c>
      <c r="K62" s="294">
        <v>0</v>
      </c>
      <c r="L62" s="294">
        <v>0</v>
      </c>
      <c r="M62" s="294">
        <v>0</v>
      </c>
      <c r="N62" s="294">
        <v>0</v>
      </c>
      <c r="O62" s="294">
        <v>0</v>
      </c>
      <c r="P62" s="294">
        <v>0</v>
      </c>
      <c r="Q62" s="294">
        <v>0</v>
      </c>
      <c r="R62" s="295">
        <v>0</v>
      </c>
      <c r="S62" s="294">
        <v>0</v>
      </c>
      <c r="T62" s="294">
        <v>0</v>
      </c>
      <c r="U62" s="294">
        <v>0</v>
      </c>
      <c r="V62" s="294">
        <v>0</v>
      </c>
      <c r="W62" s="294">
        <v>0</v>
      </c>
      <c r="X62" s="294">
        <v>0</v>
      </c>
      <c r="Y62" s="294">
        <v>0</v>
      </c>
      <c r="Z62" s="294">
        <v>0</v>
      </c>
      <c r="AA62" s="294">
        <v>0</v>
      </c>
      <c r="AB62" s="294">
        <v>0</v>
      </c>
      <c r="AC62" s="294">
        <v>0</v>
      </c>
      <c r="AD62" s="294">
        <v>5000</v>
      </c>
      <c r="AE62" s="294">
        <v>6500</v>
      </c>
      <c r="AF62" s="294">
        <v>6500</v>
      </c>
      <c r="AG62" s="294">
        <v>8441.1880000000001</v>
      </c>
      <c r="AH62" s="294">
        <v>7270.2030000000004</v>
      </c>
      <c r="AI62" s="296"/>
      <c r="AJ62" s="225">
        <f t="shared" si="15"/>
        <v>1.0874642258064517</v>
      </c>
      <c r="AK62" s="176">
        <f t="shared" si="17"/>
        <v>0.1851851851851852</v>
      </c>
      <c r="AL62" s="177">
        <v>1.8626857142857139E-2</v>
      </c>
      <c r="AQ62" s="200" t="str">
        <f>'[2]ОПЕРАТИВКА пн-пн'!B67</f>
        <v>ТУРЕЦКИЙ ПОТОК - ПОДАЧА РЕСУРСАТех.нужды SSTBV/аккумуляция</v>
      </c>
      <c r="AR62" s="151"/>
    </row>
    <row r="63" spans="2:44" s="170" customFormat="1" ht="42" customHeight="1" x14ac:dyDescent="0.25">
      <c r="B63" s="297" t="s">
        <v>46</v>
      </c>
      <c r="C63" s="292"/>
      <c r="D63" s="298">
        <f t="shared" ref="D63:AH63" si="24">SUM(D64:D76)</f>
        <v>53391.36725058774</v>
      </c>
      <c r="E63" s="299">
        <f t="shared" si="24"/>
        <v>52657.495501463767</v>
      </c>
      <c r="F63" s="299">
        <f t="shared" si="24"/>
        <v>50664.642257699903</v>
      </c>
      <c r="G63" s="299">
        <f t="shared" si="24"/>
        <v>53894.382824573193</v>
      </c>
      <c r="H63" s="299">
        <f t="shared" si="24"/>
        <v>54273.733378588615</v>
      </c>
      <c r="I63" s="299">
        <f t="shared" si="24"/>
        <v>57729.0146409265</v>
      </c>
      <c r="J63" s="299">
        <f t="shared" si="24"/>
        <v>54598.479497965913</v>
      </c>
      <c r="K63" s="299">
        <f t="shared" si="24"/>
        <v>59489.983725106642</v>
      </c>
      <c r="L63" s="299">
        <f t="shared" si="24"/>
        <v>59048.75602045541</v>
      </c>
      <c r="M63" s="299">
        <f t="shared" si="24"/>
        <v>57857.372416802085</v>
      </c>
      <c r="N63" s="299">
        <f t="shared" si="24"/>
        <v>59053.450334701338</v>
      </c>
      <c r="O63" s="299">
        <f t="shared" si="24"/>
        <v>59673.053179671144</v>
      </c>
      <c r="P63" s="299">
        <f t="shared" si="24"/>
        <v>59580.63197033621</v>
      </c>
      <c r="Q63" s="299">
        <f t="shared" si="24"/>
        <v>59728.90927448486</v>
      </c>
      <c r="R63" s="299">
        <f t="shared" si="24"/>
        <v>59728.854376541596</v>
      </c>
      <c r="S63" s="299">
        <f t="shared" si="24"/>
        <v>59707.264791004898</v>
      </c>
      <c r="T63" s="299">
        <f t="shared" si="24"/>
        <v>62647.271724389917</v>
      </c>
      <c r="U63" s="299">
        <f t="shared" si="24"/>
        <v>62630.828401041435</v>
      </c>
      <c r="V63" s="299">
        <f t="shared" si="24"/>
        <v>62623.50630203187</v>
      </c>
      <c r="W63" s="299">
        <f t="shared" si="24"/>
        <v>62663.840244813618</v>
      </c>
      <c r="X63" s="299">
        <f t="shared" si="24"/>
        <v>62742.118642042318</v>
      </c>
      <c r="Y63" s="299">
        <f t="shared" si="24"/>
        <v>62293.355465742075</v>
      </c>
      <c r="Z63" s="299">
        <f t="shared" si="24"/>
        <v>62360.163198894501</v>
      </c>
      <c r="AA63" s="299">
        <f t="shared" si="24"/>
        <v>62279.6295665652</v>
      </c>
      <c r="AB63" s="299">
        <f t="shared" si="24"/>
        <v>62755.428072405215</v>
      </c>
      <c r="AC63" s="299">
        <f t="shared" si="24"/>
        <v>62912.239042745146</v>
      </c>
      <c r="AD63" s="299">
        <f t="shared" si="24"/>
        <v>62887.923563701006</v>
      </c>
      <c r="AE63" s="299">
        <f t="shared" si="24"/>
        <v>62861.498120697877</v>
      </c>
      <c r="AF63" s="299">
        <f t="shared" si="24"/>
        <v>62691.435329621985</v>
      </c>
      <c r="AG63" s="299">
        <f t="shared" si="24"/>
        <v>60203.875887947055</v>
      </c>
      <c r="AH63" s="299">
        <f t="shared" si="24"/>
        <v>60311.682176501738</v>
      </c>
      <c r="AI63" s="300">
        <f t="shared" ref="AI63:AI110" si="25">SUM(D63:AH63)</f>
        <v>1845942.1871800511</v>
      </c>
      <c r="AJ63" s="225">
        <f>SUM(D63:AH63)/DAY($B$4)*0.001</f>
        <v>59.546522167098423</v>
      </c>
      <c r="AK63" s="176"/>
      <c r="AL63" s="177">
        <v>69.367682264285719</v>
      </c>
      <c r="AM63" s="301"/>
      <c r="AN63" s="301"/>
      <c r="AQ63" s="200"/>
      <c r="AR63" s="151"/>
    </row>
    <row r="64" spans="2:44" s="170" customFormat="1" ht="42" customHeight="1" x14ac:dyDescent="0.25">
      <c r="B64" s="297" t="s">
        <v>250</v>
      </c>
      <c r="C64" s="292"/>
      <c r="D64" s="293">
        <v>9876.2362505877391</v>
      </c>
      <c r="E64" s="295">
        <v>9470.8385014637697</v>
      </c>
      <c r="F64" s="295">
        <v>9310.8312576999015</v>
      </c>
      <c r="G64" s="295">
        <v>9886.6428245731895</v>
      </c>
      <c r="H64" s="295">
        <v>9888.6453785886206</v>
      </c>
      <c r="I64" s="295">
        <v>9886.68064092651</v>
      </c>
      <c r="J64" s="295">
        <v>9893.5344979659003</v>
      </c>
      <c r="K64" s="295">
        <v>9899.6857251066394</v>
      </c>
      <c r="L64" s="295">
        <v>9888.108020455411</v>
      </c>
      <c r="M64" s="295">
        <v>9723.7994168020814</v>
      </c>
      <c r="N64" s="295">
        <v>9885.2813347013398</v>
      </c>
      <c r="O64" s="295">
        <v>9886.7601796711406</v>
      </c>
      <c r="P64" s="295">
        <v>9695.12497033621</v>
      </c>
      <c r="Q64" s="295">
        <v>9891.5422744848584</v>
      </c>
      <c r="R64" s="295">
        <v>9887.0173765415893</v>
      </c>
      <c r="S64" s="295">
        <v>9883.7397910048985</v>
      </c>
      <c r="T64" s="295">
        <v>9880.8987243899301</v>
      </c>
      <c r="U64" s="295">
        <v>9893.5004010414305</v>
      </c>
      <c r="V64" s="295">
        <v>9758.5443020318708</v>
      </c>
      <c r="W64" s="295">
        <v>9751.6812448136297</v>
      </c>
      <c r="X64" s="295">
        <v>9756.7066420423198</v>
      </c>
      <c r="Y64" s="295">
        <v>9757.8024657420792</v>
      </c>
      <c r="Z64" s="295">
        <v>9762.4961988944997</v>
      </c>
      <c r="AA64" s="295">
        <v>9763.7675665652005</v>
      </c>
      <c r="AB64" s="295">
        <v>9765.4140724052195</v>
      </c>
      <c r="AC64" s="295">
        <v>9769.372042745139</v>
      </c>
      <c r="AD64" s="295">
        <v>9767.9945637010005</v>
      </c>
      <c r="AE64" s="295">
        <v>9757.1751206978697</v>
      </c>
      <c r="AF64" s="295">
        <v>9758.1943296219815</v>
      </c>
      <c r="AG64" s="295">
        <v>9419.5908879470589</v>
      </c>
      <c r="AH64" s="295">
        <v>9413.4211765017408</v>
      </c>
      <c r="AI64" s="302">
        <f t="shared" si="25"/>
        <v>302831.02818005078</v>
      </c>
      <c r="AJ64" s="225">
        <f t="shared" si="15"/>
        <v>9.7687428445177673</v>
      </c>
      <c r="AK64" s="176">
        <f t="shared" ref="AK64:AK111" si="26">IFERROR(AVERAGE(D64:AD64)/1000,0)</f>
        <v>9.7956535801956335</v>
      </c>
      <c r="AL64" s="177">
        <v>7.9609623821428563</v>
      </c>
      <c r="AM64" s="184"/>
      <c r="AN64" s="184"/>
      <c r="AQ64" s="200" t="str">
        <f>'[2]ОПЕРАТИВКА пн-пн'!B69</f>
        <v>ТУРЕЦКИЙ ПОТОК - ПОДАЧА РЕСУРСАБОЛГАРИЯ</v>
      </c>
      <c r="AR64" s="151"/>
    </row>
    <row r="65" spans="2:44" s="170" customFormat="1" ht="42" customHeight="1" x14ac:dyDescent="0.25">
      <c r="B65" s="291" t="s">
        <v>251</v>
      </c>
      <c r="C65" s="292"/>
      <c r="D65" s="293">
        <v>15002.793</v>
      </c>
      <c r="E65" s="295">
        <v>15094.652999999998</v>
      </c>
      <c r="F65" s="295">
        <v>14848.076000000001</v>
      </c>
      <c r="G65" s="295">
        <v>14610.391</v>
      </c>
      <c r="H65" s="295">
        <v>14974.351000000001</v>
      </c>
      <c r="I65" s="295">
        <v>18394.439999999999</v>
      </c>
      <c r="J65" s="295">
        <v>15251.482</v>
      </c>
      <c r="K65" s="295">
        <v>19942.800999999999</v>
      </c>
      <c r="L65" s="295">
        <v>19924.337</v>
      </c>
      <c r="M65" s="295">
        <v>19971.766</v>
      </c>
      <c r="N65" s="295">
        <v>19900.949000000001</v>
      </c>
      <c r="O65" s="295">
        <v>19895.264999999999</v>
      </c>
      <c r="P65" s="295">
        <v>19924.454000000002</v>
      </c>
      <c r="Q65" s="295">
        <v>19867.580000000002</v>
      </c>
      <c r="R65" s="295">
        <v>19918.538</v>
      </c>
      <c r="S65" s="295">
        <v>19918.016000000003</v>
      </c>
      <c r="T65" s="295">
        <v>22848.266</v>
      </c>
      <c r="U65" s="295">
        <v>22844.375</v>
      </c>
      <c r="V65" s="295">
        <v>22848.631000000001</v>
      </c>
      <c r="W65" s="295">
        <v>22819.565999999999</v>
      </c>
      <c r="X65" s="295">
        <v>22872.278999999999</v>
      </c>
      <c r="Y65" s="295">
        <v>22781.375</v>
      </c>
      <c r="Z65" s="295">
        <v>22819</v>
      </c>
      <c r="AA65" s="295">
        <v>22893.757999999998</v>
      </c>
      <c r="AB65" s="295">
        <v>22864.626</v>
      </c>
      <c r="AC65" s="295">
        <v>22927.921999999999</v>
      </c>
      <c r="AD65" s="295">
        <v>22892.78</v>
      </c>
      <c r="AE65" s="295">
        <v>22846.145</v>
      </c>
      <c r="AF65" s="295">
        <v>22772.748</v>
      </c>
      <c r="AG65" s="295">
        <v>22778.289000000001</v>
      </c>
      <c r="AH65" s="295">
        <v>22861.587</v>
      </c>
      <c r="AI65" s="302">
        <f t="shared" si="25"/>
        <v>630111.23900000006</v>
      </c>
      <c r="AJ65" s="225">
        <f t="shared" si="15"/>
        <v>20.326169000000004</v>
      </c>
      <c r="AK65" s="176">
        <f t="shared" si="26"/>
        <v>19.957498888888889</v>
      </c>
      <c r="AL65" s="177">
        <v>39.150291357142869</v>
      </c>
      <c r="AM65" s="184"/>
      <c r="AN65" s="184"/>
      <c r="AQ65" s="200" t="str">
        <f>'[2]ОПЕРАТИВКА пн-пн'!B70</f>
        <v>ТУРЕЦКИЙ ПОТОК - ПОДАЧА РЕСУРСАTУPЦИЯ</v>
      </c>
      <c r="AR65" s="151"/>
    </row>
    <row r="66" spans="2:44" s="170" customFormat="1" ht="42" customHeight="1" x14ac:dyDescent="0.25">
      <c r="B66" s="291" t="s">
        <v>252</v>
      </c>
      <c r="C66" s="292"/>
      <c r="D66" s="293">
        <v>10110.549999999999</v>
      </c>
      <c r="E66" s="295">
        <v>9733.6180000000004</v>
      </c>
      <c r="F66" s="295">
        <v>9102.2849999999999</v>
      </c>
      <c r="G66" s="295">
        <v>11121.465</v>
      </c>
      <c r="H66" s="295">
        <v>11123.498</v>
      </c>
      <c r="I66" s="295">
        <v>11120.703000000001</v>
      </c>
      <c r="J66" s="295">
        <v>11128.567000000001</v>
      </c>
      <c r="K66" s="295">
        <v>11133.313</v>
      </c>
      <c r="L66" s="295">
        <v>10632.132</v>
      </c>
      <c r="M66" s="295">
        <v>9603.1669999999995</v>
      </c>
      <c r="N66" s="295">
        <v>10569.091999999999</v>
      </c>
      <c r="O66" s="295">
        <v>11116.485000000001</v>
      </c>
      <c r="P66" s="295">
        <v>11125.192999999999</v>
      </c>
      <c r="Q66" s="295">
        <v>11120.907999999999</v>
      </c>
      <c r="R66" s="295">
        <v>11116.143</v>
      </c>
      <c r="S66" s="295">
        <v>11112.263000000001</v>
      </c>
      <c r="T66" s="295">
        <v>11109.788999999999</v>
      </c>
      <c r="U66" s="295">
        <v>11124.048000000001</v>
      </c>
      <c r="V66" s="295">
        <v>11122.158000000001</v>
      </c>
      <c r="W66" s="295">
        <v>11113.414000000001</v>
      </c>
      <c r="X66" s="295">
        <v>11119.122000000001</v>
      </c>
      <c r="Y66" s="295">
        <v>11122.469000000001</v>
      </c>
      <c r="Z66" s="295">
        <v>11128.023000000001</v>
      </c>
      <c r="AA66" s="295">
        <v>10997.291000000001</v>
      </c>
      <c r="AB66" s="295">
        <v>11129.161</v>
      </c>
      <c r="AC66" s="295">
        <v>11133.405000000001</v>
      </c>
      <c r="AD66" s="295">
        <v>11131.885</v>
      </c>
      <c r="AE66" s="295">
        <v>11119.68</v>
      </c>
      <c r="AF66" s="295">
        <v>11120.903</v>
      </c>
      <c r="AG66" s="295">
        <v>8763.4709999999995</v>
      </c>
      <c r="AH66" s="295">
        <v>9191.7259999999987</v>
      </c>
      <c r="AI66" s="302">
        <f t="shared" si="25"/>
        <v>333395.92700000008</v>
      </c>
      <c r="AJ66" s="225">
        <f t="shared" si="15"/>
        <v>10.754707322580646</v>
      </c>
      <c r="AK66" s="176">
        <f t="shared" si="26"/>
        <v>10.859264703703706</v>
      </c>
      <c r="AL66" s="177">
        <v>9.3116063607142863</v>
      </c>
      <c r="AM66" s="184"/>
      <c r="AN66" s="184"/>
      <c r="AQ66" s="200" t="str">
        <f>'[2]ОПЕРАТИВКА пн-пн'!B71</f>
        <v>ТУРЕЦКИЙ ПОТОК - ПОДАЧА РЕСУРСАГРЕЦИЯ</v>
      </c>
      <c r="AR66" s="151"/>
    </row>
    <row r="67" spans="2:44" s="170" customFormat="1" ht="42" customHeight="1" x14ac:dyDescent="0.25">
      <c r="B67" s="291" t="s">
        <v>253</v>
      </c>
      <c r="C67" s="292"/>
      <c r="D67" s="293">
        <v>1336.6410000000001</v>
      </c>
      <c r="E67" s="295">
        <v>1255.673</v>
      </c>
      <c r="F67" s="295">
        <v>1252.1279999999999</v>
      </c>
      <c r="G67" s="295">
        <v>1276.4189999999999</v>
      </c>
      <c r="H67" s="295">
        <v>1264.2910000000002</v>
      </c>
      <c r="I67" s="294">
        <v>1352.0030000000002</v>
      </c>
      <c r="J67" s="295">
        <v>1388.4749999999999</v>
      </c>
      <c r="K67" s="295">
        <v>1367.3880000000001</v>
      </c>
      <c r="L67" s="295">
        <v>1365.5759999999998</v>
      </c>
      <c r="M67" s="295">
        <v>1303.4639999999999</v>
      </c>
      <c r="N67" s="295">
        <v>1331.184</v>
      </c>
      <c r="O67" s="295">
        <v>1409.9189999999999</v>
      </c>
      <c r="P67" s="295">
        <v>1457.636</v>
      </c>
      <c r="Q67" s="295">
        <v>1487.5130000000001</v>
      </c>
      <c r="R67" s="295">
        <v>1458.3140000000001</v>
      </c>
      <c r="S67" s="295">
        <v>1435.2169999999999</v>
      </c>
      <c r="T67" s="295">
        <v>1454.1580000000001</v>
      </c>
      <c r="U67" s="295">
        <v>1484.067</v>
      </c>
      <c r="V67" s="295">
        <v>1617.354</v>
      </c>
      <c r="W67" s="295">
        <v>1624.4350000000002</v>
      </c>
      <c r="X67" s="295">
        <v>1630.354</v>
      </c>
      <c r="Y67" s="295">
        <v>1455.9379999999999</v>
      </c>
      <c r="Z67" s="295">
        <v>1466.2949999999998</v>
      </c>
      <c r="AA67" s="295">
        <v>1534.6890000000001</v>
      </c>
      <c r="AB67" s="295">
        <v>1657.7679999999998</v>
      </c>
      <c r="AC67" s="295">
        <v>1695.575</v>
      </c>
      <c r="AD67" s="295">
        <v>1716.7630000000001</v>
      </c>
      <c r="AE67" s="295">
        <v>1779.0520000000001</v>
      </c>
      <c r="AF67" s="295">
        <v>1678.2349999999999</v>
      </c>
      <c r="AG67" s="295">
        <v>1607.5219999999999</v>
      </c>
      <c r="AH67" s="295">
        <v>1470.258</v>
      </c>
      <c r="AI67" s="302">
        <f t="shared" si="25"/>
        <v>45614.303999999989</v>
      </c>
      <c r="AJ67" s="225">
        <f t="shared" si="15"/>
        <v>1.4714291612903223</v>
      </c>
      <c r="AK67" s="176">
        <f t="shared" si="26"/>
        <v>1.4473791481481475</v>
      </c>
      <c r="AL67" s="177">
        <v>0.27194117857142863</v>
      </c>
      <c r="AM67" s="184"/>
      <c r="AN67" s="184"/>
      <c r="AQ67" s="200" t="str">
        <f>'[2]ОПЕРАТИВКА пн-пн'!B72</f>
        <v>ТУРЕЦКИЙ ПОТОК - ПОДАЧА РЕСУРСАСЕВЕРНАЯ МАКЕДОНИЯ</v>
      </c>
      <c r="AR67" s="151"/>
    </row>
    <row r="68" spans="2:44" s="170" customFormat="1" ht="42" customHeight="1" x14ac:dyDescent="0.25">
      <c r="B68" s="291" t="s">
        <v>254</v>
      </c>
      <c r="C68" s="292"/>
      <c r="D68" s="293">
        <v>0</v>
      </c>
      <c r="E68" s="295">
        <v>0</v>
      </c>
      <c r="F68" s="294">
        <v>0</v>
      </c>
      <c r="G68" s="294">
        <v>0</v>
      </c>
      <c r="H68" s="294">
        <v>0</v>
      </c>
      <c r="I68" s="295">
        <v>0</v>
      </c>
      <c r="J68" s="294">
        <v>0</v>
      </c>
      <c r="K68" s="294">
        <v>0</v>
      </c>
      <c r="L68" s="294">
        <v>0</v>
      </c>
      <c r="M68" s="294">
        <v>0</v>
      </c>
      <c r="N68" s="294">
        <v>0</v>
      </c>
      <c r="O68" s="294">
        <v>0</v>
      </c>
      <c r="P68" s="294">
        <v>0</v>
      </c>
      <c r="Q68" s="294">
        <v>0</v>
      </c>
      <c r="R68" s="295">
        <v>0</v>
      </c>
      <c r="S68" s="294">
        <v>0</v>
      </c>
      <c r="T68" s="294">
        <v>0</v>
      </c>
      <c r="U68" s="294">
        <v>0</v>
      </c>
      <c r="V68" s="294">
        <v>0</v>
      </c>
      <c r="W68" s="294">
        <v>0</v>
      </c>
      <c r="X68" s="294">
        <v>0</v>
      </c>
      <c r="Y68" s="294">
        <v>0</v>
      </c>
      <c r="Z68" s="294">
        <v>0</v>
      </c>
      <c r="AA68" s="294">
        <v>0</v>
      </c>
      <c r="AB68" s="294">
        <v>0</v>
      </c>
      <c r="AC68" s="294">
        <v>0</v>
      </c>
      <c r="AD68" s="294">
        <v>0</v>
      </c>
      <c r="AE68" s="294">
        <v>0</v>
      </c>
      <c r="AF68" s="294">
        <v>0</v>
      </c>
      <c r="AG68" s="294">
        <v>0</v>
      </c>
      <c r="AH68" s="294">
        <v>0</v>
      </c>
      <c r="AI68" s="302">
        <f t="shared" si="25"/>
        <v>0</v>
      </c>
      <c r="AJ68" s="225">
        <f t="shared" si="15"/>
        <v>0</v>
      </c>
      <c r="AK68" s="176">
        <f t="shared" si="26"/>
        <v>0</v>
      </c>
      <c r="AL68" s="177">
        <v>1.2327999678571429</v>
      </c>
      <c r="AM68" s="184"/>
      <c r="AN68" s="184"/>
      <c r="AQ68" s="200" t="str">
        <f>'[2]ОПЕРАТИВКА пн-пн'!B73</f>
        <v>ТУРЕЦКИЙ ПОТОК - ПОДАЧА РЕСУРСАгаз Gazprom Schweiz</v>
      </c>
      <c r="AR68" s="151"/>
    </row>
    <row r="69" spans="2:44" s="170" customFormat="1" ht="42" customHeight="1" x14ac:dyDescent="0.25">
      <c r="B69" s="291" t="s">
        <v>255</v>
      </c>
      <c r="C69" s="292"/>
      <c r="D69" s="304">
        <v>4084.7470000000003</v>
      </c>
      <c r="E69" s="304">
        <v>4082.1149999999998</v>
      </c>
      <c r="F69" s="304">
        <v>4080.424</v>
      </c>
      <c r="G69" s="304">
        <v>4081.71</v>
      </c>
      <c r="H69" s="304">
        <v>4082.4559999999997</v>
      </c>
      <c r="I69" s="304">
        <v>4081.431</v>
      </c>
      <c r="J69" s="304">
        <v>4084.3170000000005</v>
      </c>
      <c r="K69" s="304">
        <v>4086.0580000000004</v>
      </c>
      <c r="L69" s="304">
        <v>4083.7370000000001</v>
      </c>
      <c r="M69" s="304">
        <v>4087.663</v>
      </c>
      <c r="N69" s="304">
        <v>4082.4780000000001</v>
      </c>
      <c r="O69" s="304">
        <v>4079.8829999999998</v>
      </c>
      <c r="P69" s="304">
        <v>4083.0780000000004</v>
      </c>
      <c r="Q69" s="304">
        <v>4081.5059999999999</v>
      </c>
      <c r="R69" s="304">
        <v>4079.7559999999999</v>
      </c>
      <c r="S69" s="304">
        <v>4078.3329999999996</v>
      </c>
      <c r="T69" s="304">
        <v>4077.4239999999995</v>
      </c>
      <c r="U69" s="304">
        <v>4082.6580000000004</v>
      </c>
      <c r="V69" s="304">
        <v>4081.9650000000001</v>
      </c>
      <c r="W69" s="304">
        <v>4078.7550000000001</v>
      </c>
      <c r="X69" s="304">
        <v>4080.85</v>
      </c>
      <c r="Y69" s="304">
        <v>4082.078</v>
      </c>
      <c r="Z69" s="304">
        <v>4084.1170000000002</v>
      </c>
      <c r="AA69" s="304">
        <v>4085.6019999999999</v>
      </c>
      <c r="AB69" s="304">
        <v>4084.5409999999997</v>
      </c>
      <c r="AC69" s="304">
        <v>4086.0929999999998</v>
      </c>
      <c r="AD69" s="304">
        <v>4085.5350000000003</v>
      </c>
      <c r="AE69" s="304">
        <v>4081.0550000000003</v>
      </c>
      <c r="AF69" s="304">
        <v>4081.5039999999999</v>
      </c>
      <c r="AG69" s="304">
        <v>4082.1660000000002</v>
      </c>
      <c r="AH69" s="304">
        <v>4082.248</v>
      </c>
      <c r="AI69" s="302">
        <f t="shared" si="25"/>
        <v>126556.283</v>
      </c>
      <c r="AJ69" s="225">
        <f t="shared" si="15"/>
        <v>4.0824607419354839</v>
      </c>
      <c r="AK69" s="176">
        <f t="shared" si="26"/>
        <v>4.0825670370370375</v>
      </c>
      <c r="AL69" s="177">
        <v>2.7642886357142853</v>
      </c>
      <c r="AM69" s="184"/>
      <c r="AN69" s="184"/>
      <c r="AQ69" s="200" t="str">
        <f>'[2]ОПЕРАТИВКА пн-пн'!B74</f>
        <v>ТУРЕЦКИЙ ПОТОК - ПОДАЧА РЕСУРСАРУМЫНИЯ</v>
      </c>
      <c r="AR69" s="151"/>
    </row>
    <row r="70" spans="2:44" s="170" customFormat="1" ht="42" customHeight="1" x14ac:dyDescent="0.25">
      <c r="B70" s="291" t="s">
        <v>256</v>
      </c>
      <c r="C70" s="292"/>
      <c r="D70" s="304">
        <v>6103.4009999999998</v>
      </c>
      <c r="E70" s="304">
        <v>6099.4690000000001</v>
      </c>
      <c r="F70" s="304">
        <v>5406.1549999999997</v>
      </c>
      <c r="G70" s="304">
        <v>6098.8629999999994</v>
      </c>
      <c r="H70" s="304">
        <v>6099.9780000000001</v>
      </c>
      <c r="I70" s="304">
        <v>6075.2560000000003</v>
      </c>
      <c r="J70" s="304">
        <v>6079.5519999999997</v>
      </c>
      <c r="K70" s="304">
        <v>6082.1440000000002</v>
      </c>
      <c r="L70" s="304">
        <v>6078.6889999999994</v>
      </c>
      <c r="M70" s="304">
        <v>6084.5320000000002</v>
      </c>
      <c r="N70" s="304">
        <v>6076.8149999999996</v>
      </c>
      <c r="O70" s="304">
        <v>6072.9520000000002</v>
      </c>
      <c r="P70" s="304">
        <v>6077.7089999999998</v>
      </c>
      <c r="Q70" s="304">
        <v>6075.3680000000004</v>
      </c>
      <c r="R70" s="304">
        <v>6072.7640000000001</v>
      </c>
      <c r="S70" s="304">
        <v>6070.6449999999995</v>
      </c>
      <c r="T70" s="304">
        <v>6069.2929999999997</v>
      </c>
      <c r="U70" s="304">
        <v>6077.0829999999996</v>
      </c>
      <c r="V70" s="304">
        <v>6076.0509999999995</v>
      </c>
      <c r="W70" s="304">
        <v>6071.2739999999994</v>
      </c>
      <c r="X70" s="304">
        <v>6074.3919999999998</v>
      </c>
      <c r="Y70" s="304">
        <v>6076.22</v>
      </c>
      <c r="Z70" s="304">
        <v>6079.2539999999999</v>
      </c>
      <c r="AA70" s="304">
        <v>6081.4649999999992</v>
      </c>
      <c r="AB70" s="304">
        <v>6079.8860000000004</v>
      </c>
      <c r="AC70" s="304">
        <v>6082.1959999999999</v>
      </c>
      <c r="AD70" s="304">
        <v>6081.3649999999998</v>
      </c>
      <c r="AE70" s="304">
        <v>6074.6969999999992</v>
      </c>
      <c r="AF70" s="304">
        <v>6075.3649999999998</v>
      </c>
      <c r="AG70" s="304">
        <v>6076.3509999999997</v>
      </c>
      <c r="AH70" s="304">
        <v>6076.473</v>
      </c>
      <c r="AI70" s="302">
        <f t="shared" si="25"/>
        <v>187805.65699999995</v>
      </c>
      <c r="AJ70" s="225">
        <f t="shared" si="15"/>
        <v>6.0582469999999988</v>
      </c>
      <c r="AK70" s="176">
        <f t="shared" si="26"/>
        <v>6.0556581851851838</v>
      </c>
      <c r="AL70" s="177">
        <v>8.5598826071428569</v>
      </c>
      <c r="AM70" s="184"/>
      <c r="AN70" s="184"/>
      <c r="AQ70" s="200" t="str">
        <f>'[2]ОПЕРАТИВКА пн-пн'!B75</f>
        <v>ТУРЕЦКИЙ ПОТОК - ПОДАЧА РЕСУРСАСЕРБИЯ</v>
      </c>
      <c r="AR70" s="151"/>
    </row>
    <row r="71" spans="2:44" s="170" customFormat="1" ht="42" customHeight="1" x14ac:dyDescent="0.25">
      <c r="B71" s="291" t="s">
        <v>257</v>
      </c>
      <c r="C71" s="292"/>
      <c r="D71" s="304">
        <v>653.6690000000001</v>
      </c>
      <c r="E71" s="304">
        <v>660.03599999999994</v>
      </c>
      <c r="F71" s="304">
        <v>406.24399999999997</v>
      </c>
      <c r="G71" s="304">
        <v>558.42000000000007</v>
      </c>
      <c r="H71" s="304">
        <v>578.89700000000005</v>
      </c>
      <c r="I71" s="304">
        <v>558.45699999999999</v>
      </c>
      <c r="J71" s="304">
        <v>508.08200000000005</v>
      </c>
      <c r="K71" s="304">
        <v>711.45299999999997</v>
      </c>
      <c r="L71" s="304">
        <v>812.59699999999998</v>
      </c>
      <c r="M71" s="304">
        <v>813.37900000000002</v>
      </c>
      <c r="N71" s="304">
        <v>946.00099999999998</v>
      </c>
      <c r="O71" s="304">
        <v>954.12</v>
      </c>
      <c r="P71" s="304">
        <v>954.86700000000008</v>
      </c>
      <c r="Q71" s="304">
        <v>944.33299999999997</v>
      </c>
      <c r="R71" s="304">
        <v>938.84699999999998</v>
      </c>
      <c r="S71" s="304">
        <v>953.75800000000004</v>
      </c>
      <c r="T71" s="304">
        <v>953.54499999999996</v>
      </c>
      <c r="U71" s="304">
        <v>863.17100000000005</v>
      </c>
      <c r="V71" s="304">
        <v>857.94</v>
      </c>
      <c r="W71" s="304">
        <v>948.77599999999995</v>
      </c>
      <c r="X71" s="304">
        <v>949.26200000000006</v>
      </c>
      <c r="Y71" s="304">
        <v>756.43700000000001</v>
      </c>
      <c r="Z71" s="304">
        <v>756.81500000000005</v>
      </c>
      <c r="AA71" s="304">
        <v>656.61599999999999</v>
      </c>
      <c r="AB71" s="304">
        <v>909.21799999999996</v>
      </c>
      <c r="AC71" s="304">
        <v>950.48200000000008</v>
      </c>
      <c r="AD71" s="304">
        <v>945.26299999999992</v>
      </c>
      <c r="AE71" s="304">
        <v>944.22700000000009</v>
      </c>
      <c r="AF71" s="304">
        <v>944.33</v>
      </c>
      <c r="AG71" s="304">
        <v>954.43299999999999</v>
      </c>
      <c r="AH71" s="304">
        <v>954.673</v>
      </c>
      <c r="AI71" s="302">
        <f t="shared" si="25"/>
        <v>25298.348000000002</v>
      </c>
      <c r="AJ71" s="225">
        <f t="shared" si="15"/>
        <v>0.81607574193548393</v>
      </c>
      <c r="AK71" s="176">
        <f t="shared" si="26"/>
        <v>0.79632166666666671</v>
      </c>
      <c r="AL71" s="177">
        <v>0.11590977499999999</v>
      </c>
      <c r="AM71" s="184"/>
      <c r="AN71" s="184"/>
      <c r="AQ71" s="200" t="str">
        <f>'[2]ОПЕРАТИВКА пн-пн'!B76</f>
        <v>ТУРЕЦКИЙ ПОТОК - ПОДАЧА РЕСУРСАБОСНИЯ и ГЕРЦЕГОВИНА</v>
      </c>
      <c r="AR71" s="151"/>
    </row>
    <row r="72" spans="2:44" s="170" customFormat="1" ht="42" customHeight="1" x14ac:dyDescent="0.25">
      <c r="B72" s="291" t="s">
        <v>258</v>
      </c>
      <c r="C72" s="292"/>
      <c r="D72" s="304">
        <v>726.31100000000004</v>
      </c>
      <c r="E72" s="304">
        <v>767.61599999999999</v>
      </c>
      <c r="F72" s="304">
        <v>767.298</v>
      </c>
      <c r="G72" s="304">
        <v>767.54</v>
      </c>
      <c r="H72" s="304">
        <v>767.68099999999993</v>
      </c>
      <c r="I72" s="304">
        <v>767.48799999999994</v>
      </c>
      <c r="J72" s="304">
        <v>768.03</v>
      </c>
      <c r="K72" s="304">
        <v>768.35799999999995</v>
      </c>
      <c r="L72" s="304">
        <v>767.92099999999994</v>
      </c>
      <c r="M72" s="304">
        <v>768.66</v>
      </c>
      <c r="N72" s="304">
        <v>767.68499999999995</v>
      </c>
      <c r="O72" s="304">
        <v>767.197</v>
      </c>
      <c r="P72" s="304">
        <v>767.79699999999991</v>
      </c>
      <c r="Q72" s="304">
        <v>767.50200000000007</v>
      </c>
      <c r="R72" s="304">
        <v>767.173</v>
      </c>
      <c r="S72" s="304">
        <v>766.90599999999995</v>
      </c>
      <c r="T72" s="304">
        <v>766.73400000000004</v>
      </c>
      <c r="U72" s="304">
        <v>767.71900000000005</v>
      </c>
      <c r="V72" s="304">
        <v>767.58899999999994</v>
      </c>
      <c r="W72" s="304">
        <v>766.98400000000004</v>
      </c>
      <c r="X72" s="304">
        <v>767.37900000000002</v>
      </c>
      <c r="Y72" s="304">
        <v>767.60900000000004</v>
      </c>
      <c r="Z72" s="304">
        <v>767.99300000000005</v>
      </c>
      <c r="AA72" s="304">
        <v>768.27199999999993</v>
      </c>
      <c r="AB72" s="304">
        <v>768.07299999999998</v>
      </c>
      <c r="AC72" s="304">
        <v>768.36400000000003</v>
      </c>
      <c r="AD72" s="304">
        <v>768.2600000000001</v>
      </c>
      <c r="AE72" s="304">
        <v>767.41700000000003</v>
      </c>
      <c r="AF72" s="304">
        <v>767.50200000000007</v>
      </c>
      <c r="AG72" s="304">
        <v>799.61</v>
      </c>
      <c r="AH72" s="304">
        <v>767.64099999999996</v>
      </c>
      <c r="AI72" s="302"/>
      <c r="AJ72" s="225"/>
      <c r="AK72" s="176"/>
      <c r="AL72" s="177"/>
      <c r="AM72" s="184"/>
      <c r="AN72" s="184"/>
      <c r="AQ72" s="200"/>
      <c r="AR72" s="151"/>
    </row>
    <row r="73" spans="2:44" s="170" customFormat="1" ht="42" customHeight="1" x14ac:dyDescent="0.25">
      <c r="B73" s="291" t="s">
        <v>254</v>
      </c>
      <c r="C73" s="292"/>
      <c r="D73" s="304"/>
      <c r="E73" s="304"/>
      <c r="F73" s="304"/>
      <c r="G73" s="304"/>
      <c r="H73" s="304"/>
      <c r="I73" s="304"/>
      <c r="J73" s="304"/>
      <c r="K73" s="304"/>
      <c r="L73" s="304"/>
      <c r="M73" s="304"/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04">
        <v>0</v>
      </c>
      <c r="AH73" s="304">
        <v>0</v>
      </c>
      <c r="AI73" s="302"/>
      <c r="AJ73" s="225"/>
      <c r="AK73" s="176"/>
      <c r="AL73" s="177"/>
      <c r="AM73" s="184"/>
      <c r="AN73" s="184"/>
      <c r="AQ73" s="200"/>
      <c r="AR73" s="151"/>
    </row>
    <row r="74" spans="2:44" s="170" customFormat="1" ht="42" customHeight="1" x14ac:dyDescent="0.25">
      <c r="B74" s="291" t="s">
        <v>259</v>
      </c>
      <c r="C74" s="292"/>
      <c r="D74" s="304">
        <v>5497.0190000000002</v>
      </c>
      <c r="E74" s="304">
        <v>5493.4770000000008</v>
      </c>
      <c r="F74" s="304">
        <v>5491.201</v>
      </c>
      <c r="G74" s="304">
        <v>5492.9319999999998</v>
      </c>
      <c r="H74" s="304">
        <v>5493.9359999999997</v>
      </c>
      <c r="I74" s="304">
        <v>5492.5560000000005</v>
      </c>
      <c r="J74" s="304">
        <v>5496.44</v>
      </c>
      <c r="K74" s="304">
        <v>5498.7830000000004</v>
      </c>
      <c r="L74" s="304">
        <v>5495.6589999999997</v>
      </c>
      <c r="M74" s="304">
        <v>5500.942</v>
      </c>
      <c r="N74" s="304">
        <v>5493.9650000000001</v>
      </c>
      <c r="O74" s="304">
        <v>5490.4719999999998</v>
      </c>
      <c r="P74" s="304">
        <v>5494.7730000000001</v>
      </c>
      <c r="Q74" s="304">
        <v>5492.6570000000002</v>
      </c>
      <c r="R74" s="304">
        <v>5490.3019999999997</v>
      </c>
      <c r="S74" s="304">
        <v>5488.3870000000006</v>
      </c>
      <c r="T74" s="304">
        <v>5487.1639999999998</v>
      </c>
      <c r="U74" s="304">
        <v>5494.2070000000003</v>
      </c>
      <c r="V74" s="304">
        <v>5493.2740000000003</v>
      </c>
      <c r="W74" s="304">
        <v>5488.9549999999999</v>
      </c>
      <c r="X74" s="304">
        <v>5491.7740000000003</v>
      </c>
      <c r="Y74" s="304">
        <v>5493.4269999999997</v>
      </c>
      <c r="Z74" s="304">
        <v>5496.17</v>
      </c>
      <c r="AA74" s="304">
        <v>5498.1689999999999</v>
      </c>
      <c r="AB74" s="304">
        <v>5496.741</v>
      </c>
      <c r="AC74" s="304">
        <v>5498.83</v>
      </c>
      <c r="AD74" s="304">
        <v>5498.0779999999995</v>
      </c>
      <c r="AE74" s="304">
        <v>5492.05</v>
      </c>
      <c r="AF74" s="304">
        <v>5492.6539999999995</v>
      </c>
      <c r="AG74" s="304">
        <v>5722.4430000000002</v>
      </c>
      <c r="AH74" s="304">
        <v>5493.6550000000007</v>
      </c>
      <c r="AI74" s="302"/>
      <c r="AJ74" s="225"/>
      <c r="AK74" s="176"/>
      <c r="AL74" s="177"/>
      <c r="AM74" s="184"/>
      <c r="AN74" s="184"/>
      <c r="AQ74" s="200"/>
      <c r="AR74" s="151"/>
    </row>
    <row r="75" spans="2:44" s="170" customFormat="1" ht="42" customHeight="1" x14ac:dyDescent="0.25">
      <c r="B75" s="291" t="s">
        <v>260</v>
      </c>
      <c r="C75" s="292"/>
      <c r="D75" s="304">
        <v>0</v>
      </c>
      <c r="E75" s="304">
        <v>0</v>
      </c>
      <c r="F75" s="304">
        <v>0</v>
      </c>
      <c r="G75" s="304">
        <v>0</v>
      </c>
      <c r="H75" s="304">
        <v>0</v>
      </c>
      <c r="I75" s="304">
        <v>0</v>
      </c>
      <c r="J75" s="304">
        <v>0</v>
      </c>
      <c r="K75" s="304">
        <v>0</v>
      </c>
      <c r="L75" s="304">
        <v>0</v>
      </c>
      <c r="M75" s="304">
        <v>0</v>
      </c>
      <c r="N75" s="304">
        <v>0</v>
      </c>
      <c r="O75" s="304">
        <v>0</v>
      </c>
      <c r="P75" s="304">
        <v>0</v>
      </c>
      <c r="Q75" s="304">
        <v>0</v>
      </c>
      <c r="R75" s="304">
        <v>0</v>
      </c>
      <c r="S75" s="304">
        <v>0</v>
      </c>
      <c r="T75" s="304">
        <v>0</v>
      </c>
      <c r="U75" s="304">
        <v>0</v>
      </c>
      <c r="V75" s="304">
        <v>0</v>
      </c>
      <c r="W75" s="304">
        <v>0</v>
      </c>
      <c r="X75" s="304">
        <v>0</v>
      </c>
      <c r="Y75" s="304">
        <v>0</v>
      </c>
      <c r="Z75" s="304">
        <v>0</v>
      </c>
      <c r="AA75" s="304">
        <v>0</v>
      </c>
      <c r="AB75" s="304">
        <v>0</v>
      </c>
      <c r="AC75" s="304">
        <v>0</v>
      </c>
      <c r="AD75" s="304">
        <v>0</v>
      </c>
      <c r="AE75" s="304">
        <v>0</v>
      </c>
      <c r="AF75" s="304">
        <v>0</v>
      </c>
      <c r="AG75" s="304">
        <v>0</v>
      </c>
      <c r="AH75" s="304">
        <v>0</v>
      </c>
      <c r="AI75" s="302">
        <f t="shared" si="25"/>
        <v>0</v>
      </c>
      <c r="AJ75" s="225">
        <f t="shared" si="15"/>
        <v>0</v>
      </c>
      <c r="AK75" s="176">
        <f t="shared" si="26"/>
        <v>0</v>
      </c>
      <c r="AL75" s="177"/>
      <c r="AM75" s="184"/>
      <c r="AN75" s="184"/>
      <c r="AQ75" s="200" t="str">
        <f>'[2]ОПЕРАТИВКА пн-пн'!B80</f>
        <v>ТУРЕЦКИЙ ПОТОК - ПОДАЧА РЕСУРСААВСТРИЯ</v>
      </c>
      <c r="AR75" s="151"/>
    </row>
    <row r="76" spans="2:44" s="170" customFormat="1" ht="42" customHeight="1" x14ac:dyDescent="0.25">
      <c r="B76" s="291" t="s">
        <v>228</v>
      </c>
      <c r="C76" s="292"/>
      <c r="D76" s="304">
        <v>0</v>
      </c>
      <c r="E76" s="304">
        <v>0</v>
      </c>
      <c r="F76" s="304">
        <v>0</v>
      </c>
      <c r="G76" s="304">
        <v>0</v>
      </c>
      <c r="H76" s="304">
        <v>0</v>
      </c>
      <c r="I76" s="304">
        <v>0</v>
      </c>
      <c r="J76" s="304">
        <v>0</v>
      </c>
      <c r="K76" s="304">
        <v>0</v>
      </c>
      <c r="L76" s="304">
        <v>0</v>
      </c>
      <c r="M76" s="304">
        <v>0</v>
      </c>
      <c r="N76" s="304">
        <v>0</v>
      </c>
      <c r="O76" s="304">
        <v>0</v>
      </c>
      <c r="P76" s="304">
        <v>0</v>
      </c>
      <c r="Q76" s="304">
        <v>0</v>
      </c>
      <c r="R76" s="304">
        <v>0</v>
      </c>
      <c r="S76" s="304">
        <v>0</v>
      </c>
      <c r="T76" s="304">
        <v>0</v>
      </c>
      <c r="U76" s="304">
        <v>0</v>
      </c>
      <c r="V76" s="304">
        <v>0</v>
      </c>
      <c r="W76" s="304">
        <v>0</v>
      </c>
      <c r="X76" s="304">
        <v>0</v>
      </c>
      <c r="Y76" s="304">
        <v>0</v>
      </c>
      <c r="Z76" s="304">
        <v>0</v>
      </c>
      <c r="AA76" s="304">
        <v>0</v>
      </c>
      <c r="AB76" s="304">
        <v>0</v>
      </c>
      <c r="AC76" s="304">
        <v>0</v>
      </c>
      <c r="AD76" s="304">
        <v>0</v>
      </c>
      <c r="AE76" s="304">
        <v>0</v>
      </c>
      <c r="AF76" s="304">
        <v>0</v>
      </c>
      <c r="AG76" s="304">
        <v>0</v>
      </c>
      <c r="AH76" s="304">
        <v>0</v>
      </c>
      <c r="AI76" s="302">
        <f t="shared" si="25"/>
        <v>0</v>
      </c>
      <c r="AJ76" s="225">
        <f t="shared" si="15"/>
        <v>0</v>
      </c>
      <c r="AK76" s="176">
        <f t="shared" si="26"/>
        <v>0</v>
      </c>
      <c r="AL76" s="177"/>
      <c r="AM76" s="184"/>
      <c r="AN76" s="184"/>
      <c r="AQ76" s="200" t="str">
        <f>'[2]ОПЕРАТИВКА пн-пн'!B81</f>
        <v>ТУРЕЦКИЙ ПОТОК - ПОДАЧА РЕСУРСАИТАЛИЯ</v>
      </c>
      <c r="AR76" s="151"/>
    </row>
    <row r="77" spans="2:44" s="192" customFormat="1" ht="30" customHeight="1" x14ac:dyDescent="0.45">
      <c r="B77" s="207" t="s">
        <v>261</v>
      </c>
      <c r="C77" s="208"/>
      <c r="D77" s="211">
        <f t="shared" ref="D77:AH77" si="27">D80+D78-D79</f>
        <v>167399.7998837902</v>
      </c>
      <c r="E77" s="211">
        <f t="shared" si="27"/>
        <v>167399.98978272409</v>
      </c>
      <c r="F77" s="211">
        <f t="shared" si="27"/>
        <v>167399.9907360131</v>
      </c>
      <c r="G77" s="211">
        <f t="shared" si="27"/>
        <v>167399.98572570528</v>
      </c>
      <c r="H77" s="211">
        <f t="shared" si="27"/>
        <v>167399.98408007622</v>
      </c>
      <c r="I77" s="211">
        <f t="shared" si="27"/>
        <v>167399.99332697806</v>
      </c>
      <c r="J77" s="211">
        <f t="shared" si="27"/>
        <v>167399.99685414683</v>
      </c>
      <c r="K77" s="211">
        <f t="shared" si="27"/>
        <v>167399.98198284075</v>
      </c>
      <c r="L77" s="211">
        <f t="shared" si="27"/>
        <v>167399.97387988566</v>
      </c>
      <c r="M77" s="211">
        <f t="shared" si="27"/>
        <v>167399.95872259294</v>
      </c>
      <c r="N77" s="211">
        <f t="shared" si="27"/>
        <v>167399.98188751185</v>
      </c>
      <c r="O77" s="211">
        <f t="shared" si="27"/>
        <v>167399.99742612004</v>
      </c>
      <c r="P77" s="211">
        <f t="shared" si="27"/>
        <v>167399.98427073407</v>
      </c>
      <c r="Q77" s="211">
        <f t="shared" si="27"/>
        <v>167399.98551000954</v>
      </c>
      <c r="R77" s="211">
        <f t="shared" si="27"/>
        <v>167399.98083889417</v>
      </c>
      <c r="S77" s="211">
        <f t="shared" si="27"/>
        <v>167399.98655862737</v>
      </c>
      <c r="T77" s="211">
        <f t="shared" si="27"/>
        <v>167399.99208770267</v>
      </c>
      <c r="U77" s="211">
        <f t="shared" si="27"/>
        <v>167399.99361296478</v>
      </c>
      <c r="V77" s="211">
        <f t="shared" si="27"/>
        <v>167399.97664442318</v>
      </c>
      <c r="W77" s="211">
        <f t="shared" si="27"/>
        <v>167399.99895138221</v>
      </c>
      <c r="X77" s="211">
        <f t="shared" si="27"/>
        <v>167399.98427073398</v>
      </c>
      <c r="Y77" s="211">
        <f t="shared" si="27"/>
        <v>167399.9731172545</v>
      </c>
      <c r="Z77" s="211">
        <f t="shared" si="27"/>
        <v>167399.99313632032</v>
      </c>
      <c r="AA77" s="211">
        <f t="shared" si="27"/>
        <v>167399.9789323165</v>
      </c>
      <c r="AB77" s="211">
        <f t="shared" si="27"/>
        <v>167399.99246901809</v>
      </c>
      <c r="AC77" s="211">
        <f t="shared" si="27"/>
        <v>167399.99132507146</v>
      </c>
      <c r="AD77" s="211">
        <f t="shared" si="27"/>
        <v>167399.99590085796</v>
      </c>
      <c r="AE77" s="211">
        <f t="shared" si="27"/>
        <v>167400.01143946609</v>
      </c>
      <c r="AF77" s="211">
        <f t="shared" si="27"/>
        <v>167399.98941849387</v>
      </c>
      <c r="AG77" s="211">
        <f t="shared" si="27"/>
        <v>174351.62810867492</v>
      </c>
      <c r="AH77" s="211">
        <f t="shared" si="27"/>
        <v>167399.99961868441</v>
      </c>
      <c r="AI77" s="212">
        <f t="shared" si="25"/>
        <v>5196351.0705000143</v>
      </c>
      <c r="AJ77" s="225">
        <f t="shared" si="15"/>
        <v>167.62422808064562</v>
      </c>
      <c r="AK77" s="176">
        <f t="shared" si="26"/>
        <v>167.39997933017389</v>
      </c>
      <c r="AL77" s="199">
        <v>167.39948827478204</v>
      </c>
      <c r="AQ77" s="170"/>
      <c r="AR77" s="151"/>
    </row>
    <row r="78" spans="2:44" s="192" customFormat="1" ht="30" customHeight="1" x14ac:dyDescent="0.45">
      <c r="B78" s="305" t="s">
        <v>212</v>
      </c>
      <c r="C78" s="306"/>
      <c r="D78" s="307">
        <v>0</v>
      </c>
      <c r="E78" s="308">
        <v>0</v>
      </c>
      <c r="F78" s="309">
        <v>0</v>
      </c>
      <c r="G78" s="308">
        <v>0</v>
      </c>
      <c r="H78" s="310">
        <v>0</v>
      </c>
      <c r="I78" s="310">
        <v>0</v>
      </c>
      <c r="J78" s="310">
        <v>0</v>
      </c>
      <c r="K78" s="310">
        <v>0</v>
      </c>
      <c r="L78" s="310">
        <v>0</v>
      </c>
      <c r="M78" s="310">
        <v>0</v>
      </c>
      <c r="N78" s="310">
        <v>0</v>
      </c>
      <c r="O78" s="310">
        <v>0</v>
      </c>
      <c r="P78" s="310">
        <v>0</v>
      </c>
      <c r="Q78" s="310">
        <v>0</v>
      </c>
      <c r="R78" s="310">
        <v>0</v>
      </c>
      <c r="S78" s="310">
        <v>0</v>
      </c>
      <c r="T78" s="310">
        <v>0</v>
      </c>
      <c r="U78" s="310">
        <v>0</v>
      </c>
      <c r="V78" s="310">
        <v>0</v>
      </c>
      <c r="W78" s="310">
        <v>0</v>
      </c>
      <c r="X78" s="310">
        <v>0</v>
      </c>
      <c r="Y78" s="310">
        <v>0</v>
      </c>
      <c r="Z78" s="310">
        <v>0</v>
      </c>
      <c r="AA78" s="310">
        <v>0</v>
      </c>
      <c r="AB78" s="310">
        <v>0</v>
      </c>
      <c r="AC78" s="311">
        <v>0</v>
      </c>
      <c r="AD78" s="310">
        <v>0</v>
      </c>
      <c r="AE78" s="310">
        <v>0</v>
      </c>
      <c r="AF78" s="310">
        <v>0</v>
      </c>
      <c r="AG78" s="310">
        <v>0</v>
      </c>
      <c r="AH78" s="310">
        <v>0</v>
      </c>
      <c r="AI78" s="312">
        <f t="shared" si="25"/>
        <v>0</v>
      </c>
      <c r="AJ78" s="225">
        <f t="shared" si="15"/>
        <v>0</v>
      </c>
      <c r="AK78" s="176">
        <f t="shared" si="26"/>
        <v>0</v>
      </c>
      <c r="AL78" s="199">
        <v>0.19819920856598119</v>
      </c>
      <c r="AQ78" s="200" t="str">
        <f>'[2]ОПЕРАТИВКА пн-пн'!B83</f>
        <v>СЕВЕРНЫЙ ПОТОК - ПОДАЧА РЕСУРСАЗАКАЧКА в ПХГ</v>
      </c>
      <c r="AR78" s="151"/>
    </row>
    <row r="79" spans="2:44" s="156" customFormat="1" ht="30" customHeight="1" x14ac:dyDescent="0.45">
      <c r="B79" s="305" t="s">
        <v>213</v>
      </c>
      <c r="C79" s="313"/>
      <c r="D79" s="307">
        <v>0</v>
      </c>
      <c r="E79" s="308">
        <v>0</v>
      </c>
      <c r="F79" s="309">
        <v>0</v>
      </c>
      <c r="G79" s="308">
        <v>0</v>
      </c>
      <c r="H79" s="310">
        <v>0</v>
      </c>
      <c r="I79" s="310">
        <v>0</v>
      </c>
      <c r="J79" s="310">
        <v>0</v>
      </c>
      <c r="K79" s="310">
        <v>0</v>
      </c>
      <c r="L79" s="310">
        <v>0</v>
      </c>
      <c r="M79" s="310">
        <v>0</v>
      </c>
      <c r="N79" s="310">
        <v>0</v>
      </c>
      <c r="O79" s="310">
        <v>0</v>
      </c>
      <c r="P79" s="314">
        <v>0</v>
      </c>
      <c r="Q79" s="315">
        <v>0</v>
      </c>
      <c r="R79" s="314">
        <v>0</v>
      </c>
      <c r="S79" s="314">
        <v>0</v>
      </c>
      <c r="T79" s="314">
        <v>0</v>
      </c>
      <c r="U79" s="314">
        <v>0</v>
      </c>
      <c r="V79" s="314">
        <v>0</v>
      </c>
      <c r="W79" s="314">
        <v>0</v>
      </c>
      <c r="X79" s="314">
        <v>0</v>
      </c>
      <c r="Y79" s="314">
        <v>0</v>
      </c>
      <c r="Z79" s="314">
        <v>0</v>
      </c>
      <c r="AA79" s="310">
        <v>0</v>
      </c>
      <c r="AB79" s="310">
        <v>0</v>
      </c>
      <c r="AC79" s="310">
        <v>0</v>
      </c>
      <c r="AD79" s="310">
        <v>0</v>
      </c>
      <c r="AE79" s="310">
        <v>0</v>
      </c>
      <c r="AF79" s="310">
        <v>0</v>
      </c>
      <c r="AG79" s="310">
        <v>0</v>
      </c>
      <c r="AH79" s="310">
        <v>0</v>
      </c>
      <c r="AI79" s="312">
        <f t="shared" si="25"/>
        <v>0</v>
      </c>
      <c r="AJ79" s="225">
        <f t="shared" si="15"/>
        <v>0</v>
      </c>
      <c r="AK79" s="176">
        <f t="shared" si="26"/>
        <v>0</v>
      </c>
      <c r="AL79" s="199">
        <v>0</v>
      </c>
      <c r="AQ79" s="200" t="str">
        <f>'[2]ОПЕРАТИВКА пн-пн'!B84</f>
        <v>СЕВЕРНЫЙ ПОТОК - ПОДАЧА РЕСУРСАОТБОР из ПХГ</v>
      </c>
      <c r="AR79" s="151"/>
    </row>
    <row r="80" spans="2:44" s="192" customFormat="1" ht="30" customHeight="1" x14ac:dyDescent="0.45">
      <c r="B80" s="305" t="s">
        <v>214</v>
      </c>
      <c r="C80" s="306"/>
      <c r="D80" s="316">
        <f t="shared" ref="D80:AH80" si="28">SUM(D81:D91)</f>
        <v>167399.7998837902</v>
      </c>
      <c r="E80" s="315">
        <f t="shared" si="28"/>
        <v>167399.98978272409</v>
      </c>
      <c r="F80" s="315">
        <f t="shared" si="28"/>
        <v>167399.9907360131</v>
      </c>
      <c r="G80" s="315">
        <f t="shared" si="28"/>
        <v>167399.98572570528</v>
      </c>
      <c r="H80" s="315">
        <f t="shared" si="28"/>
        <v>167399.98408007622</v>
      </c>
      <c r="I80" s="315">
        <f t="shared" si="28"/>
        <v>167399.99332697806</v>
      </c>
      <c r="J80" s="315">
        <f t="shared" si="28"/>
        <v>167399.99685414683</v>
      </c>
      <c r="K80" s="315">
        <f t="shared" si="28"/>
        <v>167399.98198284075</v>
      </c>
      <c r="L80" s="315">
        <f t="shared" si="28"/>
        <v>167399.97387988566</v>
      </c>
      <c r="M80" s="315">
        <f t="shared" si="28"/>
        <v>167399.95872259294</v>
      </c>
      <c r="N80" s="315">
        <f t="shared" si="28"/>
        <v>167399.98188751185</v>
      </c>
      <c r="O80" s="315">
        <f t="shared" si="28"/>
        <v>167399.99742612004</v>
      </c>
      <c r="P80" s="315">
        <f t="shared" si="28"/>
        <v>167399.98427073407</v>
      </c>
      <c r="Q80" s="315">
        <f t="shared" si="28"/>
        <v>167399.98551000954</v>
      </c>
      <c r="R80" s="315">
        <f t="shared" si="28"/>
        <v>167399.98083889417</v>
      </c>
      <c r="S80" s="315">
        <f t="shared" si="28"/>
        <v>167399.98655862737</v>
      </c>
      <c r="T80" s="315">
        <f t="shared" si="28"/>
        <v>167399.99208770267</v>
      </c>
      <c r="U80" s="315">
        <f t="shared" si="28"/>
        <v>167399.99361296478</v>
      </c>
      <c r="V80" s="315">
        <f t="shared" si="28"/>
        <v>167399.97664442318</v>
      </c>
      <c r="W80" s="315">
        <f t="shared" si="28"/>
        <v>167399.99895138221</v>
      </c>
      <c r="X80" s="315">
        <f t="shared" si="28"/>
        <v>167399.98427073398</v>
      </c>
      <c r="Y80" s="315">
        <f t="shared" si="28"/>
        <v>167399.9731172545</v>
      </c>
      <c r="Z80" s="315">
        <f t="shared" si="28"/>
        <v>167399.99313632032</v>
      </c>
      <c r="AA80" s="315">
        <f t="shared" si="28"/>
        <v>167399.9789323165</v>
      </c>
      <c r="AB80" s="315">
        <f t="shared" si="28"/>
        <v>167399.99246901809</v>
      </c>
      <c r="AC80" s="315">
        <f t="shared" si="28"/>
        <v>167399.99132507146</v>
      </c>
      <c r="AD80" s="315">
        <f t="shared" si="28"/>
        <v>167399.99590085796</v>
      </c>
      <c r="AE80" s="315">
        <f t="shared" si="28"/>
        <v>167400.01143946609</v>
      </c>
      <c r="AF80" s="315">
        <f t="shared" si="28"/>
        <v>167399.98941849387</v>
      </c>
      <c r="AG80" s="315">
        <f t="shared" si="28"/>
        <v>174351.62810867492</v>
      </c>
      <c r="AH80" s="315">
        <f t="shared" si="28"/>
        <v>167399.99961868441</v>
      </c>
      <c r="AI80" s="318">
        <f t="shared" si="25"/>
        <v>5196351.0705000143</v>
      </c>
      <c r="AJ80" s="225">
        <f t="shared" si="15"/>
        <v>167.62422808064562</v>
      </c>
      <c r="AK80" s="176">
        <f t="shared" si="26"/>
        <v>167.39997933017389</v>
      </c>
      <c r="AL80" s="199">
        <v>167.20128906621608</v>
      </c>
      <c r="AQ80" s="221"/>
      <c r="AR80" s="151"/>
    </row>
    <row r="81" spans="2:44" s="192" customFormat="1" ht="30" customHeight="1" x14ac:dyDescent="0.35">
      <c r="B81" s="305" t="s">
        <v>239</v>
      </c>
      <c r="C81" s="306"/>
      <c r="D81" s="319">
        <v>4724.4995233555801</v>
      </c>
      <c r="E81" s="310">
        <v>4724.4995233555801</v>
      </c>
      <c r="F81" s="310">
        <v>4724.4995233555801</v>
      </c>
      <c r="G81" s="310">
        <v>4724.4995233555801</v>
      </c>
      <c r="H81" s="310">
        <v>4724.4995233555801</v>
      </c>
      <c r="I81" s="310">
        <v>4724.4995233555801</v>
      </c>
      <c r="J81" s="310">
        <v>4724.4995233555801</v>
      </c>
      <c r="K81" s="310">
        <v>4724.4995233555801</v>
      </c>
      <c r="L81" s="310">
        <v>4724.4995233555801</v>
      </c>
      <c r="M81" s="310">
        <v>4724.4995233555801</v>
      </c>
      <c r="N81" s="310">
        <v>4724.4995233555801</v>
      </c>
      <c r="O81" s="310">
        <v>4724.4995233555801</v>
      </c>
      <c r="P81" s="310">
        <v>4724.4995233555801</v>
      </c>
      <c r="Q81" s="310">
        <v>4724.4995233555801</v>
      </c>
      <c r="R81" s="310">
        <v>4724.4995233555801</v>
      </c>
      <c r="S81" s="310">
        <v>4724.4995233555801</v>
      </c>
      <c r="T81" s="310">
        <v>4724.4995233555801</v>
      </c>
      <c r="U81" s="310">
        <v>4724.4995233555801</v>
      </c>
      <c r="V81" s="310">
        <v>4724.4995233555801</v>
      </c>
      <c r="W81" s="310">
        <v>4724.4995233555801</v>
      </c>
      <c r="X81" s="310">
        <v>4724.4995233555801</v>
      </c>
      <c r="Y81" s="314">
        <v>4724.4995233555801</v>
      </c>
      <c r="Z81" s="314">
        <v>4724.4995233555801</v>
      </c>
      <c r="AA81" s="314">
        <v>4724.4995233555801</v>
      </c>
      <c r="AB81" s="314">
        <v>4724.4995233555801</v>
      </c>
      <c r="AC81" s="310">
        <v>4724.4995233555801</v>
      </c>
      <c r="AD81" s="310">
        <v>4724.4995233555801</v>
      </c>
      <c r="AE81" s="310">
        <v>4724.4995233555801</v>
      </c>
      <c r="AF81" s="310">
        <v>4724.4995233555801</v>
      </c>
      <c r="AG81" s="310">
        <v>4921.3536701620596</v>
      </c>
      <c r="AH81" s="310">
        <v>4801.5569113441406</v>
      </c>
      <c r="AI81" s="312">
        <f t="shared" si="25"/>
        <v>146733.39675881804</v>
      </c>
      <c r="AJ81" s="225">
        <f t="shared" si="15"/>
        <v>4.7333353793167108</v>
      </c>
      <c r="AK81" s="176">
        <f t="shared" si="26"/>
        <v>4.7244995233555809</v>
      </c>
      <c r="AL81" s="223">
        <v>1.28575636569522</v>
      </c>
      <c r="AQ81" s="200" t="str">
        <f>'[2]ОПЕРАТИВКА пн-пн'!B86</f>
        <v>СЕВЕРНЫЙ ПОТОК - ПОДАЧА РЕСУРСАДАНИЯ</v>
      </c>
      <c r="AR81" s="151"/>
    </row>
    <row r="82" spans="2:44" s="192" customFormat="1" ht="30" customHeight="1" x14ac:dyDescent="0.35">
      <c r="B82" s="305" t="s">
        <v>237</v>
      </c>
      <c r="C82" s="306"/>
      <c r="D82" s="319">
        <v>0</v>
      </c>
      <c r="E82" s="310">
        <v>0</v>
      </c>
      <c r="F82" s="310">
        <v>0</v>
      </c>
      <c r="G82" s="310">
        <v>0</v>
      </c>
      <c r="H82" s="310">
        <v>0</v>
      </c>
      <c r="I82" s="310">
        <v>0</v>
      </c>
      <c r="J82" s="310">
        <v>0</v>
      </c>
      <c r="K82" s="310">
        <v>0</v>
      </c>
      <c r="L82" s="310">
        <v>0</v>
      </c>
      <c r="M82" s="310">
        <v>0</v>
      </c>
      <c r="N82" s="310">
        <v>0</v>
      </c>
      <c r="O82" s="310">
        <v>0</v>
      </c>
      <c r="P82" s="310">
        <v>0</v>
      </c>
      <c r="Q82" s="310">
        <v>0</v>
      </c>
      <c r="R82" s="310">
        <v>0</v>
      </c>
      <c r="S82" s="310">
        <v>0</v>
      </c>
      <c r="T82" s="310">
        <v>0</v>
      </c>
      <c r="U82" s="310">
        <v>0</v>
      </c>
      <c r="V82" s="310">
        <v>0</v>
      </c>
      <c r="W82" s="310">
        <v>0</v>
      </c>
      <c r="X82" s="310">
        <v>0</v>
      </c>
      <c r="Y82" s="310">
        <v>0</v>
      </c>
      <c r="Z82" s="310">
        <v>0</v>
      </c>
      <c r="AA82" s="310">
        <v>0</v>
      </c>
      <c r="AB82" s="310">
        <v>0</v>
      </c>
      <c r="AC82" s="310">
        <v>0</v>
      </c>
      <c r="AD82" s="310">
        <v>0</v>
      </c>
      <c r="AE82" s="310">
        <v>0</v>
      </c>
      <c r="AF82" s="310">
        <v>0</v>
      </c>
      <c r="AG82" s="310">
        <v>0</v>
      </c>
      <c r="AH82" s="310">
        <v>0</v>
      </c>
      <c r="AI82" s="312">
        <f t="shared" si="25"/>
        <v>0</v>
      </c>
      <c r="AJ82" s="225">
        <f t="shared" si="15"/>
        <v>0</v>
      </c>
      <c r="AK82" s="176">
        <f t="shared" si="26"/>
        <v>0</v>
      </c>
      <c r="AL82" s="223">
        <v>7.0801402579293198</v>
      </c>
      <c r="AQ82" s="200" t="str">
        <f>'[2]ОПЕРАТИВКА пн-пн'!B87</f>
        <v>СЕВЕРНЫЙ ПОТОК - ПОДАЧА РЕСУРСАБЕЛЬГИЯ</v>
      </c>
      <c r="AR82" s="151"/>
    </row>
    <row r="83" spans="2:44" s="192" customFormat="1" ht="30" customHeight="1" x14ac:dyDescent="0.35">
      <c r="B83" s="305" t="s">
        <v>220</v>
      </c>
      <c r="C83" s="306"/>
      <c r="D83" s="319">
        <v>94316.234202188702</v>
      </c>
      <c r="E83" s="310">
        <v>94396.254320378997</v>
      </c>
      <c r="F83" s="310">
        <v>94312.423147833804</v>
      </c>
      <c r="G83" s="310">
        <v>93879.543780995999</v>
      </c>
      <c r="H83" s="310">
        <v>91834.304766444198</v>
      </c>
      <c r="I83" s="310">
        <v>87976.992945662496</v>
      </c>
      <c r="J83" s="310">
        <v>88222.145757864593</v>
      </c>
      <c r="K83" s="310">
        <v>87622.130695900792</v>
      </c>
      <c r="L83" s="310">
        <v>87685.398760724493</v>
      </c>
      <c r="M83" s="310">
        <v>87578.930695900795</v>
      </c>
      <c r="N83" s="310">
        <v>87486.531839847405</v>
      </c>
      <c r="O83" s="310">
        <v>88736.435557673904</v>
      </c>
      <c r="P83" s="310">
        <v>87586.728979980908</v>
      </c>
      <c r="Q83" s="310">
        <v>87586.730981887493</v>
      </c>
      <c r="R83" s="310">
        <v>87766.959389895113</v>
      </c>
      <c r="S83" s="310">
        <v>87574.542897998093</v>
      </c>
      <c r="T83" s="310">
        <v>87574.548427073401</v>
      </c>
      <c r="U83" s="310">
        <v>88379.898570066696</v>
      </c>
      <c r="V83" s="310">
        <v>97098.681601525197</v>
      </c>
      <c r="W83" s="310">
        <v>97203.628217349804</v>
      </c>
      <c r="X83" s="310">
        <v>96805.069399428001</v>
      </c>
      <c r="Y83" s="310">
        <v>92033.873784556708</v>
      </c>
      <c r="Z83" s="310">
        <v>87867.3958055291</v>
      </c>
      <c r="AA83" s="310">
        <v>87924.513060057201</v>
      </c>
      <c r="AB83" s="310">
        <v>88099.057387988491</v>
      </c>
      <c r="AC83" s="310">
        <v>92005.143755958008</v>
      </c>
      <c r="AD83" s="310">
        <v>97709.828598665394</v>
      </c>
      <c r="AE83" s="310">
        <v>96688.789704480398</v>
      </c>
      <c r="AF83" s="310">
        <v>86754.538036225</v>
      </c>
      <c r="AG83" s="310">
        <v>79298.0104861773</v>
      </c>
      <c r="AH83" s="310">
        <v>74769.920305052394</v>
      </c>
      <c r="AI83" s="312">
        <f t="shared" si="25"/>
        <v>2784775.1858613105</v>
      </c>
      <c r="AJ83" s="225">
        <f t="shared" si="15"/>
        <v>89.831457608429361</v>
      </c>
      <c r="AK83" s="176">
        <f t="shared" si="26"/>
        <v>90.639404715902813</v>
      </c>
      <c r="AL83" s="223">
        <v>131.67720426451379</v>
      </c>
      <c r="AQ83" s="200" t="str">
        <f>'[2]ОПЕРАТИВКА пн-пн'!B88</f>
        <v>СЕВЕРНЫЙ ПОТОК - ПОДАЧА РЕСУРСАГЕРМАНИЯ</v>
      </c>
      <c r="AR83" s="151"/>
    </row>
    <row r="84" spans="2:44" s="192" customFormat="1" ht="30" customHeight="1" x14ac:dyDescent="0.35">
      <c r="B84" s="305" t="s">
        <v>238</v>
      </c>
      <c r="C84" s="306"/>
      <c r="D84" s="319">
        <v>68.636796949475709</v>
      </c>
      <c r="E84" s="310">
        <v>68.636796949475709</v>
      </c>
      <c r="F84" s="310">
        <v>68.636796949475709</v>
      </c>
      <c r="G84" s="310">
        <v>0</v>
      </c>
      <c r="H84" s="310">
        <v>0</v>
      </c>
      <c r="I84" s="310">
        <v>0</v>
      </c>
      <c r="J84" s="310">
        <v>68.636796949475709</v>
      </c>
      <c r="K84" s="310">
        <v>0</v>
      </c>
      <c r="L84" s="310">
        <v>0</v>
      </c>
      <c r="M84" s="310">
        <v>0</v>
      </c>
      <c r="N84" s="310">
        <v>0</v>
      </c>
      <c r="O84" s="310">
        <v>0</v>
      </c>
      <c r="P84" s="310">
        <v>0</v>
      </c>
      <c r="Q84" s="310">
        <v>0</v>
      </c>
      <c r="R84" s="310">
        <v>0</v>
      </c>
      <c r="S84" s="310">
        <v>0</v>
      </c>
      <c r="T84" s="310">
        <v>0</v>
      </c>
      <c r="U84" s="310">
        <v>0</v>
      </c>
      <c r="V84" s="310">
        <v>0</v>
      </c>
      <c r="W84" s="310">
        <v>0</v>
      </c>
      <c r="X84" s="310">
        <v>0</v>
      </c>
      <c r="Y84" s="310">
        <v>68.636796949475709</v>
      </c>
      <c r="Z84" s="310">
        <v>68.636796949475709</v>
      </c>
      <c r="AA84" s="310">
        <v>68.636796949475709</v>
      </c>
      <c r="AB84" s="310">
        <v>68.636796949475709</v>
      </c>
      <c r="AC84" s="310">
        <v>68.636796949475709</v>
      </c>
      <c r="AD84" s="310">
        <v>68.636796949475709</v>
      </c>
      <c r="AE84" s="310">
        <v>68.636796949475709</v>
      </c>
      <c r="AF84" s="310">
        <v>68.636796949475709</v>
      </c>
      <c r="AG84" s="310">
        <v>71.496663489037203</v>
      </c>
      <c r="AH84" s="310">
        <v>68.636796949475709</v>
      </c>
      <c r="AI84" s="312">
        <f t="shared" si="25"/>
        <v>963.77502383222168</v>
      </c>
      <c r="AJ84" s="225">
        <f t="shared" si="15"/>
        <v>3.1089516897813602E-2</v>
      </c>
      <c r="AK84" s="176">
        <f t="shared" si="26"/>
        <v>2.5421035907213226E-2</v>
      </c>
      <c r="AL84" s="223">
        <v>0</v>
      </c>
      <c r="AQ84" s="200" t="str">
        <f>'[2]ОПЕРАТИВКА пн-пн'!B89</f>
        <v>СЕВЕРНЫЙ ПОТОК - ПОДАЧА РЕСУРСАВЕЛИКОБРИТАНИЯ</v>
      </c>
      <c r="AR84" s="151"/>
    </row>
    <row r="85" spans="2:44" s="192" customFormat="1" ht="30" customHeight="1" x14ac:dyDescent="0.35">
      <c r="B85" s="305" t="s">
        <v>241</v>
      </c>
      <c r="C85" s="306"/>
      <c r="D85" s="319">
        <v>36709.738989513804</v>
      </c>
      <c r="E85" s="310">
        <v>36261.691134413704</v>
      </c>
      <c r="F85" s="310">
        <v>36709.736892278401</v>
      </c>
      <c r="G85" s="310">
        <v>36709.736892278401</v>
      </c>
      <c r="H85" s="310">
        <v>36709.736892278401</v>
      </c>
      <c r="I85" s="310">
        <v>36709.736892278401</v>
      </c>
      <c r="J85" s="310">
        <v>36709.736892278401</v>
      </c>
      <c r="K85" s="310">
        <v>36709.736892278401</v>
      </c>
      <c r="L85" s="310">
        <v>36709.736892278401</v>
      </c>
      <c r="M85" s="310">
        <v>36709.736892278401</v>
      </c>
      <c r="N85" s="310">
        <v>36709.736892278401</v>
      </c>
      <c r="O85" s="310">
        <v>36709.736701620597</v>
      </c>
      <c r="P85" s="310">
        <v>36709.736892278401</v>
      </c>
      <c r="Q85" s="310">
        <v>36709.736892278401</v>
      </c>
      <c r="R85" s="310">
        <v>36709.736892278401</v>
      </c>
      <c r="S85" s="314">
        <v>36709.736892278401</v>
      </c>
      <c r="T85" s="310">
        <v>36709.736892278401</v>
      </c>
      <c r="U85" s="310">
        <v>36709.736892278401</v>
      </c>
      <c r="V85" s="310">
        <v>36709.736701620597</v>
      </c>
      <c r="W85" s="310">
        <v>36709.736892278401</v>
      </c>
      <c r="X85" s="310">
        <v>36709.736892278401</v>
      </c>
      <c r="Y85" s="310">
        <v>36709.736892278401</v>
      </c>
      <c r="Z85" s="310">
        <v>36709.736892278401</v>
      </c>
      <c r="AA85" s="310">
        <v>36709.736892278401</v>
      </c>
      <c r="AB85" s="310">
        <v>36709.736892278401</v>
      </c>
      <c r="AC85" s="310">
        <v>36709.736892278401</v>
      </c>
      <c r="AD85" s="310">
        <v>36709.736892278401</v>
      </c>
      <c r="AE85" s="310">
        <v>36709.736892278401</v>
      </c>
      <c r="AF85" s="310">
        <v>36663.920686368001</v>
      </c>
      <c r="AG85" s="310">
        <v>29737.713918017198</v>
      </c>
      <c r="AH85" s="310">
        <v>29096.2339370829</v>
      </c>
      <c r="AI85" s="312">
        <f t="shared" si="25"/>
        <v>1122922.4574833186</v>
      </c>
      <c r="AJ85" s="225">
        <f t="shared" si="15"/>
        <v>36.223305080107053</v>
      </c>
      <c r="AK85" s="176">
        <f t="shared" si="26"/>
        <v>36.693142668502674</v>
      </c>
      <c r="AL85" s="223">
        <v>17.16165437766572</v>
      </c>
      <c r="AQ85" s="200" t="str">
        <f>'[2]ОПЕРАТИВКА пн-пн'!B90</f>
        <v>СЕВЕРНЫЙ ПОТОК - ПОДАЧА РЕСУРСАФРАНЦИЯ</v>
      </c>
      <c r="AR85" s="151"/>
    </row>
    <row r="86" spans="2:44" s="192" customFormat="1" ht="30" customHeight="1" x14ac:dyDescent="0.35">
      <c r="B86" s="305" t="s">
        <v>223</v>
      </c>
      <c r="C86" s="306"/>
      <c r="D86" s="319">
        <v>960.91515729265893</v>
      </c>
      <c r="E86" s="310">
        <v>960.91515729265893</v>
      </c>
      <c r="F86" s="310">
        <v>960.91515729265893</v>
      </c>
      <c r="G86" s="310">
        <v>1029.55195424214</v>
      </c>
      <c r="H86" s="310">
        <v>1029.55195424214</v>
      </c>
      <c r="I86" s="310">
        <v>1029.55195424214</v>
      </c>
      <c r="J86" s="310">
        <v>960.91515729265893</v>
      </c>
      <c r="K86" s="310">
        <v>960.91515729265893</v>
      </c>
      <c r="L86" s="310">
        <v>960.91515729265893</v>
      </c>
      <c r="M86" s="310">
        <v>960.91515729265893</v>
      </c>
      <c r="N86" s="310">
        <v>960.91515729265893</v>
      </c>
      <c r="O86" s="310">
        <v>960.91515729265893</v>
      </c>
      <c r="P86" s="310">
        <v>960.91515729265893</v>
      </c>
      <c r="Q86" s="310">
        <v>960.91515729265893</v>
      </c>
      <c r="R86" s="310">
        <v>960.91515729265893</v>
      </c>
      <c r="S86" s="310">
        <v>960.91515729265893</v>
      </c>
      <c r="T86" s="310">
        <v>960.91515729265893</v>
      </c>
      <c r="U86" s="310">
        <v>960.91515729265893</v>
      </c>
      <c r="V86" s="310">
        <v>960.91515729265893</v>
      </c>
      <c r="W86" s="310">
        <v>960.91515729265893</v>
      </c>
      <c r="X86" s="310">
        <v>960.91515729265893</v>
      </c>
      <c r="Y86" s="310">
        <v>960.91515729265893</v>
      </c>
      <c r="Z86" s="310">
        <v>960.91515729265893</v>
      </c>
      <c r="AA86" s="310">
        <v>960.91515729265893</v>
      </c>
      <c r="AB86" s="310">
        <v>960.91515729265893</v>
      </c>
      <c r="AC86" s="310">
        <v>960.91515729265893</v>
      </c>
      <c r="AD86" s="310">
        <v>960.91515729265893</v>
      </c>
      <c r="AE86" s="310">
        <v>960.91515729265893</v>
      </c>
      <c r="AF86" s="310">
        <v>960.91515729265893</v>
      </c>
      <c r="AG86" s="310">
        <v>5322.4142040038096</v>
      </c>
      <c r="AH86" s="310">
        <v>5725.7954242135393</v>
      </c>
      <c r="AI86" s="312">
        <f t="shared" si="25"/>
        <v>39120.659580552914</v>
      </c>
      <c r="AJ86" s="225">
        <f t="shared" si="15"/>
        <v>1.2619567606629973</v>
      </c>
      <c r="AK86" s="176">
        <f t="shared" si="26"/>
        <v>0.96854146806482388</v>
      </c>
      <c r="AL86" s="223">
        <v>6.009073197146944</v>
      </c>
      <c r="AQ86" s="200" t="str">
        <f>'[2]ОПЕРАТИВКА пн-пн'!B91</f>
        <v>СЕВЕРНЫЙ ПОТОК - ПОДАЧА РЕСУРСАНИДЕРЛАНДЫ</v>
      </c>
      <c r="AR86" s="151"/>
    </row>
    <row r="87" spans="2:44" s="192" customFormat="1" ht="30" customHeight="1" x14ac:dyDescent="0.35">
      <c r="B87" s="305" t="s">
        <v>243</v>
      </c>
      <c r="C87" s="306"/>
      <c r="D87" s="319">
        <v>145.53517635843698</v>
      </c>
      <c r="E87" s="310">
        <v>145.53517635843698</v>
      </c>
      <c r="F87" s="310">
        <v>145.53517635843698</v>
      </c>
      <c r="G87" s="310">
        <v>143.91916110581502</v>
      </c>
      <c r="H87" s="310">
        <v>126.14299332697802</v>
      </c>
      <c r="I87" s="310">
        <v>126.14299332697802</v>
      </c>
      <c r="J87" s="310">
        <v>126.14299332697802</v>
      </c>
      <c r="K87" s="310">
        <v>126.14299332697802</v>
      </c>
      <c r="L87" s="310">
        <v>126.14299332697802</v>
      </c>
      <c r="M87" s="310">
        <v>126.14299332697802</v>
      </c>
      <c r="N87" s="310">
        <v>126.14299332697802</v>
      </c>
      <c r="O87" s="310">
        <v>126.14299332697802</v>
      </c>
      <c r="P87" s="310">
        <v>126.14299332697802</v>
      </c>
      <c r="Q87" s="310">
        <v>126.14299332697802</v>
      </c>
      <c r="R87" s="310">
        <v>126.14299332697802</v>
      </c>
      <c r="S87" s="310">
        <v>126.14299332697802</v>
      </c>
      <c r="T87" s="310">
        <v>126.14299332697802</v>
      </c>
      <c r="U87" s="310">
        <v>127.75900857959999</v>
      </c>
      <c r="V87" s="310">
        <v>145.53517635843698</v>
      </c>
      <c r="W87" s="310">
        <v>145.53517635843698</v>
      </c>
      <c r="X87" s="310">
        <v>144.63031458531898</v>
      </c>
      <c r="Y87" s="310">
        <v>133.59084842707301</v>
      </c>
      <c r="Z87" s="310">
        <v>121.652430886559</v>
      </c>
      <c r="AA87" s="310">
        <v>121.644423260248</v>
      </c>
      <c r="AB87" s="310">
        <v>121.64385128693999</v>
      </c>
      <c r="AC87" s="310">
        <v>133.58932316491899</v>
      </c>
      <c r="AD87" s="310">
        <v>145.53517635843698</v>
      </c>
      <c r="AE87" s="310">
        <v>143.544327931363</v>
      </c>
      <c r="AF87" s="310">
        <v>119.65395614871301</v>
      </c>
      <c r="AG87" s="310">
        <v>3553.6820781696902</v>
      </c>
      <c r="AH87" s="310">
        <v>97.752526215443197</v>
      </c>
      <c r="AI87" s="312">
        <f t="shared" si="25"/>
        <v>7476.1322211630195</v>
      </c>
      <c r="AJ87" s="225">
        <f t="shared" si="15"/>
        <v>0.24116555552138771</v>
      </c>
      <c r="AK87" s="176">
        <f t="shared" si="26"/>
        <v>0.13190738269251148</v>
      </c>
      <c r="AL87" s="223">
        <v>0.15941774017772029</v>
      </c>
      <c r="AQ87" s="200" t="str">
        <f>'[2]ОПЕРАТИВКА пн-пн'!B92</f>
        <v>СЕВЕРНЫЙ ПОТОК - ПОДАЧА РЕСУРСАЧEXИЯ</v>
      </c>
      <c r="AR87" s="151"/>
    </row>
    <row r="88" spans="2:44" s="192" customFormat="1" ht="30" customHeight="1" x14ac:dyDescent="0.35">
      <c r="B88" s="305" t="s">
        <v>240</v>
      </c>
      <c r="C88" s="306"/>
      <c r="D88" s="319">
        <v>1095.8047664442302</v>
      </c>
      <c r="E88" s="310">
        <v>1095.8047664442302</v>
      </c>
      <c r="F88" s="310">
        <v>1095.8047664442302</v>
      </c>
      <c r="G88" s="310">
        <v>1095.8047664442302</v>
      </c>
      <c r="H88" s="310">
        <v>1095.8047664442302</v>
      </c>
      <c r="I88" s="310">
        <v>1095.8047664442302</v>
      </c>
      <c r="J88" s="310">
        <v>1095.8047664442302</v>
      </c>
      <c r="K88" s="310">
        <v>1095.8047664442302</v>
      </c>
      <c r="L88" s="310">
        <v>1095.8047664442302</v>
      </c>
      <c r="M88" s="310">
        <v>1095.8047664442302</v>
      </c>
      <c r="N88" s="310">
        <v>1095.8047664442302</v>
      </c>
      <c r="O88" s="310">
        <v>1095.8047664442302</v>
      </c>
      <c r="P88" s="310">
        <v>1095.8047664442302</v>
      </c>
      <c r="Q88" s="310">
        <v>1095.8047664442302</v>
      </c>
      <c r="R88" s="310">
        <v>1095.8047664442302</v>
      </c>
      <c r="S88" s="310">
        <v>1095.8047664442302</v>
      </c>
      <c r="T88" s="310">
        <v>1095.8047664442302</v>
      </c>
      <c r="U88" s="310">
        <v>1095.8047664442302</v>
      </c>
      <c r="V88" s="310">
        <v>1095.8047664442302</v>
      </c>
      <c r="W88" s="310">
        <v>1095.8047664442302</v>
      </c>
      <c r="X88" s="310">
        <v>1095.8047664442302</v>
      </c>
      <c r="Y88" s="310">
        <v>1095.8047664442302</v>
      </c>
      <c r="Z88" s="310">
        <v>1095.8047664442302</v>
      </c>
      <c r="AA88" s="310">
        <v>1095.8047664442302</v>
      </c>
      <c r="AB88" s="310">
        <v>1095.8047664442302</v>
      </c>
      <c r="AC88" s="310">
        <v>1095.8047664442302</v>
      </c>
      <c r="AD88" s="310">
        <v>1095.8047664442302</v>
      </c>
      <c r="AE88" s="310">
        <v>1095.8047664442302</v>
      </c>
      <c r="AF88" s="310">
        <v>1095.8047664442302</v>
      </c>
      <c r="AG88" s="310">
        <v>1095.8047664442302</v>
      </c>
      <c r="AH88" s="310">
        <v>1095.8047664442302</v>
      </c>
      <c r="AI88" s="312">
        <f t="shared" si="25"/>
        <v>33969.947759771152</v>
      </c>
      <c r="AJ88" s="225">
        <f t="shared" si="15"/>
        <v>1.0958047664442305</v>
      </c>
      <c r="AK88" s="176">
        <f t="shared" si="26"/>
        <v>1.0958047664442307</v>
      </c>
      <c r="AL88" s="223">
        <v>1.0961781988015791</v>
      </c>
      <c r="AQ88" s="200" t="str">
        <f>'[2]ОПЕРАТИВКА пн-пн'!B93</f>
        <v>СЕВЕРНЫЙ ПОТОК - ПОДАЧА РЕСУРСАШBEЙЦAPИЯ</v>
      </c>
      <c r="AR88" s="151"/>
    </row>
    <row r="89" spans="2:44" s="192" customFormat="1" ht="30" customHeight="1" x14ac:dyDescent="0.35">
      <c r="B89" s="305" t="s">
        <v>244</v>
      </c>
      <c r="C89" s="306"/>
      <c r="D89" s="319">
        <v>0</v>
      </c>
      <c r="E89" s="310">
        <v>0</v>
      </c>
      <c r="F89" s="310">
        <v>0</v>
      </c>
      <c r="G89" s="310">
        <v>0</v>
      </c>
      <c r="H89" s="310">
        <v>0</v>
      </c>
      <c r="I89" s="310">
        <v>0</v>
      </c>
      <c r="J89" s="310">
        <v>0</v>
      </c>
      <c r="K89" s="310">
        <v>0</v>
      </c>
      <c r="L89" s="310">
        <v>0</v>
      </c>
      <c r="M89" s="310">
        <v>0</v>
      </c>
      <c r="N89" s="310">
        <v>0</v>
      </c>
      <c r="O89" s="310">
        <v>0</v>
      </c>
      <c r="P89" s="310">
        <v>0</v>
      </c>
      <c r="Q89" s="310">
        <v>0</v>
      </c>
      <c r="R89" s="310">
        <v>0</v>
      </c>
      <c r="S89" s="310">
        <v>0</v>
      </c>
      <c r="T89" s="310">
        <v>0</v>
      </c>
      <c r="U89" s="310">
        <v>0</v>
      </c>
      <c r="V89" s="310">
        <v>0</v>
      </c>
      <c r="W89" s="310">
        <v>0</v>
      </c>
      <c r="X89" s="310">
        <v>0</v>
      </c>
      <c r="Y89" s="310">
        <v>0</v>
      </c>
      <c r="Z89" s="310">
        <v>0</v>
      </c>
      <c r="AA89" s="310">
        <v>0</v>
      </c>
      <c r="AB89" s="310">
        <v>0</v>
      </c>
      <c r="AC89" s="310">
        <v>0</v>
      </c>
      <c r="AD89" s="310">
        <v>0</v>
      </c>
      <c r="AE89" s="310">
        <v>0</v>
      </c>
      <c r="AF89" s="310">
        <v>0</v>
      </c>
      <c r="AG89" s="310">
        <v>0</v>
      </c>
      <c r="AH89" s="310">
        <v>0</v>
      </c>
      <c r="AI89" s="312">
        <f t="shared" si="25"/>
        <v>0</v>
      </c>
      <c r="AJ89" s="225">
        <f t="shared" ref="AJ89:AJ111" si="29">SUM(D89:AH89)/DAY($B$4)*0.001</f>
        <v>0</v>
      </c>
      <c r="AK89" s="176">
        <f t="shared" si="26"/>
        <v>0</v>
      </c>
      <c r="AL89" s="223">
        <v>0.43334177499999998</v>
      </c>
      <c r="AQ89" s="200" t="str">
        <f>'[2]ОПЕРАТИВКА пн-пн'!B94</f>
        <v>СЕВЕРНЫЙ ПОТОК - ПОДАЧА РЕСУРСААВСТРИЯ</v>
      </c>
      <c r="AR89" s="151"/>
    </row>
    <row r="90" spans="2:44" s="192" customFormat="1" ht="30" customHeight="1" x14ac:dyDescent="0.35">
      <c r="B90" s="305" t="s">
        <v>263</v>
      </c>
      <c r="C90" s="306"/>
      <c r="D90" s="319">
        <v>0</v>
      </c>
      <c r="E90" s="310">
        <v>0</v>
      </c>
      <c r="F90" s="310">
        <v>0</v>
      </c>
      <c r="G90" s="310">
        <v>0</v>
      </c>
      <c r="H90" s="310">
        <v>0</v>
      </c>
      <c r="I90" s="310">
        <v>0</v>
      </c>
      <c r="J90" s="310">
        <v>0</v>
      </c>
      <c r="K90" s="310">
        <v>0</v>
      </c>
      <c r="L90" s="310">
        <v>0</v>
      </c>
      <c r="M90" s="310">
        <v>0</v>
      </c>
      <c r="N90" s="310">
        <v>0</v>
      </c>
      <c r="O90" s="310">
        <v>0</v>
      </c>
      <c r="P90" s="310">
        <v>0</v>
      </c>
      <c r="Q90" s="310">
        <v>0</v>
      </c>
      <c r="R90" s="310">
        <v>0</v>
      </c>
      <c r="S90" s="310">
        <v>0</v>
      </c>
      <c r="T90" s="310">
        <v>0</v>
      </c>
      <c r="U90" s="310">
        <v>0</v>
      </c>
      <c r="V90" s="310">
        <v>0</v>
      </c>
      <c r="W90" s="310">
        <v>0</v>
      </c>
      <c r="X90" s="310">
        <v>0</v>
      </c>
      <c r="Y90" s="310">
        <v>0</v>
      </c>
      <c r="Z90" s="310">
        <v>0</v>
      </c>
      <c r="AA90" s="310">
        <v>0</v>
      </c>
      <c r="AB90" s="310">
        <v>0</v>
      </c>
      <c r="AC90" s="310">
        <v>0</v>
      </c>
      <c r="AD90" s="310">
        <v>0</v>
      </c>
      <c r="AE90" s="310">
        <v>0</v>
      </c>
      <c r="AF90" s="310">
        <v>0</v>
      </c>
      <c r="AG90" s="310">
        <v>0</v>
      </c>
      <c r="AH90" s="310">
        <v>0</v>
      </c>
      <c r="AI90" s="312">
        <f t="shared" si="25"/>
        <v>0</v>
      </c>
      <c r="AJ90" s="225">
        <f t="shared" si="29"/>
        <v>0</v>
      </c>
      <c r="AK90" s="176">
        <f t="shared" si="26"/>
        <v>0</v>
      </c>
      <c r="AL90" s="223">
        <v>0</v>
      </c>
      <c r="AQ90" s="200" t="str">
        <f>'[2]ОПЕРАТИВКА пн-пн'!B95</f>
        <v>СЕВЕРНЫЙ ПОТОК - ПОДАЧА РЕСУРСАВЕНГРИЯ</v>
      </c>
      <c r="AR90" s="151"/>
    </row>
    <row r="91" spans="2:44" ht="28.5" x14ac:dyDescent="0.3">
      <c r="B91" s="305" t="s">
        <v>242</v>
      </c>
      <c r="C91" s="306"/>
      <c r="D91" s="320">
        <v>29378.4352716873</v>
      </c>
      <c r="E91" s="310">
        <v>29746.652907530999</v>
      </c>
      <c r="F91" s="310">
        <v>29382.439275500499</v>
      </c>
      <c r="G91" s="310">
        <v>29816.929647283101</v>
      </c>
      <c r="H91" s="310">
        <v>31879.943183984702</v>
      </c>
      <c r="I91" s="310">
        <v>35737.264251668203</v>
      </c>
      <c r="J91" s="310">
        <v>35492.114966634901</v>
      </c>
      <c r="K91" s="310">
        <v>36160.7519542421</v>
      </c>
      <c r="L91" s="310">
        <v>36097.475786463299</v>
      </c>
      <c r="M91" s="310">
        <v>36203.928693994298</v>
      </c>
      <c r="N91" s="310">
        <v>36296.350714966597</v>
      </c>
      <c r="O91" s="310">
        <v>35046.462726406098</v>
      </c>
      <c r="P91" s="310">
        <v>36196.1559580553</v>
      </c>
      <c r="Q91" s="310">
        <v>36196.155195424195</v>
      </c>
      <c r="R91" s="310">
        <v>36015.922116301197</v>
      </c>
      <c r="S91" s="310">
        <v>36208.344327931401</v>
      </c>
      <c r="T91" s="310">
        <v>36208.344327931401</v>
      </c>
      <c r="U91" s="310">
        <v>35401.379694947602</v>
      </c>
      <c r="V91" s="310">
        <v>26664.8037178265</v>
      </c>
      <c r="W91" s="310">
        <v>26559.8792183031</v>
      </c>
      <c r="X91" s="310">
        <v>26959.328217349801</v>
      </c>
      <c r="Y91" s="310">
        <v>31672.915347950402</v>
      </c>
      <c r="Z91" s="310">
        <v>35851.351763584295</v>
      </c>
      <c r="AA91" s="310">
        <v>35794.228312678701</v>
      </c>
      <c r="AB91" s="310">
        <v>35619.698093422303</v>
      </c>
      <c r="AC91" s="310">
        <v>31701.665109628197</v>
      </c>
      <c r="AD91" s="310">
        <v>25985.0389895138</v>
      </c>
      <c r="AE91" s="310">
        <v>27008.084270733998</v>
      </c>
      <c r="AF91" s="310">
        <v>37012.020495710203</v>
      </c>
      <c r="AG91" s="310">
        <v>50351.152322211594</v>
      </c>
      <c r="AH91" s="310">
        <v>51744.298951382298</v>
      </c>
      <c r="AI91" s="312">
        <f t="shared" si="25"/>
        <v>1060389.5158112484</v>
      </c>
      <c r="AJ91" s="225">
        <f t="shared" si="29"/>
        <v>34.206113413266081</v>
      </c>
      <c r="AK91" s="176">
        <f t="shared" si="26"/>
        <v>33.121257769304087</v>
      </c>
      <c r="AL91" s="223">
        <v>2.2985228892857146</v>
      </c>
      <c r="AQ91" s="200" t="str">
        <f>'[2]ОПЕРАТИВКА пн-пн'!B96</f>
        <v>СЕВЕРНЫЙ ПОТОК - ПОДАЧА РЕСУРСАИТАЛИЯ</v>
      </c>
    </row>
    <row r="92" spans="2:44" ht="27.75" customHeight="1" x14ac:dyDescent="0.45">
      <c r="B92" s="388"/>
      <c r="C92" s="389"/>
      <c r="D92" s="32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90">
        <f t="shared" si="25"/>
        <v>0</v>
      </c>
      <c r="AJ92" s="225">
        <f t="shared" si="29"/>
        <v>0</v>
      </c>
      <c r="AK92" s="176">
        <f t="shared" si="26"/>
        <v>0</v>
      </c>
      <c r="AL92" s="321">
        <v>0</v>
      </c>
      <c r="AQ92" s="200"/>
    </row>
    <row r="93" spans="2:44" ht="28.5" x14ac:dyDescent="0.45">
      <c r="B93" s="322" t="s">
        <v>264</v>
      </c>
      <c r="C93" s="323"/>
      <c r="D93" s="324">
        <f>D97+D94-D95+D96</f>
        <v>0</v>
      </c>
      <c r="E93" s="324">
        <f t="shared" ref="E93:AH93" si="30">E97+E94-E95+E96</f>
        <v>0</v>
      </c>
      <c r="F93" s="324">
        <f t="shared" si="30"/>
        <v>0</v>
      </c>
      <c r="G93" s="324">
        <f t="shared" si="30"/>
        <v>220.739</v>
      </c>
      <c r="H93" s="324">
        <f t="shared" si="30"/>
        <v>982.80100000000004</v>
      </c>
      <c r="I93" s="324">
        <f t="shared" si="30"/>
        <v>1308.537</v>
      </c>
      <c r="J93" s="324">
        <f t="shared" si="30"/>
        <v>2372</v>
      </c>
      <c r="K93" s="324">
        <f t="shared" si="30"/>
        <v>3838.63</v>
      </c>
      <c r="L93" s="324">
        <f t="shared" si="30"/>
        <v>5975.634</v>
      </c>
      <c r="M93" s="324">
        <f t="shared" si="30"/>
        <v>8555.61</v>
      </c>
      <c r="N93" s="324">
        <f t="shared" si="30"/>
        <v>11484.697</v>
      </c>
      <c r="O93" s="324">
        <f t="shared" si="30"/>
        <v>14432.627999999999</v>
      </c>
      <c r="P93" s="324">
        <f t="shared" si="30"/>
        <v>18003.633000000002</v>
      </c>
      <c r="Q93" s="324">
        <f t="shared" si="30"/>
        <v>23246.324000000001</v>
      </c>
      <c r="R93" s="324">
        <f t="shared" si="30"/>
        <v>32435.935999999998</v>
      </c>
      <c r="S93" s="324">
        <f t="shared" si="30"/>
        <v>36280.777000000002</v>
      </c>
      <c r="T93" s="324">
        <f t="shared" si="30"/>
        <v>18958.936000000002</v>
      </c>
      <c r="U93" s="324">
        <f t="shared" si="30"/>
        <v>0</v>
      </c>
      <c r="V93" s="324">
        <f t="shared" si="30"/>
        <v>0</v>
      </c>
      <c r="W93" s="324">
        <f t="shared" si="30"/>
        <v>0</v>
      </c>
      <c r="X93" s="324">
        <f t="shared" si="30"/>
        <v>0</v>
      </c>
      <c r="Y93" s="324">
        <f t="shared" si="30"/>
        <v>0</v>
      </c>
      <c r="Z93" s="324">
        <f t="shared" si="30"/>
        <v>0</v>
      </c>
      <c r="AA93" s="324">
        <f t="shared" si="30"/>
        <v>0</v>
      </c>
      <c r="AB93" s="324">
        <f t="shared" si="30"/>
        <v>0</v>
      </c>
      <c r="AC93" s="324">
        <f t="shared" si="30"/>
        <v>0</v>
      </c>
      <c r="AD93" s="324">
        <f t="shared" si="30"/>
        <v>0</v>
      </c>
      <c r="AE93" s="324">
        <f t="shared" si="30"/>
        <v>0</v>
      </c>
      <c r="AF93" s="324">
        <f t="shared" si="30"/>
        <v>0</v>
      </c>
      <c r="AG93" s="324">
        <f t="shared" si="30"/>
        <v>0</v>
      </c>
      <c r="AH93" s="324">
        <f t="shared" si="30"/>
        <v>0</v>
      </c>
      <c r="AI93" s="325">
        <f t="shared" ref="AI93:AI97" si="31">SUM(D93:AH93)</f>
        <v>178096.88199999998</v>
      </c>
      <c r="AJ93" s="225">
        <f t="shared" ref="AJ93:AJ110" si="32">SUM(D93:AH93)/DAY($B$4)*0.001</f>
        <v>5.7450607096774196</v>
      </c>
      <c r="AK93" s="176">
        <f t="shared" si="26"/>
        <v>6.5961808148148142</v>
      </c>
      <c r="AL93" s="321"/>
      <c r="AQ93" s="200"/>
    </row>
    <row r="94" spans="2:44" ht="28.5" x14ac:dyDescent="0.45">
      <c r="B94" s="326" t="s">
        <v>212</v>
      </c>
      <c r="C94" s="327"/>
      <c r="D94" s="328">
        <v>0</v>
      </c>
      <c r="E94" s="329">
        <v>0</v>
      </c>
      <c r="F94" s="329">
        <v>0</v>
      </c>
      <c r="G94" s="329">
        <v>0</v>
      </c>
      <c r="H94" s="330">
        <v>0</v>
      </c>
      <c r="I94" s="330">
        <v>0</v>
      </c>
      <c r="J94" s="330">
        <v>0</v>
      </c>
      <c r="K94" s="330">
        <v>0</v>
      </c>
      <c r="L94" s="330">
        <v>0</v>
      </c>
      <c r="M94" s="330">
        <v>0</v>
      </c>
      <c r="N94" s="330">
        <v>0</v>
      </c>
      <c r="O94" s="330">
        <v>0</v>
      </c>
      <c r="P94" s="331">
        <v>0</v>
      </c>
      <c r="Q94" s="330">
        <v>0</v>
      </c>
      <c r="R94" s="330">
        <v>0</v>
      </c>
      <c r="S94" s="330">
        <v>0</v>
      </c>
      <c r="T94" s="330">
        <v>0</v>
      </c>
      <c r="U94" s="330">
        <v>0</v>
      </c>
      <c r="V94" s="330">
        <v>0</v>
      </c>
      <c r="W94" s="330">
        <v>0</v>
      </c>
      <c r="X94" s="330">
        <v>0</v>
      </c>
      <c r="Y94" s="330">
        <v>0</v>
      </c>
      <c r="Z94" s="330">
        <v>0</v>
      </c>
      <c r="AA94" s="330">
        <v>0</v>
      </c>
      <c r="AB94" s="330">
        <v>0</v>
      </c>
      <c r="AC94" s="330">
        <v>0</v>
      </c>
      <c r="AD94" s="330">
        <v>0</v>
      </c>
      <c r="AE94" s="330">
        <v>0</v>
      </c>
      <c r="AF94" s="330">
        <v>0</v>
      </c>
      <c r="AG94" s="330">
        <v>0</v>
      </c>
      <c r="AH94" s="330">
        <v>0</v>
      </c>
      <c r="AI94" s="332">
        <f t="shared" si="31"/>
        <v>0</v>
      </c>
      <c r="AJ94" s="225">
        <f t="shared" si="32"/>
        <v>0</v>
      </c>
      <c r="AK94" s="176">
        <f t="shared" si="26"/>
        <v>0</v>
      </c>
      <c r="AL94" s="321"/>
      <c r="AQ94" s="200" t="str">
        <f>'[2]ОПЕРАТИВКА пн-пн'!B98</f>
        <v>СЕВЕРНЫЙ ПОТОК-2 - ПОДАЧА РЕСУРСАЗАКАЧКА в ПХГ</v>
      </c>
    </row>
    <row r="95" spans="2:44" ht="28.5" x14ac:dyDescent="0.45">
      <c r="B95" s="326" t="s">
        <v>213</v>
      </c>
      <c r="C95" s="327"/>
      <c r="D95" s="328">
        <v>0</v>
      </c>
      <c r="E95" s="329">
        <v>0</v>
      </c>
      <c r="F95" s="329">
        <v>0</v>
      </c>
      <c r="G95" s="329">
        <v>0</v>
      </c>
      <c r="H95" s="330">
        <v>0</v>
      </c>
      <c r="I95" s="330">
        <v>0</v>
      </c>
      <c r="J95" s="330">
        <v>0</v>
      </c>
      <c r="K95" s="330">
        <v>0</v>
      </c>
      <c r="L95" s="330">
        <v>0</v>
      </c>
      <c r="M95" s="330">
        <v>0</v>
      </c>
      <c r="N95" s="330">
        <v>0</v>
      </c>
      <c r="O95" s="330">
        <v>0</v>
      </c>
      <c r="P95" s="331">
        <v>0</v>
      </c>
      <c r="Q95" s="330">
        <v>0</v>
      </c>
      <c r="R95" s="330">
        <v>0</v>
      </c>
      <c r="S95" s="330">
        <v>0</v>
      </c>
      <c r="T95" s="330">
        <v>0</v>
      </c>
      <c r="U95" s="330">
        <v>0</v>
      </c>
      <c r="V95" s="330">
        <v>0</v>
      </c>
      <c r="W95" s="330">
        <v>0</v>
      </c>
      <c r="X95" s="330">
        <v>0</v>
      </c>
      <c r="Y95" s="330">
        <v>0</v>
      </c>
      <c r="Z95" s="330">
        <v>0</v>
      </c>
      <c r="AA95" s="330">
        <v>0</v>
      </c>
      <c r="AB95" s="330">
        <v>0</v>
      </c>
      <c r="AC95" s="330">
        <v>0</v>
      </c>
      <c r="AD95" s="330">
        <v>0</v>
      </c>
      <c r="AE95" s="330">
        <v>0</v>
      </c>
      <c r="AF95" s="330">
        <v>0</v>
      </c>
      <c r="AG95" s="330">
        <v>0</v>
      </c>
      <c r="AH95" s="330">
        <v>0</v>
      </c>
      <c r="AI95" s="332">
        <f t="shared" si="31"/>
        <v>0</v>
      </c>
      <c r="AJ95" s="225">
        <f t="shared" si="32"/>
        <v>0</v>
      </c>
      <c r="AK95" s="176">
        <f t="shared" si="26"/>
        <v>0</v>
      </c>
      <c r="AL95" s="321"/>
      <c r="AQ95" s="200" t="str">
        <f>'[2]ОПЕРАТИВКА пн-пн'!B99</f>
        <v>СЕВЕРНЫЙ ПОТОК-2 - ПОДАЧА РЕСУРСАОТБОР из ПХГ</v>
      </c>
    </row>
    <row r="96" spans="2:44" ht="28.5" x14ac:dyDescent="0.45">
      <c r="B96" s="326" t="s">
        <v>265</v>
      </c>
      <c r="C96" s="327"/>
      <c r="D96" s="328">
        <v>0</v>
      </c>
      <c r="E96" s="329">
        <v>0</v>
      </c>
      <c r="F96" s="329">
        <v>0</v>
      </c>
      <c r="G96" s="329">
        <v>0</v>
      </c>
      <c r="H96" s="330">
        <v>0</v>
      </c>
      <c r="I96" s="330">
        <v>0</v>
      </c>
      <c r="J96" s="330">
        <v>0</v>
      </c>
      <c r="K96" s="330">
        <v>0</v>
      </c>
      <c r="L96" s="330">
        <v>0</v>
      </c>
      <c r="M96" s="330">
        <v>0</v>
      </c>
      <c r="N96" s="330">
        <v>0</v>
      </c>
      <c r="O96" s="330">
        <v>0</v>
      </c>
      <c r="P96" s="331">
        <v>2494.6329999999998</v>
      </c>
      <c r="Q96" s="330">
        <v>23246.324000000001</v>
      </c>
      <c r="R96" s="330">
        <v>32435.935999999998</v>
      </c>
      <c r="S96" s="330">
        <v>36280.777000000002</v>
      </c>
      <c r="T96" s="330">
        <v>18958.936000000002</v>
      </c>
      <c r="U96" s="330">
        <v>0</v>
      </c>
      <c r="V96" s="330">
        <v>0</v>
      </c>
      <c r="W96" s="330">
        <v>0</v>
      </c>
      <c r="X96" s="330">
        <v>0</v>
      </c>
      <c r="Y96" s="330">
        <v>0</v>
      </c>
      <c r="Z96" s="330">
        <v>0</v>
      </c>
      <c r="AA96" s="330">
        <v>0</v>
      </c>
      <c r="AB96" s="330">
        <v>0</v>
      </c>
      <c r="AC96" s="330">
        <v>0</v>
      </c>
      <c r="AD96" s="330">
        <v>0</v>
      </c>
      <c r="AE96" s="330">
        <v>0</v>
      </c>
      <c r="AF96" s="330">
        <v>0</v>
      </c>
      <c r="AG96" s="330">
        <v>0</v>
      </c>
      <c r="AH96" s="330">
        <v>0</v>
      </c>
      <c r="AI96" s="332">
        <f t="shared" si="31"/>
        <v>113416.606</v>
      </c>
      <c r="AJ96" s="225">
        <f t="shared" si="32"/>
        <v>3.6586001935483869</v>
      </c>
      <c r="AK96" s="176">
        <f t="shared" si="26"/>
        <v>4.2006150370370365</v>
      </c>
      <c r="AL96" s="321"/>
      <c r="AQ96" s="200" t="str">
        <f>'[2]ОПЕРАТИВКА пн-пн'!B100</f>
        <v>СЕВЕРНЫЙ ПОТОК-2 - ПОДАЧА РЕСУРСАЗаполнение трубы (переходный газ)</v>
      </c>
    </row>
    <row r="97" spans="2:43" ht="28.5" x14ac:dyDescent="0.45">
      <c r="B97" s="326" t="s">
        <v>214</v>
      </c>
      <c r="C97" s="327"/>
      <c r="D97" s="333">
        <f>SUM(D98:D110)</f>
        <v>0</v>
      </c>
      <c r="E97" s="334">
        <f t="shared" ref="E97:AH97" si="33">SUM(E98:E110)</f>
        <v>0</v>
      </c>
      <c r="F97" s="334">
        <f t="shared" si="33"/>
        <v>0</v>
      </c>
      <c r="G97" s="334">
        <f t="shared" si="33"/>
        <v>220.739</v>
      </c>
      <c r="H97" s="335">
        <f t="shared" si="33"/>
        <v>982.80100000000004</v>
      </c>
      <c r="I97" s="335">
        <f t="shared" si="33"/>
        <v>1308.537</v>
      </c>
      <c r="J97" s="335">
        <f t="shared" si="33"/>
        <v>2372</v>
      </c>
      <c r="K97" s="335">
        <f t="shared" si="33"/>
        <v>3838.63</v>
      </c>
      <c r="L97" s="335">
        <f t="shared" si="33"/>
        <v>5975.634</v>
      </c>
      <c r="M97" s="335">
        <f t="shared" si="33"/>
        <v>8555.61</v>
      </c>
      <c r="N97" s="335">
        <f t="shared" si="33"/>
        <v>11484.697</v>
      </c>
      <c r="O97" s="335">
        <f t="shared" si="33"/>
        <v>14432.627999999999</v>
      </c>
      <c r="P97" s="336">
        <f t="shared" si="33"/>
        <v>15509</v>
      </c>
      <c r="Q97" s="335">
        <f t="shared" si="33"/>
        <v>0</v>
      </c>
      <c r="R97" s="335">
        <f t="shared" si="33"/>
        <v>0</v>
      </c>
      <c r="S97" s="335">
        <f t="shared" si="33"/>
        <v>0</v>
      </c>
      <c r="T97" s="335">
        <f t="shared" si="33"/>
        <v>0</v>
      </c>
      <c r="U97" s="335">
        <f t="shared" si="33"/>
        <v>0</v>
      </c>
      <c r="V97" s="335">
        <f t="shared" si="33"/>
        <v>0</v>
      </c>
      <c r="W97" s="335">
        <f t="shared" si="33"/>
        <v>0</v>
      </c>
      <c r="X97" s="335">
        <f t="shared" si="33"/>
        <v>0</v>
      </c>
      <c r="Y97" s="335">
        <f t="shared" si="33"/>
        <v>0</v>
      </c>
      <c r="Z97" s="335">
        <f t="shared" si="33"/>
        <v>0</v>
      </c>
      <c r="AA97" s="335">
        <f t="shared" si="33"/>
        <v>0</v>
      </c>
      <c r="AB97" s="335">
        <f t="shared" si="33"/>
        <v>0</v>
      </c>
      <c r="AC97" s="335">
        <f t="shared" si="33"/>
        <v>0</v>
      </c>
      <c r="AD97" s="335">
        <f t="shared" si="33"/>
        <v>0</v>
      </c>
      <c r="AE97" s="335">
        <f t="shared" si="33"/>
        <v>0</v>
      </c>
      <c r="AF97" s="335">
        <f t="shared" si="33"/>
        <v>0</v>
      </c>
      <c r="AG97" s="335">
        <f t="shared" si="33"/>
        <v>0</v>
      </c>
      <c r="AH97" s="335">
        <f t="shared" si="33"/>
        <v>0</v>
      </c>
      <c r="AI97" s="337">
        <f t="shared" si="31"/>
        <v>64680.275999999998</v>
      </c>
      <c r="AJ97" s="225">
        <f t="shared" si="32"/>
        <v>2.0864605161290326</v>
      </c>
      <c r="AK97" s="176">
        <f t="shared" si="26"/>
        <v>2.3955657777777777</v>
      </c>
      <c r="AL97" s="321"/>
      <c r="AQ97" s="200"/>
    </row>
    <row r="98" spans="2:43" ht="28.5" x14ac:dyDescent="0.45">
      <c r="B98" s="326" t="s">
        <v>239</v>
      </c>
      <c r="C98" s="327"/>
      <c r="D98" s="328">
        <v>0</v>
      </c>
      <c r="E98" s="329">
        <v>0</v>
      </c>
      <c r="F98" s="329">
        <v>0</v>
      </c>
      <c r="G98" s="329">
        <v>0</v>
      </c>
      <c r="H98" s="330">
        <v>0</v>
      </c>
      <c r="I98" s="330">
        <v>0</v>
      </c>
      <c r="J98" s="330">
        <v>0</v>
      </c>
      <c r="K98" s="330">
        <v>0</v>
      </c>
      <c r="L98" s="330">
        <v>0</v>
      </c>
      <c r="M98" s="330">
        <v>0</v>
      </c>
      <c r="N98" s="330">
        <v>0</v>
      </c>
      <c r="O98" s="330">
        <v>0</v>
      </c>
      <c r="P98" s="331">
        <v>0</v>
      </c>
      <c r="Q98" s="330">
        <v>0</v>
      </c>
      <c r="R98" s="330">
        <v>0</v>
      </c>
      <c r="S98" s="330">
        <v>0</v>
      </c>
      <c r="T98" s="330">
        <v>0</v>
      </c>
      <c r="U98" s="330">
        <v>0</v>
      </c>
      <c r="V98" s="330">
        <v>0</v>
      </c>
      <c r="W98" s="330">
        <v>0</v>
      </c>
      <c r="X98" s="330">
        <v>0</v>
      </c>
      <c r="Y98" s="330">
        <v>0</v>
      </c>
      <c r="Z98" s="330">
        <v>0</v>
      </c>
      <c r="AA98" s="330">
        <v>0</v>
      </c>
      <c r="AB98" s="330">
        <v>0</v>
      </c>
      <c r="AC98" s="330">
        <v>0</v>
      </c>
      <c r="AD98" s="330">
        <v>0</v>
      </c>
      <c r="AE98" s="330">
        <v>0</v>
      </c>
      <c r="AF98" s="330">
        <v>0</v>
      </c>
      <c r="AG98" s="330">
        <v>0</v>
      </c>
      <c r="AH98" s="330">
        <v>0</v>
      </c>
      <c r="AI98" s="332">
        <f t="shared" si="25"/>
        <v>0</v>
      </c>
      <c r="AJ98" s="225">
        <f t="shared" si="32"/>
        <v>0</v>
      </c>
      <c r="AK98" s="176">
        <f t="shared" si="26"/>
        <v>0</v>
      </c>
      <c r="AL98" s="321"/>
      <c r="AQ98" s="200" t="str">
        <f>'[2]ОПЕРАТИВКА пн-пн'!B102</f>
        <v>СЕВЕРНЫЙ ПОТОК-2 - ПОДАЧА РЕСУРСАДАНИЯ</v>
      </c>
    </row>
    <row r="99" spans="2:43" ht="28.5" x14ac:dyDescent="0.45">
      <c r="B99" s="326" t="s">
        <v>237</v>
      </c>
      <c r="C99" s="327"/>
      <c r="D99" s="328">
        <v>0</v>
      </c>
      <c r="E99" s="329">
        <v>0</v>
      </c>
      <c r="F99" s="329">
        <v>0</v>
      </c>
      <c r="G99" s="329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0</v>
      </c>
      <c r="N99" s="330">
        <v>0</v>
      </c>
      <c r="O99" s="330">
        <v>0</v>
      </c>
      <c r="P99" s="331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2">
        <f t="shared" si="25"/>
        <v>0</v>
      </c>
      <c r="AJ99" s="225">
        <f t="shared" si="32"/>
        <v>0</v>
      </c>
      <c r="AK99" s="176">
        <f t="shared" si="26"/>
        <v>0</v>
      </c>
      <c r="AL99" s="321"/>
      <c r="AQ99" s="200" t="str">
        <f>'[2]ОПЕРАТИВКА пн-пн'!B103</f>
        <v>СЕВЕРНЫЙ ПОТОК-2 - ПОДАЧА РЕСУРСАБЕЛЬГИЯ</v>
      </c>
    </row>
    <row r="100" spans="2:43" ht="28.5" x14ac:dyDescent="0.45">
      <c r="B100" s="326" t="s">
        <v>220</v>
      </c>
      <c r="C100" s="327"/>
      <c r="D100" s="328">
        <v>0</v>
      </c>
      <c r="E100" s="329">
        <v>0</v>
      </c>
      <c r="F100" s="329">
        <v>0</v>
      </c>
      <c r="G100" s="329">
        <v>220.739</v>
      </c>
      <c r="H100" s="330">
        <v>982.80100000000004</v>
      </c>
      <c r="I100" s="330">
        <v>1308.537</v>
      </c>
      <c r="J100" s="330">
        <v>2372</v>
      </c>
      <c r="K100" s="330">
        <v>3838.63</v>
      </c>
      <c r="L100" s="330">
        <v>5975.634</v>
      </c>
      <c r="M100" s="330">
        <v>8555.61</v>
      </c>
      <c r="N100" s="330">
        <v>11484.697</v>
      </c>
      <c r="O100" s="330">
        <v>14432.627999999999</v>
      </c>
      <c r="P100" s="331">
        <v>15509</v>
      </c>
      <c r="Q100" s="330">
        <v>0</v>
      </c>
      <c r="R100" s="330">
        <v>0</v>
      </c>
      <c r="S100" s="330">
        <v>0</v>
      </c>
      <c r="T100" s="330">
        <v>0</v>
      </c>
      <c r="U100" s="330">
        <v>0</v>
      </c>
      <c r="V100" s="330">
        <v>0</v>
      </c>
      <c r="W100" s="330">
        <v>0</v>
      </c>
      <c r="X100" s="330">
        <v>0</v>
      </c>
      <c r="Y100" s="330">
        <v>0</v>
      </c>
      <c r="Z100" s="330">
        <v>0</v>
      </c>
      <c r="AA100" s="330">
        <v>0</v>
      </c>
      <c r="AB100" s="330">
        <v>0</v>
      </c>
      <c r="AC100" s="330">
        <v>0</v>
      </c>
      <c r="AD100" s="330">
        <v>0</v>
      </c>
      <c r="AE100" s="330">
        <v>0</v>
      </c>
      <c r="AF100" s="330">
        <v>0</v>
      </c>
      <c r="AG100" s="330">
        <v>0</v>
      </c>
      <c r="AH100" s="330">
        <v>0</v>
      </c>
      <c r="AI100" s="332">
        <f t="shared" si="25"/>
        <v>64680.275999999998</v>
      </c>
      <c r="AJ100" s="225">
        <f t="shared" si="32"/>
        <v>2.0864605161290326</v>
      </c>
      <c r="AK100" s="176">
        <f t="shared" si="26"/>
        <v>2.3955657777777777</v>
      </c>
      <c r="AL100" s="321"/>
      <c r="AQ100" s="200" t="str">
        <f>'[2]ОПЕРАТИВКА пн-пн'!B104</f>
        <v>СЕВЕРНЫЙ ПОТОК-2 - ПОДАЧА РЕСУРСАГЕРМАНИЯ</v>
      </c>
    </row>
    <row r="101" spans="2:43" ht="28.5" x14ac:dyDescent="0.45">
      <c r="B101" s="326" t="s">
        <v>238</v>
      </c>
      <c r="C101" s="327"/>
      <c r="D101" s="328">
        <v>0</v>
      </c>
      <c r="E101" s="329">
        <v>0</v>
      </c>
      <c r="F101" s="329">
        <v>0</v>
      </c>
      <c r="G101" s="329">
        <v>0</v>
      </c>
      <c r="H101" s="330">
        <v>0</v>
      </c>
      <c r="I101" s="330">
        <v>0</v>
      </c>
      <c r="J101" s="330">
        <v>0</v>
      </c>
      <c r="K101" s="330">
        <v>0</v>
      </c>
      <c r="L101" s="330">
        <v>0</v>
      </c>
      <c r="M101" s="330">
        <v>0</v>
      </c>
      <c r="N101" s="330">
        <v>0</v>
      </c>
      <c r="O101" s="330">
        <v>0</v>
      </c>
      <c r="P101" s="331">
        <v>0</v>
      </c>
      <c r="Q101" s="330">
        <v>0</v>
      </c>
      <c r="R101" s="330">
        <v>0</v>
      </c>
      <c r="S101" s="330">
        <v>0</v>
      </c>
      <c r="T101" s="330">
        <v>0</v>
      </c>
      <c r="U101" s="330">
        <v>0</v>
      </c>
      <c r="V101" s="330">
        <v>0</v>
      </c>
      <c r="W101" s="330">
        <v>0</v>
      </c>
      <c r="X101" s="330">
        <v>0</v>
      </c>
      <c r="Y101" s="330">
        <v>0</v>
      </c>
      <c r="Z101" s="330">
        <v>0</v>
      </c>
      <c r="AA101" s="330">
        <v>0</v>
      </c>
      <c r="AB101" s="330">
        <v>0</v>
      </c>
      <c r="AC101" s="330">
        <v>0</v>
      </c>
      <c r="AD101" s="330">
        <v>0</v>
      </c>
      <c r="AE101" s="330">
        <v>0</v>
      </c>
      <c r="AF101" s="330">
        <v>0</v>
      </c>
      <c r="AG101" s="330">
        <v>0</v>
      </c>
      <c r="AH101" s="330">
        <v>0</v>
      </c>
      <c r="AI101" s="332">
        <f t="shared" si="25"/>
        <v>0</v>
      </c>
      <c r="AJ101" s="225">
        <f t="shared" si="32"/>
        <v>0</v>
      </c>
      <c r="AK101" s="176">
        <f t="shared" si="26"/>
        <v>0</v>
      </c>
      <c r="AL101" s="321"/>
      <c r="AQ101" s="200" t="str">
        <f>'[2]ОПЕРАТИВКА пн-пн'!B105</f>
        <v>СЕВЕРНЫЙ ПОТОК-2 - ПОДАЧА РЕСУРСАВЕЛИКОБРИТАНИЯ</v>
      </c>
    </row>
    <row r="102" spans="2:43" ht="28.5" x14ac:dyDescent="0.45">
      <c r="B102" s="326" t="s">
        <v>241</v>
      </c>
      <c r="C102" s="327"/>
      <c r="D102" s="328">
        <v>0</v>
      </c>
      <c r="E102" s="329">
        <v>0</v>
      </c>
      <c r="F102" s="329">
        <v>0</v>
      </c>
      <c r="G102" s="329">
        <v>0</v>
      </c>
      <c r="H102" s="330">
        <v>0</v>
      </c>
      <c r="I102" s="330">
        <v>0</v>
      </c>
      <c r="J102" s="330">
        <v>0</v>
      </c>
      <c r="K102" s="330">
        <v>0</v>
      </c>
      <c r="L102" s="330">
        <v>0</v>
      </c>
      <c r="M102" s="330">
        <v>0</v>
      </c>
      <c r="N102" s="330">
        <v>0</v>
      </c>
      <c r="O102" s="330">
        <v>0</v>
      </c>
      <c r="P102" s="331">
        <v>0</v>
      </c>
      <c r="Q102" s="330">
        <v>0</v>
      </c>
      <c r="R102" s="330">
        <v>0</v>
      </c>
      <c r="S102" s="330">
        <v>0</v>
      </c>
      <c r="T102" s="330">
        <v>0</v>
      </c>
      <c r="U102" s="330">
        <v>0</v>
      </c>
      <c r="V102" s="330">
        <v>0</v>
      </c>
      <c r="W102" s="330">
        <v>0</v>
      </c>
      <c r="X102" s="330">
        <v>0</v>
      </c>
      <c r="Y102" s="330">
        <v>0</v>
      </c>
      <c r="Z102" s="330">
        <v>0</v>
      </c>
      <c r="AA102" s="330">
        <v>0</v>
      </c>
      <c r="AB102" s="330">
        <v>0</v>
      </c>
      <c r="AC102" s="330">
        <v>0</v>
      </c>
      <c r="AD102" s="330">
        <v>0</v>
      </c>
      <c r="AE102" s="330">
        <v>0</v>
      </c>
      <c r="AF102" s="330">
        <v>0</v>
      </c>
      <c r="AG102" s="330">
        <v>0</v>
      </c>
      <c r="AH102" s="330">
        <v>0</v>
      </c>
      <c r="AI102" s="332">
        <f t="shared" si="25"/>
        <v>0</v>
      </c>
      <c r="AJ102" s="225">
        <f t="shared" si="32"/>
        <v>0</v>
      </c>
      <c r="AK102" s="176">
        <f t="shared" si="26"/>
        <v>0</v>
      </c>
      <c r="AL102" s="321"/>
      <c r="AQ102" s="200" t="str">
        <f>'[2]ОПЕРАТИВКА пн-пн'!B106</f>
        <v>СЕВЕРНЫЙ ПОТОК-2 - ПОДАЧА РЕСУРСАФРАНЦИЯ</v>
      </c>
    </row>
    <row r="103" spans="2:43" ht="28.5" x14ac:dyDescent="0.45">
      <c r="B103" s="326" t="s">
        <v>223</v>
      </c>
      <c r="C103" s="327"/>
      <c r="D103" s="328">
        <v>0</v>
      </c>
      <c r="E103" s="329">
        <v>0</v>
      </c>
      <c r="F103" s="329">
        <v>0</v>
      </c>
      <c r="G103" s="329">
        <v>0</v>
      </c>
      <c r="H103" s="330">
        <v>0</v>
      </c>
      <c r="I103" s="330">
        <v>0</v>
      </c>
      <c r="J103" s="330">
        <v>0</v>
      </c>
      <c r="K103" s="330">
        <v>0</v>
      </c>
      <c r="L103" s="330">
        <v>0</v>
      </c>
      <c r="M103" s="330">
        <v>0</v>
      </c>
      <c r="N103" s="330">
        <v>0</v>
      </c>
      <c r="O103" s="330">
        <v>0</v>
      </c>
      <c r="P103" s="331">
        <v>0</v>
      </c>
      <c r="Q103" s="330">
        <v>0</v>
      </c>
      <c r="R103" s="330">
        <v>0</v>
      </c>
      <c r="S103" s="330">
        <v>0</v>
      </c>
      <c r="T103" s="330">
        <v>0</v>
      </c>
      <c r="U103" s="330">
        <v>0</v>
      </c>
      <c r="V103" s="330">
        <v>0</v>
      </c>
      <c r="W103" s="330">
        <v>0</v>
      </c>
      <c r="X103" s="330">
        <v>0</v>
      </c>
      <c r="Y103" s="330">
        <v>0</v>
      </c>
      <c r="Z103" s="330">
        <v>0</v>
      </c>
      <c r="AA103" s="330">
        <v>0</v>
      </c>
      <c r="AB103" s="330">
        <v>0</v>
      </c>
      <c r="AC103" s="330">
        <v>0</v>
      </c>
      <c r="AD103" s="330">
        <v>0</v>
      </c>
      <c r="AE103" s="330">
        <v>0</v>
      </c>
      <c r="AF103" s="330">
        <v>0</v>
      </c>
      <c r="AG103" s="330">
        <v>0</v>
      </c>
      <c r="AH103" s="330">
        <v>0</v>
      </c>
      <c r="AI103" s="332">
        <f t="shared" si="25"/>
        <v>0</v>
      </c>
      <c r="AJ103" s="225">
        <f t="shared" si="32"/>
        <v>0</v>
      </c>
      <c r="AK103" s="176">
        <f t="shared" si="26"/>
        <v>0</v>
      </c>
      <c r="AL103" s="321"/>
      <c r="AQ103" s="200" t="str">
        <f>'[2]ОПЕРАТИВКА пн-пн'!B107</f>
        <v>СЕВЕРНЫЙ ПОТОК-2 - ПОДАЧА РЕСУРСАНИДЕРЛАНДЫ</v>
      </c>
    </row>
    <row r="104" spans="2:43" ht="28.5" x14ac:dyDescent="0.45">
      <c r="B104" s="326" t="s">
        <v>243</v>
      </c>
      <c r="C104" s="327"/>
      <c r="D104" s="328">
        <v>0</v>
      </c>
      <c r="E104" s="329">
        <v>0</v>
      </c>
      <c r="F104" s="329">
        <v>0</v>
      </c>
      <c r="G104" s="329">
        <v>0</v>
      </c>
      <c r="H104" s="330">
        <v>0</v>
      </c>
      <c r="I104" s="330">
        <v>0</v>
      </c>
      <c r="J104" s="330">
        <v>0</v>
      </c>
      <c r="K104" s="330">
        <v>0</v>
      </c>
      <c r="L104" s="330">
        <v>0</v>
      </c>
      <c r="M104" s="330">
        <v>0</v>
      </c>
      <c r="N104" s="330">
        <v>0</v>
      </c>
      <c r="O104" s="330">
        <v>0</v>
      </c>
      <c r="P104" s="331">
        <v>0</v>
      </c>
      <c r="Q104" s="330">
        <v>0</v>
      </c>
      <c r="R104" s="330">
        <v>0</v>
      </c>
      <c r="S104" s="330">
        <v>0</v>
      </c>
      <c r="T104" s="330">
        <v>0</v>
      </c>
      <c r="U104" s="330">
        <v>0</v>
      </c>
      <c r="V104" s="330">
        <v>0</v>
      </c>
      <c r="W104" s="330">
        <v>0</v>
      </c>
      <c r="X104" s="330">
        <v>0</v>
      </c>
      <c r="Y104" s="330">
        <v>0</v>
      </c>
      <c r="Z104" s="330">
        <v>0</v>
      </c>
      <c r="AA104" s="330">
        <v>0</v>
      </c>
      <c r="AB104" s="330">
        <v>0</v>
      </c>
      <c r="AC104" s="330">
        <v>0</v>
      </c>
      <c r="AD104" s="330">
        <v>0</v>
      </c>
      <c r="AE104" s="330">
        <v>0</v>
      </c>
      <c r="AF104" s="330">
        <v>0</v>
      </c>
      <c r="AG104" s="330">
        <v>0</v>
      </c>
      <c r="AH104" s="330">
        <v>0</v>
      </c>
      <c r="AI104" s="332">
        <f t="shared" si="25"/>
        <v>0</v>
      </c>
      <c r="AJ104" s="225">
        <f t="shared" si="32"/>
        <v>0</v>
      </c>
      <c r="AK104" s="176">
        <f t="shared" si="26"/>
        <v>0</v>
      </c>
      <c r="AL104" s="321"/>
      <c r="AQ104" s="200" t="str">
        <f>'[2]ОПЕРАТИВКА пн-пн'!B108</f>
        <v>СЕВЕРНЫЙ ПОТОК-2 - ПОДАЧА РЕСУРСАЧEXИЯ</v>
      </c>
    </row>
    <row r="105" spans="2:43" ht="28.5" x14ac:dyDescent="0.45">
      <c r="B105" s="326" t="s">
        <v>240</v>
      </c>
      <c r="C105" s="327"/>
      <c r="D105" s="328">
        <v>0</v>
      </c>
      <c r="E105" s="329">
        <v>0</v>
      </c>
      <c r="F105" s="329">
        <v>0</v>
      </c>
      <c r="G105" s="329">
        <v>0</v>
      </c>
      <c r="H105" s="330">
        <v>0</v>
      </c>
      <c r="I105" s="330">
        <v>0</v>
      </c>
      <c r="J105" s="330">
        <v>0</v>
      </c>
      <c r="K105" s="330">
        <v>0</v>
      </c>
      <c r="L105" s="330">
        <v>0</v>
      </c>
      <c r="M105" s="330">
        <v>0</v>
      </c>
      <c r="N105" s="330">
        <v>0</v>
      </c>
      <c r="O105" s="330">
        <v>0</v>
      </c>
      <c r="P105" s="331">
        <v>0</v>
      </c>
      <c r="Q105" s="330">
        <v>0</v>
      </c>
      <c r="R105" s="330">
        <v>0</v>
      </c>
      <c r="S105" s="330">
        <v>0</v>
      </c>
      <c r="T105" s="330">
        <v>0</v>
      </c>
      <c r="U105" s="330">
        <v>0</v>
      </c>
      <c r="V105" s="330">
        <v>0</v>
      </c>
      <c r="W105" s="330">
        <v>0</v>
      </c>
      <c r="X105" s="330">
        <v>0</v>
      </c>
      <c r="Y105" s="330">
        <v>0</v>
      </c>
      <c r="Z105" s="330">
        <v>0</v>
      </c>
      <c r="AA105" s="330">
        <v>0</v>
      </c>
      <c r="AB105" s="330">
        <v>0</v>
      </c>
      <c r="AC105" s="330">
        <v>0</v>
      </c>
      <c r="AD105" s="330">
        <v>0</v>
      </c>
      <c r="AE105" s="330">
        <v>0</v>
      </c>
      <c r="AF105" s="330">
        <v>0</v>
      </c>
      <c r="AG105" s="330">
        <v>0</v>
      </c>
      <c r="AH105" s="330">
        <v>0</v>
      </c>
      <c r="AI105" s="332">
        <f t="shared" si="25"/>
        <v>0</v>
      </c>
      <c r="AJ105" s="225">
        <f t="shared" si="32"/>
        <v>0</v>
      </c>
      <c r="AK105" s="176">
        <f t="shared" si="26"/>
        <v>0</v>
      </c>
      <c r="AL105" s="321"/>
      <c r="AQ105" s="200" t="str">
        <f>'[2]ОПЕРАТИВКА пн-пн'!B109</f>
        <v>СЕВЕРНЫЙ ПОТОК-2 - ПОДАЧА РЕСУРСАШBEЙЦAPИЯ</v>
      </c>
    </row>
    <row r="106" spans="2:43" ht="28.5" x14ac:dyDescent="0.45">
      <c r="B106" s="326" t="s">
        <v>244</v>
      </c>
      <c r="C106" s="327"/>
      <c r="D106" s="328">
        <v>0</v>
      </c>
      <c r="E106" s="329">
        <v>0</v>
      </c>
      <c r="F106" s="329">
        <v>0</v>
      </c>
      <c r="G106" s="329">
        <v>0</v>
      </c>
      <c r="H106" s="330">
        <v>0</v>
      </c>
      <c r="I106" s="330">
        <v>0</v>
      </c>
      <c r="J106" s="330">
        <v>0</v>
      </c>
      <c r="K106" s="330">
        <v>0</v>
      </c>
      <c r="L106" s="330">
        <v>0</v>
      </c>
      <c r="M106" s="330">
        <v>0</v>
      </c>
      <c r="N106" s="330">
        <v>0</v>
      </c>
      <c r="O106" s="330">
        <v>0</v>
      </c>
      <c r="P106" s="331">
        <v>0</v>
      </c>
      <c r="Q106" s="330">
        <v>0</v>
      </c>
      <c r="R106" s="330">
        <v>0</v>
      </c>
      <c r="S106" s="330">
        <v>0</v>
      </c>
      <c r="T106" s="330">
        <v>0</v>
      </c>
      <c r="U106" s="330">
        <v>0</v>
      </c>
      <c r="V106" s="330">
        <v>0</v>
      </c>
      <c r="W106" s="330">
        <v>0</v>
      </c>
      <c r="X106" s="330">
        <v>0</v>
      </c>
      <c r="Y106" s="330">
        <v>0</v>
      </c>
      <c r="Z106" s="330">
        <v>0</v>
      </c>
      <c r="AA106" s="330">
        <v>0</v>
      </c>
      <c r="AB106" s="330">
        <v>0</v>
      </c>
      <c r="AC106" s="330">
        <v>0</v>
      </c>
      <c r="AD106" s="330">
        <v>0</v>
      </c>
      <c r="AE106" s="330">
        <v>0</v>
      </c>
      <c r="AF106" s="330">
        <v>0</v>
      </c>
      <c r="AG106" s="330">
        <v>0</v>
      </c>
      <c r="AH106" s="330">
        <v>0</v>
      </c>
      <c r="AI106" s="332">
        <f t="shared" si="25"/>
        <v>0</v>
      </c>
      <c r="AJ106" s="225">
        <f t="shared" si="32"/>
        <v>0</v>
      </c>
      <c r="AK106" s="176">
        <f t="shared" si="26"/>
        <v>0</v>
      </c>
      <c r="AL106" s="321"/>
      <c r="AQ106" s="200" t="str">
        <f>'[2]ОПЕРАТИВКА пн-пн'!B110</f>
        <v>СЕВЕРНЫЙ ПОТОК-2 - ПОДАЧА РЕСУРСААВСТРИЯ</v>
      </c>
    </row>
    <row r="107" spans="2:43" ht="28.5" x14ac:dyDescent="0.45">
      <c r="B107" s="326" t="s">
        <v>263</v>
      </c>
      <c r="C107" s="327"/>
      <c r="D107" s="328">
        <v>0</v>
      </c>
      <c r="E107" s="329">
        <v>0</v>
      </c>
      <c r="F107" s="329">
        <v>0</v>
      </c>
      <c r="G107" s="329">
        <v>0</v>
      </c>
      <c r="H107" s="330">
        <v>0</v>
      </c>
      <c r="I107" s="330">
        <v>0</v>
      </c>
      <c r="J107" s="330">
        <v>0</v>
      </c>
      <c r="K107" s="330">
        <v>0</v>
      </c>
      <c r="L107" s="330">
        <v>0</v>
      </c>
      <c r="M107" s="330">
        <v>0</v>
      </c>
      <c r="N107" s="330">
        <v>0</v>
      </c>
      <c r="O107" s="330">
        <v>0</v>
      </c>
      <c r="P107" s="331">
        <v>0</v>
      </c>
      <c r="Q107" s="330">
        <v>0</v>
      </c>
      <c r="R107" s="330">
        <v>0</v>
      </c>
      <c r="S107" s="330">
        <v>0</v>
      </c>
      <c r="T107" s="330">
        <v>0</v>
      </c>
      <c r="U107" s="330">
        <v>0</v>
      </c>
      <c r="V107" s="330">
        <v>0</v>
      </c>
      <c r="W107" s="330">
        <v>0</v>
      </c>
      <c r="X107" s="330">
        <v>0</v>
      </c>
      <c r="Y107" s="330">
        <v>0</v>
      </c>
      <c r="Z107" s="330">
        <v>0</v>
      </c>
      <c r="AA107" s="330">
        <v>0</v>
      </c>
      <c r="AB107" s="330">
        <v>0</v>
      </c>
      <c r="AC107" s="330">
        <v>0</v>
      </c>
      <c r="AD107" s="330">
        <v>0</v>
      </c>
      <c r="AE107" s="330">
        <v>0</v>
      </c>
      <c r="AF107" s="330">
        <v>0</v>
      </c>
      <c r="AG107" s="330">
        <v>0</v>
      </c>
      <c r="AH107" s="330">
        <v>0</v>
      </c>
      <c r="AI107" s="332">
        <f t="shared" si="25"/>
        <v>0</v>
      </c>
      <c r="AJ107" s="225">
        <f t="shared" si="32"/>
        <v>0</v>
      </c>
      <c r="AK107" s="176">
        <f t="shared" si="26"/>
        <v>0</v>
      </c>
      <c r="AL107" s="321"/>
      <c r="AQ107" s="200" t="str">
        <f>'[2]ОПЕРАТИВКА пн-пн'!B111</f>
        <v>СЕВЕРНЫЙ ПОТОК-2 - ПОДАЧА РЕСУРСАВЕНГРИЯ</v>
      </c>
    </row>
    <row r="108" spans="2:43" ht="28.5" x14ac:dyDescent="0.45">
      <c r="B108" s="326" t="s">
        <v>242</v>
      </c>
      <c r="C108" s="327"/>
      <c r="D108" s="328">
        <v>0</v>
      </c>
      <c r="E108" s="329">
        <v>0</v>
      </c>
      <c r="F108" s="329">
        <v>0</v>
      </c>
      <c r="G108" s="329">
        <v>0</v>
      </c>
      <c r="H108" s="330">
        <v>0</v>
      </c>
      <c r="I108" s="330">
        <v>0</v>
      </c>
      <c r="J108" s="330">
        <v>0</v>
      </c>
      <c r="K108" s="330">
        <v>0</v>
      </c>
      <c r="L108" s="330">
        <v>0</v>
      </c>
      <c r="M108" s="330">
        <v>0</v>
      </c>
      <c r="N108" s="330">
        <v>0</v>
      </c>
      <c r="O108" s="330">
        <v>0</v>
      </c>
      <c r="P108" s="331">
        <v>0</v>
      </c>
      <c r="Q108" s="330">
        <v>0</v>
      </c>
      <c r="R108" s="330">
        <v>0</v>
      </c>
      <c r="S108" s="330">
        <v>0</v>
      </c>
      <c r="T108" s="330">
        <v>0</v>
      </c>
      <c r="U108" s="330">
        <v>0</v>
      </c>
      <c r="V108" s="330">
        <v>0</v>
      </c>
      <c r="W108" s="330">
        <v>0</v>
      </c>
      <c r="X108" s="330">
        <v>0</v>
      </c>
      <c r="Y108" s="330">
        <v>0</v>
      </c>
      <c r="Z108" s="330">
        <v>0</v>
      </c>
      <c r="AA108" s="330">
        <v>0</v>
      </c>
      <c r="AB108" s="330">
        <v>0</v>
      </c>
      <c r="AC108" s="330">
        <v>0</v>
      </c>
      <c r="AD108" s="330">
        <v>0</v>
      </c>
      <c r="AE108" s="330">
        <v>0</v>
      </c>
      <c r="AF108" s="330">
        <v>0</v>
      </c>
      <c r="AG108" s="330">
        <v>0</v>
      </c>
      <c r="AH108" s="330">
        <v>0</v>
      </c>
      <c r="AI108" s="332">
        <f t="shared" si="25"/>
        <v>0</v>
      </c>
      <c r="AJ108" s="225">
        <f t="shared" si="32"/>
        <v>0</v>
      </c>
      <c r="AK108" s="176">
        <f t="shared" si="26"/>
        <v>0</v>
      </c>
      <c r="AL108" s="321"/>
      <c r="AQ108" s="200" t="str">
        <f>'[2]ОПЕРАТИВКА пн-пн'!B112</f>
        <v>СЕВЕРНЫЙ ПОТОК-2 - ПОДАЧА РЕСУРСАИТАЛИЯ</v>
      </c>
    </row>
    <row r="109" spans="2:43" ht="28.5" x14ac:dyDescent="0.45">
      <c r="B109" s="326" t="s">
        <v>245</v>
      </c>
      <c r="C109" s="327"/>
      <c r="D109" s="330">
        <v>0</v>
      </c>
      <c r="E109" s="330">
        <v>0</v>
      </c>
      <c r="F109" s="330">
        <v>0</v>
      </c>
      <c r="G109" s="330">
        <v>0</v>
      </c>
      <c r="H109" s="330">
        <v>0</v>
      </c>
      <c r="I109" s="330">
        <v>0</v>
      </c>
      <c r="J109" s="330">
        <v>0</v>
      </c>
      <c r="K109" s="330">
        <v>0</v>
      </c>
      <c r="L109" s="330">
        <v>0</v>
      </c>
      <c r="M109" s="330">
        <v>0</v>
      </c>
      <c r="N109" s="330">
        <v>0</v>
      </c>
      <c r="O109" s="330">
        <v>0</v>
      </c>
      <c r="P109" s="331">
        <v>0</v>
      </c>
      <c r="Q109" s="330">
        <v>0</v>
      </c>
      <c r="R109" s="330">
        <v>0</v>
      </c>
      <c r="S109" s="330">
        <v>0</v>
      </c>
      <c r="T109" s="330">
        <v>0</v>
      </c>
      <c r="U109" s="330">
        <v>0</v>
      </c>
      <c r="V109" s="330">
        <v>0</v>
      </c>
      <c r="W109" s="330">
        <v>0</v>
      </c>
      <c r="X109" s="330">
        <v>0</v>
      </c>
      <c r="Y109" s="330">
        <v>0</v>
      </c>
      <c r="Z109" s="330">
        <v>0</v>
      </c>
      <c r="AA109" s="330">
        <v>0</v>
      </c>
      <c r="AB109" s="330">
        <v>0</v>
      </c>
      <c r="AC109" s="330">
        <v>0</v>
      </c>
      <c r="AD109" s="330">
        <v>0</v>
      </c>
      <c r="AE109" s="330">
        <v>0</v>
      </c>
      <c r="AF109" s="330">
        <v>0</v>
      </c>
      <c r="AG109" s="330">
        <v>0</v>
      </c>
      <c r="AH109" s="330">
        <v>0</v>
      </c>
      <c r="AI109" s="332">
        <f t="shared" si="25"/>
        <v>0</v>
      </c>
      <c r="AJ109" s="225">
        <f t="shared" si="32"/>
        <v>0</v>
      </c>
      <c r="AK109" s="176">
        <f t="shared" si="26"/>
        <v>0</v>
      </c>
      <c r="AL109" s="321"/>
      <c r="AQ109" s="200" t="str">
        <f>'[2]ОПЕРАТИВКА пн-пн'!B113</f>
        <v>СЕВЕРНЫЙ ПОТОК-2 - ПОДАЧА РЕСУРСАСЛОВЕНИЯ</v>
      </c>
    </row>
    <row r="110" spans="2:43" ht="28.5" x14ac:dyDescent="0.45">
      <c r="B110" s="326" t="s">
        <v>215</v>
      </c>
      <c r="C110" s="327"/>
      <c r="D110" s="330">
        <v>0</v>
      </c>
      <c r="E110" s="330">
        <v>0</v>
      </c>
      <c r="F110" s="330">
        <v>0</v>
      </c>
      <c r="G110" s="330">
        <v>0</v>
      </c>
      <c r="H110" s="330">
        <v>0</v>
      </c>
      <c r="I110" s="330">
        <v>0</v>
      </c>
      <c r="J110" s="330">
        <v>0</v>
      </c>
      <c r="K110" s="330">
        <v>0</v>
      </c>
      <c r="L110" s="330">
        <v>0</v>
      </c>
      <c r="M110" s="330">
        <v>0</v>
      </c>
      <c r="N110" s="330">
        <v>0</v>
      </c>
      <c r="O110" s="330">
        <v>0</v>
      </c>
      <c r="P110" s="331">
        <v>0</v>
      </c>
      <c r="Q110" s="330">
        <v>0</v>
      </c>
      <c r="R110" s="330">
        <v>0</v>
      </c>
      <c r="S110" s="330">
        <v>0</v>
      </c>
      <c r="T110" s="330">
        <v>0</v>
      </c>
      <c r="U110" s="330">
        <v>0</v>
      </c>
      <c r="V110" s="330">
        <v>0</v>
      </c>
      <c r="W110" s="330">
        <v>0</v>
      </c>
      <c r="X110" s="330">
        <v>0</v>
      </c>
      <c r="Y110" s="330">
        <v>0</v>
      </c>
      <c r="Z110" s="330">
        <v>0</v>
      </c>
      <c r="AA110" s="330">
        <v>0</v>
      </c>
      <c r="AB110" s="330">
        <v>0</v>
      </c>
      <c r="AC110" s="330">
        <v>0</v>
      </c>
      <c r="AD110" s="330">
        <v>0</v>
      </c>
      <c r="AE110" s="330">
        <v>0</v>
      </c>
      <c r="AF110" s="330">
        <v>0</v>
      </c>
      <c r="AG110" s="330">
        <v>0</v>
      </c>
      <c r="AH110" s="330">
        <v>0</v>
      </c>
      <c r="AI110" s="332">
        <f t="shared" si="25"/>
        <v>0</v>
      </c>
      <c r="AJ110" s="225">
        <f t="shared" si="32"/>
        <v>0</v>
      </c>
      <c r="AK110" s="176">
        <f t="shared" si="26"/>
        <v>0</v>
      </c>
      <c r="AL110" s="321"/>
      <c r="AQ110" s="200" t="str">
        <f>'[2]ОПЕРАТИВКА пн-пн'!B114</f>
        <v>СЕВЕРНЫЙ ПОТОК-2 - ПОДАЧА РЕСУРСАСЛОВАКИЯ</v>
      </c>
    </row>
    <row r="111" spans="2:43" ht="29.25" thickBot="1" x14ac:dyDescent="0.5">
      <c r="B111" s="338" t="s">
        <v>266</v>
      </c>
      <c r="C111" s="339"/>
      <c r="D111" s="340">
        <v>29100.3482</v>
      </c>
      <c r="E111" s="340">
        <v>29283.221290000001</v>
      </c>
      <c r="F111" s="340">
        <v>29105.929790000002</v>
      </c>
      <c r="G111" s="340">
        <v>28996.109090000002</v>
      </c>
      <c r="H111" s="340">
        <v>28892.533449999999</v>
      </c>
      <c r="I111" s="340">
        <v>28842.149649999999</v>
      </c>
      <c r="J111" s="340">
        <v>28901.237069999999</v>
      </c>
      <c r="K111" s="340">
        <v>28866.196939999998</v>
      </c>
      <c r="L111" s="340">
        <v>28871.832300000002</v>
      </c>
      <c r="M111" s="340">
        <v>28917.00633</v>
      </c>
      <c r="N111" s="340">
        <v>28905.91791</v>
      </c>
      <c r="O111" s="340">
        <v>29038.158379999997</v>
      </c>
      <c r="P111" s="340">
        <v>28847.51165</v>
      </c>
      <c r="Q111" s="340">
        <v>28853.501800000002</v>
      </c>
      <c r="R111" s="340">
        <v>28865.063630000001</v>
      </c>
      <c r="S111" s="340">
        <v>28779.828529999999</v>
      </c>
      <c r="T111" s="340">
        <v>28846.056220000002</v>
      </c>
      <c r="U111" s="340">
        <v>28925.694480000002</v>
      </c>
      <c r="V111" s="340">
        <v>28850.80774</v>
      </c>
      <c r="W111" s="340">
        <v>28854.73315</v>
      </c>
      <c r="X111" s="340">
        <v>28846.996930000001</v>
      </c>
      <c r="Y111" s="340">
        <v>28867.183359999999</v>
      </c>
      <c r="Z111" s="340">
        <v>28883.556110000001</v>
      </c>
      <c r="AA111" s="340">
        <v>28834.850340000001</v>
      </c>
      <c r="AB111" s="340">
        <v>28907.697949999998</v>
      </c>
      <c r="AC111" s="340">
        <v>28847.046890000001</v>
      </c>
      <c r="AD111" s="340">
        <v>28863.272129999998</v>
      </c>
      <c r="AE111" s="340">
        <v>28888.56496</v>
      </c>
      <c r="AF111" s="340">
        <v>28880.319629999998</v>
      </c>
      <c r="AG111" s="340">
        <v>31608.3704</v>
      </c>
      <c r="AH111" s="341">
        <v>34380.754889999997</v>
      </c>
      <c r="AI111" s="391">
        <f>SUM(D111:AH111)</f>
        <v>904352.45118999993</v>
      </c>
      <c r="AJ111" s="225">
        <f t="shared" si="29"/>
        <v>29.17265971580645</v>
      </c>
      <c r="AK111" s="176">
        <f t="shared" si="26"/>
        <v>28.910905233703698</v>
      </c>
      <c r="AL111" s="343">
        <v>28.927776389642855</v>
      </c>
      <c r="AQ111" s="200" t="str">
        <f>'[2]ОПЕРАТИВКА пн-пн'!B116</f>
        <v>СПРАВОЧНО                                              КИТАЙ</v>
      </c>
    </row>
    <row r="112" spans="2:43" ht="29.25" thickBot="1" x14ac:dyDescent="0.5">
      <c r="B112" s="171" t="s">
        <v>267</v>
      </c>
      <c r="C112" s="172"/>
      <c r="D112" s="173">
        <f t="shared" ref="D112:AH112" si="34">D5+D111</f>
        <v>412226.03838852118</v>
      </c>
      <c r="E112" s="173">
        <f t="shared" si="34"/>
        <v>409482.39003153681</v>
      </c>
      <c r="F112" s="173">
        <f t="shared" si="34"/>
        <v>407257.78350789438</v>
      </c>
      <c r="G112" s="173">
        <f t="shared" si="34"/>
        <v>410328.67856875027</v>
      </c>
      <c r="H112" s="173">
        <f t="shared" si="34"/>
        <v>414809.79708286811</v>
      </c>
      <c r="I112" s="173">
        <f t="shared" si="34"/>
        <v>431254.75329214177</v>
      </c>
      <c r="J112" s="173">
        <f t="shared" si="34"/>
        <v>425161.11237586237</v>
      </c>
      <c r="K112" s="173">
        <f t="shared" si="34"/>
        <v>437526.01816368999</v>
      </c>
      <c r="L112" s="173">
        <f t="shared" si="34"/>
        <v>438921.71111249219</v>
      </c>
      <c r="M112" s="173">
        <f t="shared" si="34"/>
        <v>439551.04572322418</v>
      </c>
      <c r="N112" s="173">
        <f t="shared" si="34"/>
        <v>442042.63500540622</v>
      </c>
      <c r="O112" s="173">
        <f t="shared" si="34"/>
        <v>445287.05456025183</v>
      </c>
      <c r="P112" s="173">
        <f t="shared" si="34"/>
        <v>446190.85740637308</v>
      </c>
      <c r="Q112" s="173">
        <f t="shared" si="34"/>
        <v>431100.41894006362</v>
      </c>
      <c r="R112" s="173">
        <f t="shared" si="34"/>
        <v>430812.50554583536</v>
      </c>
      <c r="S112" s="173">
        <f t="shared" si="34"/>
        <v>431218.85569971765</v>
      </c>
      <c r="T112" s="173">
        <f t="shared" si="34"/>
        <v>435105.32099720713</v>
      </c>
      <c r="U112" s="173">
        <f t="shared" si="34"/>
        <v>434837.89319597738</v>
      </c>
      <c r="V112" s="173">
        <f t="shared" si="34"/>
        <v>431407.26690646028</v>
      </c>
      <c r="W112" s="173">
        <f t="shared" si="34"/>
        <v>416969.33186925726</v>
      </c>
      <c r="X112" s="173">
        <f t="shared" si="34"/>
        <v>403240.54229241697</v>
      </c>
      <c r="Y112" s="173">
        <f t="shared" si="34"/>
        <v>412752.43206627073</v>
      </c>
      <c r="Z112" s="173">
        <f t="shared" si="34"/>
        <v>400085.1935863283</v>
      </c>
      <c r="AA112" s="173">
        <f t="shared" si="34"/>
        <v>407608.05119444005</v>
      </c>
      <c r="AB112" s="173">
        <f t="shared" si="34"/>
        <v>406979.94254514849</v>
      </c>
      <c r="AC112" s="173">
        <f t="shared" si="34"/>
        <v>424010.06211850658</v>
      </c>
      <c r="AD112" s="173">
        <f t="shared" si="34"/>
        <v>426652.75508767599</v>
      </c>
      <c r="AE112" s="173">
        <f t="shared" si="34"/>
        <v>425374.5913634816</v>
      </c>
      <c r="AF112" s="173">
        <f t="shared" si="34"/>
        <v>401368.81727106828</v>
      </c>
      <c r="AG112" s="173">
        <f t="shared" si="34"/>
        <v>386806.89848860027</v>
      </c>
      <c r="AH112" s="173">
        <f t="shared" si="34"/>
        <v>376198.14781047089</v>
      </c>
      <c r="AI112" s="174">
        <f>SUM(D112:AH112)</f>
        <v>13042568.902197938</v>
      </c>
      <c r="AJ112" s="225"/>
      <c r="AK112" s="176"/>
      <c r="AL112" s="343"/>
      <c r="AQ112" s="200"/>
    </row>
    <row r="113" spans="2:44" ht="27.6" customHeight="1" x14ac:dyDescent="0.3">
      <c r="B113" s="344" t="s">
        <v>268</v>
      </c>
      <c r="C113" s="345"/>
      <c r="D113" s="346">
        <v>0</v>
      </c>
      <c r="E113" s="346">
        <v>0</v>
      </c>
      <c r="F113" s="346">
        <v>0</v>
      </c>
      <c r="G113" s="346">
        <v>0</v>
      </c>
      <c r="H113" s="346">
        <v>0</v>
      </c>
      <c r="I113" s="346">
        <v>0</v>
      </c>
      <c r="J113" s="346">
        <v>0</v>
      </c>
      <c r="K113" s="346">
        <v>0</v>
      </c>
      <c r="L113" s="346">
        <v>0</v>
      </c>
      <c r="M113" s="346">
        <v>0</v>
      </c>
      <c r="N113" s="346">
        <v>0</v>
      </c>
      <c r="O113" s="346">
        <v>0</v>
      </c>
      <c r="P113" s="346">
        <v>0</v>
      </c>
      <c r="Q113" s="346">
        <v>0</v>
      </c>
      <c r="R113" s="346">
        <v>0</v>
      </c>
      <c r="S113" s="346">
        <v>0</v>
      </c>
      <c r="T113" s="346">
        <v>0</v>
      </c>
      <c r="U113" s="346">
        <v>0</v>
      </c>
      <c r="V113" s="346">
        <v>0</v>
      </c>
      <c r="W113" s="346">
        <v>0</v>
      </c>
      <c r="X113" s="346">
        <v>0</v>
      </c>
      <c r="Y113" s="346">
        <v>0</v>
      </c>
      <c r="Z113" s="346">
        <v>0</v>
      </c>
      <c r="AA113" s="346">
        <v>0</v>
      </c>
      <c r="AB113" s="346">
        <v>0</v>
      </c>
      <c r="AC113" s="346">
        <v>0</v>
      </c>
      <c r="AD113" s="347">
        <v>0</v>
      </c>
      <c r="AE113" s="347">
        <v>0</v>
      </c>
      <c r="AF113" s="347">
        <v>0</v>
      </c>
      <c r="AG113" s="347">
        <v>0</v>
      </c>
      <c r="AH113" s="348">
        <v>0</v>
      </c>
      <c r="AI113" s="349">
        <f>SUM(D113:AH113)</f>
        <v>0</v>
      </c>
      <c r="AQ113" s="200" t="str">
        <f>'[2]ОПЕРАТИВКА пн-пн'!B125</f>
        <v>СУММАРНОЕ СОКРАЩЕНИЕ НОМИНАЦИЙ</v>
      </c>
    </row>
    <row r="114" spans="2:44" ht="27.6" customHeight="1" x14ac:dyDescent="0.3">
      <c r="B114" s="350" t="s">
        <v>269</v>
      </c>
      <c r="C114" s="351"/>
      <c r="D114" s="352">
        <v>0</v>
      </c>
      <c r="E114" s="352">
        <v>0</v>
      </c>
      <c r="F114" s="352">
        <v>0</v>
      </c>
      <c r="G114" s="352">
        <v>0</v>
      </c>
      <c r="H114" s="352">
        <v>0</v>
      </c>
      <c r="I114" s="352">
        <v>0</v>
      </c>
      <c r="J114" s="352">
        <v>0</v>
      </c>
      <c r="K114" s="352">
        <v>0</v>
      </c>
      <c r="L114" s="352">
        <v>0</v>
      </c>
      <c r="M114" s="352">
        <v>0</v>
      </c>
      <c r="N114" s="352">
        <v>0</v>
      </c>
      <c r="O114" s="352">
        <v>0</v>
      </c>
      <c r="P114" s="352">
        <v>0</v>
      </c>
      <c r="Q114" s="352">
        <v>0</v>
      </c>
      <c r="R114" s="352">
        <v>0</v>
      </c>
      <c r="S114" s="352">
        <v>0</v>
      </c>
      <c r="T114" s="352">
        <v>0</v>
      </c>
      <c r="U114" s="352">
        <v>0</v>
      </c>
      <c r="V114" s="352">
        <v>0</v>
      </c>
      <c r="W114" s="352">
        <v>0</v>
      </c>
      <c r="X114" s="352">
        <v>0</v>
      </c>
      <c r="Y114" s="352">
        <v>0</v>
      </c>
      <c r="Z114" s="352">
        <v>0</v>
      </c>
      <c r="AA114" s="352">
        <v>0</v>
      </c>
      <c r="AB114" s="352">
        <v>0</v>
      </c>
      <c r="AC114" s="352">
        <v>0</v>
      </c>
      <c r="AD114" s="353">
        <v>0</v>
      </c>
      <c r="AE114" s="353">
        <v>0</v>
      </c>
      <c r="AF114" s="353">
        <v>0</v>
      </c>
      <c r="AG114" s="353">
        <v>0</v>
      </c>
      <c r="AH114" s="354">
        <v>0</v>
      </c>
      <c r="AI114" s="355">
        <f>SUM(D114:AH114)</f>
        <v>0</v>
      </c>
      <c r="AQ114" s="200" t="str">
        <f>'[2]ОПЕРАТИВКА пн-пн'!B126</f>
        <v>- в т.ч. best-efforts</v>
      </c>
    </row>
    <row r="115" spans="2:44" ht="27.6" customHeight="1" thickBot="1" x14ac:dyDescent="0.35">
      <c r="B115" s="356" t="s">
        <v>270</v>
      </c>
      <c r="C115" s="357"/>
      <c r="D115" s="358">
        <v>0</v>
      </c>
      <c r="E115" s="358">
        <v>0</v>
      </c>
      <c r="F115" s="358">
        <v>0</v>
      </c>
      <c r="G115" s="358">
        <v>0</v>
      </c>
      <c r="H115" s="358">
        <v>0</v>
      </c>
      <c r="I115" s="358">
        <v>0</v>
      </c>
      <c r="J115" s="358">
        <v>0</v>
      </c>
      <c r="K115" s="358">
        <v>0</v>
      </c>
      <c r="L115" s="358">
        <v>0</v>
      </c>
      <c r="M115" s="358">
        <v>0</v>
      </c>
      <c r="N115" s="358">
        <v>0</v>
      </c>
      <c r="O115" s="358">
        <v>0</v>
      </c>
      <c r="P115" s="358">
        <v>0</v>
      </c>
      <c r="Q115" s="358">
        <v>0</v>
      </c>
      <c r="R115" s="358">
        <v>0</v>
      </c>
      <c r="S115" s="358">
        <v>0</v>
      </c>
      <c r="T115" s="358">
        <v>0</v>
      </c>
      <c r="U115" s="358">
        <v>0</v>
      </c>
      <c r="V115" s="358">
        <v>0</v>
      </c>
      <c r="W115" s="358">
        <v>0</v>
      </c>
      <c r="X115" s="358">
        <v>0</v>
      </c>
      <c r="Y115" s="358">
        <v>0</v>
      </c>
      <c r="Z115" s="358">
        <v>0</v>
      </c>
      <c r="AA115" s="358">
        <v>0</v>
      </c>
      <c r="AB115" s="358">
        <v>0</v>
      </c>
      <c r="AC115" s="358">
        <v>0</v>
      </c>
      <c r="AD115" s="359">
        <v>0</v>
      </c>
      <c r="AE115" s="359">
        <v>0</v>
      </c>
      <c r="AF115" s="359">
        <v>0</v>
      </c>
      <c r="AG115" s="359">
        <v>0</v>
      </c>
      <c r="AH115" s="360">
        <v>0</v>
      </c>
      <c r="AI115" s="361">
        <f>SUM(D115:AH115)</f>
        <v>0</v>
      </c>
      <c r="AQ115" s="200" t="str">
        <f>'[2]ОПЕРАТИВКА пн-пн'!B127</f>
        <v>НЕДОПОСТАВКА ПО ТВЕРДЫМ ОБЯЗАТЕЛЬСТВАМ</v>
      </c>
    </row>
    <row r="116" spans="2:44" s="362" customFormat="1" ht="33.75" x14ac:dyDescent="0.5">
      <c r="B116" s="392"/>
      <c r="C116" s="393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4"/>
      <c r="X116" s="394"/>
      <c r="Y116" s="394"/>
      <c r="Z116" s="394"/>
      <c r="AA116" s="394"/>
      <c r="AB116" s="395"/>
      <c r="AC116" s="395"/>
      <c r="AD116" s="395"/>
      <c r="AE116" s="395"/>
      <c r="AF116" s="395"/>
      <c r="AG116" s="395"/>
      <c r="AH116" s="395"/>
      <c r="AI116" s="396"/>
      <c r="AK116" s="367"/>
      <c r="AR116" s="368"/>
    </row>
  </sheetData>
  <conditionalFormatting sqref="AL81:AL88">
    <cfRule type="cellIs" dxfId="3" priority="4" stopIfTrue="1" operator="lessThan">
      <formula>0</formula>
    </cfRule>
  </conditionalFormatting>
  <conditionalFormatting sqref="AL90">
    <cfRule type="cellIs" dxfId="2" priority="3" stopIfTrue="1" operator="lessThan">
      <formula>0</formula>
    </cfRule>
  </conditionalFormatting>
  <conditionalFormatting sqref="AL89">
    <cfRule type="cellIs" dxfId="1" priority="2" stopIfTrue="1" operator="lessThan">
      <formula>0</formula>
    </cfRule>
  </conditionalFormatting>
  <conditionalFormatting sqref="AL91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4:AH4" xr:uid="{03D5DDB4-633A-4F8A-BE8A-C3B2147CC5D2}">
      <formula1>"Факт,Факт-оценка,Выделено"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C23F-311B-4B69-AEF6-F74F6EFF6338}">
  <sheetPr codeName="Лист6"/>
  <dimension ref="A1:C13"/>
  <sheetViews>
    <sheetView workbookViewId="0">
      <selection sqref="A1:C1"/>
    </sheetView>
  </sheetViews>
  <sheetFormatPr defaultRowHeight="15" x14ac:dyDescent="0.25"/>
  <sheetData>
    <row r="1" spans="1:3" x14ac:dyDescent="0.25">
      <c r="A1" s="481" t="s">
        <v>168</v>
      </c>
      <c r="B1" s="481"/>
      <c r="C1" s="481"/>
    </row>
    <row r="2" spans="1:3" x14ac:dyDescent="0.25">
      <c r="A2">
        <v>1</v>
      </c>
      <c r="B2" s="1" t="s">
        <v>169</v>
      </c>
      <c r="C2" s="1" t="s">
        <v>170</v>
      </c>
    </row>
    <row r="3" spans="1:3" x14ac:dyDescent="0.25">
      <c r="A3">
        <v>2</v>
      </c>
      <c r="B3" s="1" t="s">
        <v>171</v>
      </c>
      <c r="C3" s="1" t="s">
        <v>172</v>
      </c>
    </row>
    <row r="4" spans="1:3" x14ac:dyDescent="0.25">
      <c r="A4">
        <v>3</v>
      </c>
      <c r="B4" s="1" t="s">
        <v>173</v>
      </c>
      <c r="C4" s="1" t="s">
        <v>174</v>
      </c>
    </row>
    <row r="5" spans="1:3" x14ac:dyDescent="0.25">
      <c r="A5">
        <v>4</v>
      </c>
      <c r="B5" s="1" t="s">
        <v>175</v>
      </c>
      <c r="C5" s="1" t="s">
        <v>176</v>
      </c>
    </row>
    <row r="6" spans="1:3" x14ac:dyDescent="0.25">
      <c r="A6">
        <v>5</v>
      </c>
      <c r="B6" s="1" t="s">
        <v>177</v>
      </c>
      <c r="C6" s="1" t="s">
        <v>178</v>
      </c>
    </row>
    <row r="7" spans="1:3" x14ac:dyDescent="0.25">
      <c r="A7">
        <v>6</v>
      </c>
      <c r="B7" s="1" t="s">
        <v>179</v>
      </c>
      <c r="C7" s="1" t="s">
        <v>180</v>
      </c>
    </row>
    <row r="8" spans="1:3" x14ac:dyDescent="0.25">
      <c r="A8">
        <v>7</v>
      </c>
      <c r="B8" s="1" t="s">
        <v>181</v>
      </c>
      <c r="C8" s="1" t="s">
        <v>182</v>
      </c>
    </row>
    <row r="9" spans="1:3" x14ac:dyDescent="0.25">
      <c r="A9">
        <v>8</v>
      </c>
      <c r="B9" s="1" t="s">
        <v>183</v>
      </c>
      <c r="C9" s="1" t="s">
        <v>184</v>
      </c>
    </row>
    <row r="10" spans="1:3" x14ac:dyDescent="0.25">
      <c r="A10">
        <v>9</v>
      </c>
      <c r="B10" s="1" t="s">
        <v>185</v>
      </c>
      <c r="C10" s="1" t="s">
        <v>186</v>
      </c>
    </row>
    <row r="11" spans="1:3" x14ac:dyDescent="0.25">
      <c r="A11">
        <v>10</v>
      </c>
      <c r="B11" s="1" t="s">
        <v>23</v>
      </c>
      <c r="C11" s="1" t="s">
        <v>187</v>
      </c>
    </row>
    <row r="12" spans="1:3" x14ac:dyDescent="0.25">
      <c r="A12">
        <v>11</v>
      </c>
      <c r="B12" s="1" t="s">
        <v>24</v>
      </c>
      <c r="C12" s="1" t="s">
        <v>188</v>
      </c>
    </row>
    <row r="13" spans="1:3" x14ac:dyDescent="0.25">
      <c r="A13">
        <v>12</v>
      </c>
      <c r="B13" s="1" t="s">
        <v>189</v>
      </c>
      <c r="C13" s="1" t="s">
        <v>190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WORD MONDAY</vt:lpstr>
      <vt:lpstr>ОПЕРАТИВКА пн-пн</vt:lpstr>
      <vt:lpstr>баланс</vt:lpstr>
      <vt:lpstr>Сверка 310</vt:lpstr>
      <vt:lpstr>Сверка 310 пред.мес.</vt:lpstr>
      <vt:lpstr>references</vt:lpstr>
      <vt:lpstr>'ОПЕРАТИВКА пн-пн'!Заголовки_для_печати</vt:lpstr>
      <vt:lpstr>'WORD MONDAY'!Область_печати</vt:lpstr>
      <vt:lpstr>баланс!Область_печати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Lostuser Zero</dc:creator>
  <cp:lastModifiedBy>Lostuser Zero</cp:lastModifiedBy>
  <cp:lastPrinted>2021-11-24T14:41:03Z</cp:lastPrinted>
  <dcterms:created xsi:type="dcterms:W3CDTF">2021-11-02T08:13:07Z</dcterms:created>
  <dcterms:modified xsi:type="dcterms:W3CDTF">2021-11-25T08:33:01Z</dcterms:modified>
</cp:coreProperties>
</file>