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f444b4416e014b/Documents/Тюрин/"/>
    </mc:Choice>
  </mc:AlternateContent>
  <xr:revisionPtr revIDLastSave="940" documentId="13_ncr:1_{1B6250E1-0FC3-463B-93E0-6E4441F26575}" xr6:coauthVersionLast="47" xr6:coauthVersionMax="47" xr10:uidLastSave="{DF8FB5A1-BFFD-4CA6-81DB-666C5A00CA1E}"/>
  <bookViews>
    <workbookView xWindow="-120" yWindow="-120" windowWidth="29040" windowHeight="15720" activeTab="1" xr2:uid="{C4D48DF6-BEFB-4F85-A5A6-352BC355C163}"/>
  </bookViews>
  <sheets>
    <sheet name="Данные" sheetId="1" r:id="rId1"/>
    <sheet name="Рассчет" sheetId="2" r:id="rId2"/>
    <sheet name="Рассчет2" sheetId="3" r:id="rId3"/>
    <sheet name="Рассче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7" i="2" s="1"/>
  <c r="B11" i="2" s="1"/>
  <c r="Q7" i="4"/>
  <c r="L7" i="4"/>
  <c r="G7" i="4"/>
  <c r="Q6" i="4"/>
  <c r="L6" i="4"/>
  <c r="G6" i="4"/>
  <c r="B7" i="4"/>
  <c r="B6" i="4"/>
  <c r="S3" i="4"/>
  <c r="N3" i="4"/>
  <c r="I3" i="4"/>
  <c r="D3" i="4"/>
  <c r="N2" i="4"/>
  <c r="G5" i="3"/>
  <c r="Y1" i="3"/>
  <c r="G2" i="3"/>
  <c r="V31" i="3"/>
  <c r="V28" i="3"/>
  <c r="V24" i="3"/>
  <c r="V20" i="3"/>
  <c r="V14" i="3"/>
  <c r="V10" i="3"/>
  <c r="V6" i="3"/>
  <c r="P2" i="3"/>
  <c r="P5" i="3" s="1"/>
  <c r="P8" i="3" s="1"/>
  <c r="P9" i="3" s="1"/>
  <c r="K31" i="3"/>
  <c r="K12" i="3"/>
  <c r="K27" i="3"/>
  <c r="K22" i="3"/>
  <c r="K18" i="3"/>
  <c r="M9" i="3"/>
  <c r="M6" i="3"/>
  <c r="B33" i="3"/>
  <c r="G8" i="3" s="1"/>
  <c r="D9" i="3"/>
  <c r="B31" i="3"/>
  <c r="B18" i="3"/>
  <c r="B27" i="3"/>
  <c r="B22" i="3"/>
  <c r="D6" i="3"/>
  <c r="B12" i="3"/>
  <c r="H66" i="2"/>
  <c r="B25" i="2"/>
  <c r="O44" i="2"/>
  <c r="O43" i="2"/>
  <c r="O42" i="2"/>
  <c r="O40" i="2"/>
  <c r="O39" i="2"/>
  <c r="P29" i="2"/>
  <c r="O34" i="2"/>
  <c r="O33" i="2"/>
  <c r="O32" i="2"/>
  <c r="P26" i="2"/>
  <c r="O25" i="2"/>
  <c r="O21" i="2"/>
  <c r="N25" i="2"/>
  <c r="N21" i="2"/>
  <c r="O22" i="2" s="1"/>
  <c r="O18" i="2"/>
  <c r="O13" i="2"/>
  <c r="O17" i="2"/>
  <c r="O14" i="2"/>
  <c r="N17" i="2"/>
  <c r="P7" i="2"/>
  <c r="H53" i="2"/>
  <c r="G65" i="2" s="1"/>
  <c r="H49" i="2"/>
  <c r="H46" i="2"/>
  <c r="H42" i="2"/>
  <c r="I20" i="2"/>
  <c r="I21" i="2"/>
  <c r="P8" i="2"/>
  <c r="Q2" i="2"/>
  <c r="P6" i="2"/>
  <c r="P5" i="2"/>
  <c r="H69" i="2"/>
  <c r="I22" i="2"/>
  <c r="H65" i="2"/>
  <c r="G69" i="2"/>
  <c r="H70" i="2" s="1"/>
  <c r="H54" i="2"/>
  <c r="I61" i="2"/>
  <c r="K18" i="2"/>
  <c r="H61" i="2"/>
  <c r="H57" i="2"/>
  <c r="G53" i="2"/>
  <c r="H38" i="2"/>
  <c r="G49" i="2"/>
  <c r="I30" i="2"/>
  <c r="H45" i="2"/>
  <c r="H41" i="2"/>
  <c r="H37" i="2"/>
  <c r="H36" i="2"/>
  <c r="I29" i="2"/>
  <c r="I28" i="2"/>
  <c r="G20" i="2"/>
  <c r="I18" i="2"/>
  <c r="I15" i="2"/>
  <c r="I13" i="2"/>
  <c r="I14" i="2"/>
  <c r="J7" i="2"/>
  <c r="I3" i="2"/>
  <c r="H2" i="2"/>
  <c r="B22" i="2"/>
  <c r="D10" i="2"/>
  <c r="B18" i="2"/>
  <c r="B14" i="2"/>
  <c r="A14" i="2"/>
  <c r="C2" i="2"/>
  <c r="T30" i="3" l="1"/>
  <c r="Y2" i="3" s="1"/>
  <c r="Y5" i="3" s="1"/>
  <c r="Y8" i="3" s="1"/>
  <c r="Y9" i="3" s="1"/>
  <c r="G9" i="3"/>
  <c r="K33" i="3"/>
  <c r="G61" i="2"/>
  <c r="I62" i="2" s="1"/>
  <c r="G57" i="2"/>
  <c r="H58" i="2" s="1"/>
  <c r="H50" i="2"/>
  <c r="B19" i="2"/>
  <c r="B23" i="2"/>
  <c r="B15" i="2"/>
</calcChain>
</file>

<file path=xl/sharedStrings.xml><?xml version="1.0" encoding="utf-8"?>
<sst xmlns="http://schemas.openxmlformats.org/spreadsheetml/2006/main" count="616" uniqueCount="257">
  <si>
    <t>№</t>
  </si>
  <si>
    <t>Наливные</t>
  </si>
  <si>
    <t>Тарно-штучные</t>
  </si>
  <si>
    <t>Насыпные</t>
  </si>
  <si>
    <t>вар</t>
  </si>
  <si>
    <t>Код</t>
  </si>
  <si>
    <t xml:space="preserve">№ </t>
  </si>
  <si>
    <t>Объем</t>
  </si>
  <si>
    <t>Рассто-</t>
  </si>
  <si>
    <t xml:space="preserve"> груза</t>
  </si>
  <si>
    <t>схемы</t>
  </si>
  <si>
    <t>пере-</t>
  </si>
  <si>
    <t>яние</t>
  </si>
  <si>
    <t>возок,т</t>
  </si>
  <si>
    <t>перево-</t>
  </si>
  <si>
    <t>зок, км</t>
  </si>
  <si>
    <t>№ схемы</t>
  </si>
  <si>
    <t>автоцистерна</t>
  </si>
  <si>
    <t>пентан</t>
  </si>
  <si>
    <t>Код груза</t>
  </si>
  <si>
    <t>поддон (пакет)</t>
  </si>
  <si>
    <t>Колбасные</t>
  </si>
  <si>
    <t xml:space="preserve">Упаковка                                             </t>
  </si>
  <si>
    <t xml:space="preserve">Автомат  </t>
  </si>
  <si>
    <t>Полимер-</t>
  </si>
  <si>
    <t>Не нормируется</t>
  </si>
  <si>
    <t>Вручную</t>
  </si>
  <si>
    <t>Пакет на</t>
  </si>
  <si>
    <t>изделия, наре-</t>
  </si>
  <si>
    <t>изПЦ-2</t>
  </si>
  <si>
    <t>М6-ФУФ/1</t>
  </si>
  <si>
    <t>ный ящик</t>
  </si>
  <si>
    <t>поддоне</t>
  </si>
  <si>
    <t>занные на</t>
  </si>
  <si>
    <t>№4 (ОСТ</t>
  </si>
  <si>
    <t>ломтики</t>
  </si>
  <si>
    <t>49-127-78)</t>
  </si>
  <si>
    <t>контейнер мягкий</t>
  </si>
  <si>
    <t>суперфосфат (гранулы)</t>
  </si>
  <si>
    <t>ПРМ1</t>
  </si>
  <si>
    <t>ПРМ2</t>
  </si>
  <si>
    <t>Автоцистерна</t>
  </si>
  <si>
    <t>Танк-контейнер</t>
  </si>
  <si>
    <t>Обе части</t>
  </si>
  <si>
    <t>Схема 3</t>
  </si>
  <si>
    <t>Схема 4</t>
  </si>
  <si>
    <t>Схема 5</t>
  </si>
  <si>
    <t>бестарно</t>
  </si>
  <si>
    <t>мешок</t>
  </si>
  <si>
    <t>конт. мягк</t>
  </si>
  <si>
    <t>автоцист.</t>
  </si>
  <si>
    <t>тягача</t>
  </si>
  <si>
    <t>п/п-</t>
  </si>
  <si>
    <t>фургона</t>
  </si>
  <si>
    <t>цемен-</t>
  </si>
  <si>
    <t>борт.</t>
  </si>
  <si>
    <t>само-</t>
  </si>
  <si>
    <t>конт.</t>
  </si>
  <si>
    <t>товоза</t>
  </si>
  <si>
    <t>авт-ля</t>
  </si>
  <si>
    <t>свала</t>
  </si>
  <si>
    <t>откр. скл.</t>
  </si>
  <si>
    <t>Нет</t>
  </si>
  <si>
    <t>Кран</t>
  </si>
  <si>
    <t>Электро-</t>
  </si>
  <si>
    <t>Авто-</t>
  </si>
  <si>
    <t>Автомоб.</t>
  </si>
  <si>
    <t>ПРМ</t>
  </si>
  <si>
    <t>козловой</t>
  </si>
  <si>
    <t>погрузчик</t>
  </si>
  <si>
    <t>погруз-</t>
  </si>
  <si>
    <t>кран</t>
  </si>
  <si>
    <t>чик</t>
  </si>
  <si>
    <t>КК-30,5</t>
  </si>
  <si>
    <t>ЭП-205</t>
  </si>
  <si>
    <t>КС-4571</t>
  </si>
  <si>
    <t>Тип</t>
  </si>
  <si>
    <t>тары</t>
  </si>
  <si>
    <t>мешка</t>
  </si>
  <si>
    <t>контейнера</t>
  </si>
  <si>
    <t>полиэтиленовый</t>
  </si>
  <si>
    <t>Ковшовые погрузчики</t>
  </si>
  <si>
    <t>Стреловые краны</t>
  </si>
  <si>
    <t>Колесные погрузчики</t>
  </si>
  <si>
    <t>Козловые и мостовые краны</t>
  </si>
  <si>
    <t>и экскаваторы</t>
  </si>
  <si>
    <r>
      <t>L</t>
    </r>
    <r>
      <rPr>
        <vertAlign val="subscript"/>
        <sz val="10"/>
        <rFont val="Arial Cyr"/>
        <charset val="204"/>
      </rPr>
      <t>1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</si>
  <si>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 Cyr"/>
        <charset val="204"/>
      </rPr>
      <t>2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</si>
  <si>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 Cyr"/>
        <charset val="204"/>
      </rPr>
      <t>3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</si>
  <si>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 Cyr"/>
        <charset val="204"/>
      </rPr>
      <t>4</t>
    </r>
    <r>
      <rPr>
        <sz val="10"/>
        <rFont val="Arial Cyr"/>
        <charset val="204"/>
      </rPr>
      <t>,</t>
    </r>
  </si>
  <si>
    <r>
      <t>h</t>
    </r>
    <r>
      <rPr>
        <vertAlign val="subscript"/>
        <sz val="10"/>
        <rFont val="Arial Cyr"/>
        <charset val="204"/>
      </rPr>
      <t>п</t>
    </r>
    <r>
      <rPr>
        <sz val="10"/>
        <rFont val="Arial Cyr"/>
        <charset val="204"/>
      </rPr>
      <t>,</t>
    </r>
  </si>
  <si>
    <r>
      <t>b</t>
    </r>
    <r>
      <rPr>
        <sz val="10"/>
        <rFont val="Arial"/>
        <family val="2"/>
        <charset val="204"/>
      </rPr>
      <t>,</t>
    </r>
  </si>
  <si>
    <r>
      <t>h</t>
    </r>
    <r>
      <rPr>
        <vertAlign val="subscript"/>
        <sz val="10"/>
        <rFont val="Arial Cyr"/>
        <charset val="204"/>
      </rPr>
      <t>оп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</si>
  <si>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"/>
        <family val="2"/>
        <charset val="204"/>
      </rPr>
      <t>ср</t>
    </r>
    <r>
      <rPr>
        <sz val="10"/>
        <rFont val="Arial"/>
        <family val="2"/>
        <charset val="204"/>
      </rPr>
      <t>,</t>
    </r>
  </si>
  <si>
    <r>
      <t>L</t>
    </r>
    <r>
      <rPr>
        <vertAlign val="subscript"/>
        <sz val="10"/>
        <rFont val="Arial"/>
        <family val="2"/>
        <charset val="204"/>
      </rPr>
      <t>т</t>
    </r>
    <r>
      <rPr>
        <sz val="10"/>
        <rFont val="Arial"/>
        <family val="2"/>
        <charset val="204"/>
      </rPr>
      <t>,</t>
    </r>
  </si>
  <si>
    <r>
      <t>L</t>
    </r>
    <r>
      <rPr>
        <vertAlign val="subscript"/>
        <sz val="10"/>
        <rFont val="Arial"/>
        <family val="2"/>
        <charset val="204"/>
      </rPr>
      <t>кр</t>
    </r>
    <r>
      <rPr>
        <sz val="10"/>
        <rFont val="Arial"/>
        <family val="2"/>
        <charset val="204"/>
      </rPr>
      <t>,</t>
    </r>
  </si>
  <si>
    <t>м</t>
  </si>
  <si>
    <t>град</t>
  </si>
  <si>
    <t>расчет</t>
  </si>
  <si>
    <r>
      <t>L</t>
    </r>
    <r>
      <rPr>
        <vertAlign val="subscript"/>
        <sz val="10"/>
        <rFont val="Arial Cyr"/>
        <charset val="204"/>
      </rPr>
      <t>2</t>
    </r>
    <r>
      <rPr>
        <sz val="10"/>
        <rFont val="Arial Cyr"/>
        <charset val="204"/>
      </rPr>
      <t>=L</t>
    </r>
    <r>
      <rPr>
        <vertAlign val="subscript"/>
        <sz val="10"/>
        <rFont val="Arial Cyr"/>
        <charset val="204"/>
      </rPr>
      <t>1</t>
    </r>
  </si>
  <si>
    <r>
      <t>L</t>
    </r>
    <r>
      <rPr>
        <vertAlign val="subscript"/>
        <sz val="10"/>
        <rFont val="Arial Cyr"/>
        <charset val="204"/>
      </rPr>
      <t>4</t>
    </r>
    <r>
      <rPr>
        <sz val="10"/>
        <rFont val="Arial Cyr"/>
        <charset val="204"/>
      </rPr>
      <t>=L</t>
    </r>
    <r>
      <rPr>
        <vertAlign val="subscript"/>
        <sz val="10"/>
        <rFont val="Arial Cyr"/>
        <charset val="204"/>
      </rPr>
      <t>3</t>
    </r>
  </si>
  <si>
    <r>
      <t>h</t>
    </r>
    <r>
      <rPr>
        <vertAlign val="subscript"/>
        <sz val="10"/>
        <rFont val="Arial Cyr"/>
        <charset val="204"/>
      </rPr>
      <t>п</t>
    </r>
    <r>
      <rPr>
        <sz val="10"/>
        <rFont val="Arial Cyr"/>
        <charset val="204"/>
      </rPr>
      <t>-1,2 м</t>
    </r>
  </si>
  <si>
    <r>
      <t>h</t>
    </r>
    <r>
      <rPr>
        <vertAlign val="subscript"/>
        <sz val="10"/>
        <rFont val="Arial Cyr"/>
        <charset val="204"/>
      </rPr>
      <t>п</t>
    </r>
    <r>
      <rPr>
        <sz val="10"/>
        <rFont val="Arial Cyr"/>
        <charset val="204"/>
      </rPr>
      <t>-1,5 м</t>
    </r>
  </si>
  <si>
    <t>КМК</t>
  </si>
  <si>
    <t>КолП</t>
  </si>
  <si>
    <t>СКЭ</t>
  </si>
  <si>
    <t>Потребительская тара</t>
  </si>
  <si>
    <t>Транспортная тара</t>
  </si>
  <si>
    <t>Укрупненная грузовая единица</t>
  </si>
  <si>
    <t>масса изде­ лия, кг</t>
  </si>
  <si>
    <t>материал упаковки</t>
  </si>
  <si>
    <t>оборудова­ние для фа­ совки и упаковы­  вания</t>
  </si>
  <si>
    <t>вид</t>
  </si>
  <si>
    <t>количество потребительских упа-ковок в транспортной таре</t>
  </si>
  <si>
    <t>всего</t>
  </si>
  <si>
    <t>способ укладки упаковок</t>
  </si>
  <si>
    <t>Номер ООН груза</t>
  </si>
  <si>
    <t>Класс опасности груза</t>
  </si>
  <si>
    <r>
      <t xml:space="preserve">Плотность груза </t>
    </r>
    <r>
      <rPr>
        <sz val="10"/>
        <rFont val="Symbol"/>
        <family val="1"/>
        <charset val="2"/>
      </rPr>
      <t>r</t>
    </r>
    <r>
      <rPr>
        <sz val="10"/>
        <rFont val="Times New Roman"/>
        <family val="1"/>
        <charset val="204"/>
      </rPr>
      <t>, т/м3</t>
    </r>
  </si>
  <si>
    <t>Степень заполнения</t>
  </si>
  <si>
    <t>Молекулярная масса груза M, кг/кмоль</t>
  </si>
  <si>
    <r>
      <t>Цена за     1 т  Ц</t>
    </r>
    <r>
      <rPr>
        <vertAlign val="subscript"/>
        <sz val="10"/>
        <rFont val="Times New Roman"/>
        <family val="1"/>
        <charset val="204"/>
      </rPr>
      <t>гр</t>
    </r>
    <r>
      <rPr>
        <sz val="10"/>
        <rFont val="Times New Roman"/>
        <family val="1"/>
        <charset val="204"/>
      </rPr>
      <t>, р.</t>
    </r>
  </si>
  <si>
    <r>
      <t>Давление насыщенных паров p</t>
    </r>
    <r>
      <rPr>
        <vertAlign val="subscript"/>
        <sz val="10"/>
        <rFont val="Times New Roman"/>
        <family val="1"/>
        <charset val="204"/>
      </rPr>
      <t>38</t>
    </r>
    <r>
      <rPr>
        <sz val="10"/>
        <rFont val="Times New Roman"/>
        <family val="1"/>
        <charset val="204"/>
      </rPr>
      <t>, Па</t>
    </r>
  </si>
  <si>
    <t>количество</t>
  </si>
  <si>
    <t>способ укрупнения грузовых единиц</t>
  </si>
  <si>
    <t>по длине</t>
  </si>
  <si>
    <t>по ширине</t>
  </si>
  <si>
    <t>по высоте</t>
  </si>
  <si>
    <r>
      <t>Объемная масса, т/м</t>
    </r>
    <r>
      <rPr>
        <vertAlign val="superscript"/>
        <sz val="10"/>
        <rFont val="Arial"/>
        <family val="2"/>
        <charset val="204"/>
      </rPr>
      <t>3</t>
    </r>
  </si>
  <si>
    <t>Угол естественного откоса, °</t>
  </si>
  <si>
    <t>Со,р./т</t>
  </si>
  <si>
    <t>n</t>
  </si>
  <si>
    <t>tсл</t>
  </si>
  <si>
    <t>tн</t>
  </si>
  <si>
    <t>B</t>
  </si>
  <si>
    <t>Vmax</t>
  </si>
  <si>
    <t>V0</t>
  </si>
  <si>
    <t>p</t>
  </si>
  <si>
    <t>л</t>
  </si>
  <si>
    <t>%</t>
  </si>
  <si>
    <t>кг/м^3</t>
  </si>
  <si>
    <t>Tтр</t>
  </si>
  <si>
    <t>Tг</t>
  </si>
  <si>
    <t>Vтр</t>
  </si>
  <si>
    <t>Wэн</t>
  </si>
  <si>
    <t>Wэсл</t>
  </si>
  <si>
    <t>Tпр</t>
  </si>
  <si>
    <t>кг</t>
  </si>
  <si>
    <t>кг/л</t>
  </si>
  <si>
    <t>кг/ч</t>
  </si>
  <si>
    <t>q</t>
  </si>
  <si>
    <t>Z</t>
  </si>
  <si>
    <t>Pт</t>
  </si>
  <si>
    <t>Pсж</t>
  </si>
  <si>
    <t>Н</t>
  </si>
  <si>
    <t>h</t>
  </si>
  <si>
    <t>Kз</t>
  </si>
  <si>
    <t>m ящ</t>
  </si>
  <si>
    <t>g</t>
  </si>
  <si>
    <t>H шт</t>
  </si>
  <si>
    <t>a</t>
  </si>
  <si>
    <t>b</t>
  </si>
  <si>
    <t>c</t>
  </si>
  <si>
    <t>A</t>
  </si>
  <si>
    <t>C</t>
  </si>
  <si>
    <t>N1</t>
  </si>
  <si>
    <t>N2</t>
  </si>
  <si>
    <t>N ящ</t>
  </si>
  <si>
    <t>m изд</t>
  </si>
  <si>
    <t>k изд</t>
  </si>
  <si>
    <t>m' ящ</t>
  </si>
  <si>
    <t>M под</t>
  </si>
  <si>
    <t>т</t>
  </si>
  <si>
    <t>К</t>
  </si>
  <si>
    <t>ч</t>
  </si>
  <si>
    <t>G под</t>
  </si>
  <si>
    <t>G' под</t>
  </si>
  <si>
    <t>L</t>
  </si>
  <si>
    <t>W</t>
  </si>
  <si>
    <t>d min</t>
  </si>
  <si>
    <t>N ящ вмес</t>
  </si>
  <si>
    <t>N под вмес</t>
  </si>
  <si>
    <t>N ящ груз</t>
  </si>
  <si>
    <t>N под груз</t>
  </si>
  <si>
    <t>Q ам ящ</t>
  </si>
  <si>
    <t>Q ам под</t>
  </si>
  <si>
    <t>M груз</t>
  </si>
  <si>
    <t>M ящ груз</t>
  </si>
  <si>
    <t>M' ящ груз</t>
  </si>
  <si>
    <t>M под груз</t>
  </si>
  <si>
    <t>M' под груз</t>
  </si>
  <si>
    <t>S</t>
  </si>
  <si>
    <t>V раб кузова</t>
  </si>
  <si>
    <t>N меш вмес</t>
  </si>
  <si>
    <t>м^3</t>
  </si>
  <si>
    <t>м^2</t>
  </si>
  <si>
    <t>m меш</t>
  </si>
  <si>
    <t>m' меш</t>
  </si>
  <si>
    <t>m V</t>
  </si>
  <si>
    <t>V</t>
  </si>
  <si>
    <t>N меш груз</t>
  </si>
  <si>
    <t>Q ам меш</t>
  </si>
  <si>
    <t>M меш груз</t>
  </si>
  <si>
    <t>M' меш груз</t>
  </si>
  <si>
    <t>N конт вмес</t>
  </si>
  <si>
    <t>m конт</t>
  </si>
  <si>
    <t>N конт груз</t>
  </si>
  <si>
    <t>Q ам конт</t>
  </si>
  <si>
    <t>M конт груз</t>
  </si>
  <si>
    <t>M' конт груз</t>
  </si>
  <si>
    <t>m' конт</t>
  </si>
  <si>
    <t>m груз</t>
  </si>
  <si>
    <t>t1</t>
  </si>
  <si>
    <t>h p</t>
  </si>
  <si>
    <t>v p</t>
  </si>
  <si>
    <t>t раз</t>
  </si>
  <si>
    <t>t зам</t>
  </si>
  <si>
    <t>t2</t>
  </si>
  <si>
    <t>t3</t>
  </si>
  <si>
    <t>L пер</t>
  </si>
  <si>
    <t>V гр</t>
  </si>
  <si>
    <t>t4</t>
  </si>
  <si>
    <t>t5</t>
  </si>
  <si>
    <t>h оп</t>
  </si>
  <si>
    <t>v оп</t>
  </si>
  <si>
    <t>t6</t>
  </si>
  <si>
    <t>t7</t>
  </si>
  <si>
    <t>t8</t>
  </si>
  <si>
    <t>t9</t>
  </si>
  <si>
    <t>v без</t>
  </si>
  <si>
    <t>t10</t>
  </si>
  <si>
    <t>t11</t>
  </si>
  <si>
    <t>t12</t>
  </si>
  <si>
    <t>t ц</t>
  </si>
  <si>
    <t>W т</t>
  </si>
  <si>
    <t>Wэ</t>
  </si>
  <si>
    <t>t п (р)</t>
  </si>
  <si>
    <t>t пр</t>
  </si>
  <si>
    <t>f</t>
  </si>
  <si>
    <t>h п</t>
  </si>
  <si>
    <t>v п</t>
  </si>
  <si>
    <t>n об</t>
  </si>
  <si>
    <t>АЦ-10</t>
  </si>
  <si>
    <t xml:space="preserve">Урал-4320-1912-40 </t>
  </si>
  <si>
    <t>ЗСА-3770-0000011-20  ЛФ/ЦМ</t>
  </si>
  <si>
    <t>ГАЗ-3307</t>
  </si>
  <si>
    <t>ГАЗ-53А</t>
  </si>
  <si>
    <t>Tм</t>
  </si>
  <si>
    <t>Vт</t>
  </si>
  <si>
    <t>Lге</t>
  </si>
  <si>
    <t>tпр</t>
  </si>
  <si>
    <t>nе</t>
  </si>
  <si>
    <t>qф</t>
  </si>
  <si>
    <t>Wq</t>
  </si>
  <si>
    <t>Wp</t>
  </si>
  <si>
    <t>Т</t>
  </si>
  <si>
    <t>т-км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</si>
</sst>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0"/>
      <name val="Arial Cyr"/>
      <charset val="204"/>
    </font>
    <font>
      <sz val="9"/>
      <name val="Arial Cyr"/>
      <charset val="204"/>
    </font>
    <font>
      <vertAlign val="subscript"/>
      <sz val="10"/>
      <name val="Arial Cyr"/>
      <charset val="204"/>
    </font>
    <font>
      <sz val="8"/>
      <name val="Arial Cyr"/>
      <charset val="204"/>
    </font>
    <font>
      <sz val="10"/>
      <name val="Symbol"/>
      <family val="1"/>
      <charset val="2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vertAlign val="superscript"/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indexed="8"/>
      <name val="Arial Cyr"/>
      <charset val="204"/>
    </font>
    <font>
      <sz val="8"/>
      <color indexed="8"/>
      <name val="Arial"/>
      <family val="2"/>
      <charset val="204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7">
    <xf numFmtId="0" fontId="0" fillId="0" borderId="0" xfId="0"/>
    <xf numFmtId="0" fontId="2" fillId="0" borderId="0" xfId="2"/>
    <xf numFmtId="0" fontId="2" fillId="0" borderId="1" xfId="2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3" fillId="0" borderId="0" xfId="2" applyFont="1"/>
    <xf numFmtId="0" fontId="3" fillId="0" borderId="7" xfId="2" applyFont="1" applyBorder="1"/>
    <xf numFmtId="0" fontId="0" fillId="0" borderId="7" xfId="0" applyBorder="1"/>
    <xf numFmtId="0" fontId="0" fillId="0" borderId="1" xfId="0" applyBorder="1"/>
    <xf numFmtId="0" fontId="9" fillId="0" borderId="7" xfId="2" applyFont="1" applyBorder="1"/>
    <xf numFmtId="0" fontId="9" fillId="0" borderId="7" xfId="2" applyFont="1" applyBorder="1" applyAlignment="1">
      <alignment vertical="top" wrapText="1"/>
    </xf>
    <xf numFmtId="0" fontId="11" fillId="0" borderId="9" xfId="2" applyFont="1" applyBorder="1" applyAlignment="1">
      <alignment horizontal="center"/>
    </xf>
    <xf numFmtId="0" fontId="11" fillId="0" borderId="14" xfId="2" applyFont="1" applyBorder="1"/>
    <xf numFmtId="0" fontId="11" fillId="0" borderId="11" xfId="2" applyFont="1" applyBorder="1"/>
    <xf numFmtId="0" fontId="11" fillId="0" borderId="1" xfId="2" applyFont="1" applyBorder="1" applyAlignment="1">
      <alignment vertical="top"/>
    </xf>
    <xf numFmtId="0" fontId="11" fillId="0" borderId="5" xfId="2" applyFont="1" applyBorder="1" applyAlignment="1">
      <alignment vertical="top"/>
    </xf>
    <xf numFmtId="0" fontId="11" fillId="0" borderId="6" xfId="2" applyFont="1" applyBorder="1" applyAlignment="1">
      <alignment vertical="top"/>
    </xf>
    <xf numFmtId="0" fontId="12" fillId="0" borderId="1" xfId="2" applyFont="1" applyBorder="1" applyAlignment="1">
      <alignment vertical="top" wrapText="1"/>
    </xf>
    <xf numFmtId="0" fontId="12" fillId="0" borderId="5" xfId="2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0" fontId="11" fillId="0" borderId="5" xfId="2" applyFont="1" applyBorder="1" applyAlignment="1">
      <alignment vertical="top" wrapText="1"/>
    </xf>
    <xf numFmtId="0" fontId="11" fillId="0" borderId="6" xfId="2" applyFont="1" applyBorder="1" applyAlignment="1">
      <alignment vertical="top" wrapText="1"/>
    </xf>
    <xf numFmtId="0" fontId="11" fillId="0" borderId="1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0" fontId="11" fillId="0" borderId="5" xfId="2" applyFont="1" applyBorder="1"/>
    <xf numFmtId="0" fontId="11" fillId="0" borderId="6" xfId="2" applyFont="1" applyBorder="1"/>
    <xf numFmtId="0" fontId="7" fillId="0" borderId="7" xfId="2" applyFont="1" applyBorder="1" applyAlignment="1">
      <alignment vertical="top"/>
    </xf>
    <xf numFmtId="0" fontId="7" fillId="0" borderId="7" xfId="2" applyFont="1" applyBorder="1" applyAlignment="1">
      <alignment wrapText="1"/>
    </xf>
    <xf numFmtId="0" fontId="1" fillId="0" borderId="13" xfId="1" applyBorder="1"/>
    <xf numFmtId="2" fontId="2" fillId="0" borderId="7" xfId="2" applyNumberFormat="1" applyBorder="1"/>
    <xf numFmtId="0" fontId="3" fillId="0" borderId="1" xfId="2" applyFont="1" applyBorder="1"/>
    <xf numFmtId="0" fontId="3" fillId="0" borderId="7" xfId="2" applyFont="1" applyBorder="1" applyAlignment="1">
      <alignment horizontal="center"/>
    </xf>
    <xf numFmtId="0" fontId="3" fillId="0" borderId="5" xfId="2" applyFont="1" applyBorder="1"/>
    <xf numFmtId="0" fontId="5" fillId="0" borderId="1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6" xfId="2" applyFont="1" applyBorder="1"/>
    <xf numFmtId="0" fontId="5" fillId="0" borderId="6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2" fillId="0" borderId="5" xfId="2" applyBorder="1" applyAlignment="1">
      <alignment horizontal="center"/>
    </xf>
    <xf numFmtId="0" fontId="2" fillId="0" borderId="7" xfId="2" applyBorder="1" applyAlignment="1">
      <alignment horizontal="center"/>
    </xf>
    <xf numFmtId="0" fontId="3" fillId="0" borderId="2" xfId="2" applyFont="1" applyBorder="1"/>
    <xf numFmtId="0" fontId="11" fillId="0" borderId="7" xfId="2" applyFont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3" fillId="0" borderId="7" xfId="2" applyFont="1" applyBorder="1" applyAlignment="1">
      <alignment wrapText="1"/>
    </xf>
    <xf numFmtId="49" fontId="9" fillId="0" borderId="7" xfId="2" applyNumberFormat="1" applyFont="1" applyBorder="1" applyAlignment="1">
      <alignment vertical="top" wrapText="1"/>
    </xf>
    <xf numFmtId="0" fontId="2" fillId="0" borderId="7" xfId="2" applyBorder="1" applyAlignment="1">
      <alignment vertical="top" wrapText="1"/>
    </xf>
    <xf numFmtId="0" fontId="9" fillId="0" borderId="7" xfId="2" applyFont="1" applyBorder="1" applyAlignment="1">
      <alignment vertical="top" wrapText="1"/>
    </xf>
    <xf numFmtId="0" fontId="2" fillId="0" borderId="7" xfId="2" applyBorder="1"/>
    <xf numFmtId="0" fontId="12" fillId="0" borderId="7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2" fillId="0" borderId="3" xfId="2" applyBorder="1" applyAlignment="1">
      <alignment horizontal="center"/>
    </xf>
    <xf numFmtId="0" fontId="2" fillId="0" borderId="3" xfId="2" applyBorder="1"/>
    <xf numFmtId="0" fontId="2" fillId="0" borderId="4" xfId="2" applyBorder="1"/>
    <xf numFmtId="0" fontId="3" fillId="0" borderId="3" xfId="2" applyFont="1" applyBorder="1" applyAlignment="1">
      <alignment horizontal="center"/>
    </xf>
    <xf numFmtId="0" fontId="3" fillId="0" borderId="8" xfId="2" applyFont="1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6" fillId="0" borderId="7" xfId="2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9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20" fillId="0" borderId="7" xfId="0" applyFont="1" applyBorder="1" applyAlignment="1" applyProtection="1">
      <alignment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>
      <alignment horizontal="justify" vertical="top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Обычный" xfId="0" builtinId="0"/>
    <cellStyle name="Обычный 2" xfId="2" xr:uid="{6CFAB888-9F4D-4EE8-A53E-B08F2FF8CA8F}"/>
    <cellStyle name="Обычный 3" xfId="1" xr:uid="{29EFAE5A-39F6-40D0-837C-C5592D2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304800</xdr:colOff>
          <xdr:row>28</xdr:row>
          <xdr:rowOff>0</xdr:rowOff>
        </xdr:from>
        <xdr:to>
          <xdr:col>1</xdr:col>
          <xdr:colOff>466725</xdr:colOff>
          <xdr:row>28</xdr:row>
          <xdr:rowOff>228600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619125</xdr:colOff>
          <xdr:row>28</xdr:row>
          <xdr:rowOff>0</xdr:rowOff>
        </xdr:from>
        <xdr:to>
          <xdr:col>2</xdr:col>
          <xdr:colOff>838200</xdr:colOff>
          <xdr:row>28</xdr:row>
          <xdr:rowOff>238125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28</xdr:row>
          <xdr:rowOff>0</xdr:rowOff>
        </xdr:from>
        <xdr:to>
          <xdr:col>3</xdr:col>
          <xdr:colOff>828675</xdr:colOff>
          <xdr:row>28</xdr:row>
          <xdr:rowOff>228600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28</xdr:row>
          <xdr:rowOff>0</xdr:rowOff>
        </xdr:from>
        <xdr:to>
          <xdr:col>4</xdr:col>
          <xdr:colOff>571500</xdr:colOff>
          <xdr:row>29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28</xdr:row>
          <xdr:rowOff>0</xdr:rowOff>
        </xdr:from>
        <xdr:to>
          <xdr:col>5</xdr:col>
          <xdr:colOff>666750</xdr:colOff>
          <xdr:row>29</xdr:row>
          <xdr:rowOff>57150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390525</xdr:colOff>
          <xdr:row>28</xdr:row>
          <xdr:rowOff>9525</xdr:rowOff>
        </xdr:from>
        <xdr:to>
          <xdr:col>6</xdr:col>
          <xdr:colOff>695325</xdr:colOff>
          <xdr:row>29</xdr:row>
          <xdr:rowOff>66675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457200</xdr:colOff>
          <xdr:row>28</xdr:row>
          <xdr:rowOff>19050</xdr:rowOff>
        </xdr:from>
        <xdr:to>
          <xdr:col>7</xdr:col>
          <xdr:colOff>685800</xdr:colOff>
          <xdr:row>29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C3B5-796E-40A3-B882-743CC2E12A80}">
  <dimension ref="A1:O70"/>
  <sheetViews>
    <sheetView zoomScale="80" zoomScaleNormal="80" workbookViewId="0">
      <selection activeCell="I6" sqref="I6"/>
    </sheetView>
  </sheetViews>
  <sheetFormatPr defaultColWidth="15.7109375" defaultRowHeight="39.950000000000003" customHeight="1" x14ac:dyDescent="0.25"/>
  <sheetData>
    <row r="1" spans="1:14" ht="39.950000000000003" customHeight="1" x14ac:dyDescent="0.25">
      <c r="A1" s="2" t="s">
        <v>0</v>
      </c>
      <c r="B1" s="89" t="s">
        <v>1</v>
      </c>
      <c r="C1" s="74"/>
      <c r="D1" s="74"/>
      <c r="E1" s="90"/>
      <c r="F1" s="89" t="s">
        <v>2</v>
      </c>
      <c r="G1" s="74"/>
      <c r="H1" s="74"/>
      <c r="I1" s="90"/>
      <c r="J1" s="89" t="s">
        <v>3</v>
      </c>
      <c r="K1" s="74"/>
      <c r="L1" s="74"/>
      <c r="M1" s="90"/>
    </row>
    <row r="2" spans="1:14" ht="39.950000000000003" customHeight="1" x14ac:dyDescent="0.25">
      <c r="A2" s="3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5</v>
      </c>
      <c r="K2" s="2" t="s">
        <v>6</v>
      </c>
      <c r="L2" s="2" t="s">
        <v>7</v>
      </c>
      <c r="M2" s="2" t="s">
        <v>8</v>
      </c>
    </row>
    <row r="3" spans="1:14" ht="39.950000000000003" customHeight="1" x14ac:dyDescent="0.25">
      <c r="A3" s="3"/>
      <c r="B3" s="3" t="s">
        <v>9</v>
      </c>
      <c r="C3" s="3" t="s">
        <v>10</v>
      </c>
      <c r="D3" s="3" t="s">
        <v>11</v>
      </c>
      <c r="E3" s="1" t="s">
        <v>12</v>
      </c>
      <c r="F3" s="3" t="s">
        <v>9</v>
      </c>
      <c r="G3" s="3" t="s">
        <v>10</v>
      </c>
      <c r="H3" s="3" t="s">
        <v>11</v>
      </c>
      <c r="I3" s="1" t="s">
        <v>12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4" ht="39.950000000000003" customHeight="1" x14ac:dyDescent="0.25">
      <c r="A4" s="3"/>
      <c r="B4" s="3"/>
      <c r="C4" s="3"/>
      <c r="D4" s="3" t="s">
        <v>13</v>
      </c>
      <c r="E4" s="3" t="s">
        <v>14</v>
      </c>
      <c r="F4" s="3"/>
      <c r="G4" s="3"/>
      <c r="H4" s="3" t="s">
        <v>13</v>
      </c>
      <c r="I4" s="3" t="s">
        <v>14</v>
      </c>
      <c r="J4" s="3"/>
      <c r="K4" s="3"/>
      <c r="L4" s="3" t="s">
        <v>13</v>
      </c>
      <c r="M4" s="3" t="s">
        <v>14</v>
      </c>
    </row>
    <row r="5" spans="1:14" ht="39.950000000000003" customHeight="1" x14ac:dyDescent="0.25">
      <c r="A5" s="4"/>
      <c r="B5" s="4"/>
      <c r="C5" s="4"/>
      <c r="D5" s="4"/>
      <c r="E5" s="3" t="s">
        <v>15</v>
      </c>
      <c r="F5" s="4"/>
      <c r="G5" s="4"/>
      <c r="H5" s="4"/>
      <c r="I5" s="3" t="s">
        <v>15</v>
      </c>
      <c r="J5" s="4"/>
      <c r="K5" s="4"/>
      <c r="L5" s="4"/>
      <c r="M5" s="3" t="s">
        <v>15</v>
      </c>
    </row>
    <row r="6" spans="1:14" ht="39.950000000000003" customHeight="1" x14ac:dyDescent="0.25">
      <c r="A6" s="5">
        <v>13</v>
      </c>
      <c r="B6" s="5">
        <v>18</v>
      </c>
      <c r="C6" s="5">
        <v>1</v>
      </c>
      <c r="D6" s="5">
        <v>26000</v>
      </c>
      <c r="E6" s="5">
        <v>114</v>
      </c>
      <c r="F6" s="5">
        <v>3</v>
      </c>
      <c r="G6" s="5">
        <v>2</v>
      </c>
      <c r="H6" s="5">
        <v>72000</v>
      </c>
      <c r="I6" s="5">
        <v>24</v>
      </c>
      <c r="J6" s="5">
        <v>1</v>
      </c>
      <c r="K6" s="5">
        <v>4</v>
      </c>
      <c r="L6" s="5">
        <v>51000</v>
      </c>
      <c r="M6" s="5">
        <v>86</v>
      </c>
    </row>
    <row r="8" spans="1:14" ht="39.950000000000003" customHeight="1" x14ac:dyDescent="0.25">
      <c r="A8" s="7"/>
      <c r="B8" s="51" t="s">
        <v>1</v>
      </c>
      <c r="C8" s="57" t="s">
        <v>116</v>
      </c>
      <c r="D8" s="55" t="s">
        <v>117</v>
      </c>
      <c r="E8" s="57" t="s">
        <v>118</v>
      </c>
      <c r="F8" s="57" t="s">
        <v>119</v>
      </c>
      <c r="G8" s="57" t="s">
        <v>120</v>
      </c>
      <c r="H8" s="92" t="s">
        <v>121</v>
      </c>
      <c r="I8" s="91" t="s">
        <v>122</v>
      </c>
    </row>
    <row r="9" spans="1:14" ht="39.950000000000003" customHeight="1" x14ac:dyDescent="0.25">
      <c r="A9" s="7"/>
      <c r="B9" s="51" t="s">
        <v>16</v>
      </c>
      <c r="C9" s="58"/>
      <c r="D9" s="56"/>
      <c r="E9" s="56"/>
      <c r="F9" s="56"/>
      <c r="G9" s="56"/>
      <c r="H9" s="92"/>
      <c r="I9" s="91"/>
    </row>
    <row r="10" spans="1:14" ht="39.950000000000003" customHeight="1" x14ac:dyDescent="0.25">
      <c r="A10" s="7">
        <v>1</v>
      </c>
      <c r="B10" s="7" t="s">
        <v>17</v>
      </c>
      <c r="C10" s="6"/>
    </row>
    <row r="11" spans="1:14" ht="39.950000000000003" customHeight="1" x14ac:dyDescent="0.25">
      <c r="A11" s="9"/>
      <c r="B11" s="9" t="s">
        <v>19</v>
      </c>
    </row>
    <row r="12" spans="1:14" ht="39.950000000000003" customHeight="1" x14ac:dyDescent="0.25">
      <c r="A12" s="10">
        <v>18</v>
      </c>
      <c r="B12" s="10" t="s">
        <v>18</v>
      </c>
      <c r="C12" s="11">
        <v>1265</v>
      </c>
      <c r="D12" s="11">
        <v>3.1</v>
      </c>
      <c r="E12" s="11">
        <v>0.62619999999999998</v>
      </c>
      <c r="F12" s="11">
        <v>2</v>
      </c>
      <c r="G12" s="11">
        <v>72</v>
      </c>
      <c r="H12" s="10">
        <v>16060</v>
      </c>
      <c r="I12" s="10">
        <v>73315</v>
      </c>
    </row>
    <row r="14" spans="1:14" ht="39.950000000000003" customHeight="1" x14ac:dyDescent="0.25">
      <c r="A14" s="7"/>
      <c r="B14" s="51" t="s">
        <v>2</v>
      </c>
      <c r="C14" s="59" t="s">
        <v>106</v>
      </c>
      <c r="D14" s="60"/>
      <c r="E14" s="60"/>
      <c r="F14" s="59" t="s">
        <v>107</v>
      </c>
      <c r="G14" s="62"/>
      <c r="H14" s="62"/>
      <c r="I14" s="62"/>
      <c r="J14" s="62"/>
      <c r="K14" s="62"/>
      <c r="L14" s="59" t="s">
        <v>108</v>
      </c>
      <c r="M14" s="62"/>
      <c r="N14" s="62"/>
    </row>
    <row r="15" spans="1:14" ht="39.950000000000003" customHeight="1" x14ac:dyDescent="0.25">
      <c r="A15" s="7"/>
      <c r="B15" s="51" t="s">
        <v>16</v>
      </c>
      <c r="C15" s="59" t="s">
        <v>109</v>
      </c>
      <c r="D15" s="59" t="s">
        <v>110</v>
      </c>
      <c r="E15" s="59" t="s">
        <v>111</v>
      </c>
      <c r="F15" s="61" t="s">
        <v>112</v>
      </c>
      <c r="G15" s="59" t="s">
        <v>113</v>
      </c>
      <c r="H15" s="62"/>
      <c r="I15" s="62"/>
      <c r="J15" s="62"/>
      <c r="K15" s="62"/>
      <c r="L15" s="61" t="s">
        <v>112</v>
      </c>
      <c r="M15" s="63" t="s">
        <v>123</v>
      </c>
      <c r="N15" s="63" t="s">
        <v>124</v>
      </c>
    </row>
    <row r="16" spans="1:14" ht="39.950000000000003" customHeight="1" x14ac:dyDescent="0.25">
      <c r="A16" s="7">
        <v>2</v>
      </c>
      <c r="B16" s="51" t="s">
        <v>20</v>
      </c>
      <c r="C16" s="60"/>
      <c r="D16" s="60"/>
      <c r="E16" s="60"/>
      <c r="F16" s="62"/>
      <c r="G16" s="52" t="s">
        <v>114</v>
      </c>
      <c r="H16" s="52" t="s">
        <v>125</v>
      </c>
      <c r="I16" s="52" t="s">
        <v>126</v>
      </c>
      <c r="J16" s="52" t="s">
        <v>127</v>
      </c>
      <c r="K16" s="52" t="s">
        <v>115</v>
      </c>
      <c r="L16" s="62"/>
      <c r="M16" s="62"/>
      <c r="N16" s="62"/>
    </row>
    <row r="17" spans="1:14" ht="39.950000000000003" customHeight="1" x14ac:dyDescent="0.25">
      <c r="A17" s="9"/>
      <c r="B17" s="9" t="s">
        <v>19</v>
      </c>
    </row>
    <row r="18" spans="1:14" ht="39.950000000000003" customHeight="1" x14ac:dyDescent="0.25">
      <c r="A18" s="15">
        <v>3</v>
      </c>
      <c r="B18" s="18" t="s">
        <v>21</v>
      </c>
      <c r="C18" s="18">
        <v>0.5</v>
      </c>
      <c r="D18" s="18" t="s">
        <v>22</v>
      </c>
      <c r="E18" s="15" t="s">
        <v>23</v>
      </c>
      <c r="F18" s="18" t="s">
        <v>24</v>
      </c>
      <c r="G18" s="23">
        <v>40</v>
      </c>
      <c r="H18" s="26" t="s">
        <v>25</v>
      </c>
      <c r="I18" s="23"/>
      <c r="J18" s="23"/>
      <c r="K18" s="23" t="s">
        <v>26</v>
      </c>
      <c r="L18" s="27" t="s">
        <v>27</v>
      </c>
      <c r="M18" s="27">
        <v>4</v>
      </c>
      <c r="N18" s="12" t="s">
        <v>26</v>
      </c>
    </row>
    <row r="19" spans="1:14" ht="39.950000000000003" customHeight="1" x14ac:dyDescent="0.25">
      <c r="A19" s="16"/>
      <c r="B19" s="19" t="s">
        <v>28</v>
      </c>
      <c r="C19" s="21"/>
      <c r="D19" s="19" t="s">
        <v>29</v>
      </c>
      <c r="E19" s="19" t="s">
        <v>30</v>
      </c>
      <c r="F19" s="19" t="s">
        <v>31</v>
      </c>
      <c r="G19" s="24"/>
      <c r="H19" s="24"/>
      <c r="I19" s="24"/>
      <c r="J19" s="24"/>
      <c r="K19" s="24"/>
      <c r="L19" s="28" t="s">
        <v>32</v>
      </c>
      <c r="M19" s="28"/>
      <c r="N19" s="13"/>
    </row>
    <row r="20" spans="1:14" ht="39.950000000000003" customHeight="1" x14ac:dyDescent="0.25">
      <c r="A20" s="16"/>
      <c r="B20" s="19" t="s">
        <v>33</v>
      </c>
      <c r="C20" s="21"/>
      <c r="D20" s="21"/>
      <c r="E20" s="21"/>
      <c r="F20" s="19" t="s">
        <v>34</v>
      </c>
      <c r="G20" s="24"/>
      <c r="H20" s="24"/>
      <c r="I20" s="24"/>
      <c r="J20" s="24"/>
      <c r="K20" s="24"/>
      <c r="L20" s="28"/>
      <c r="M20" s="28"/>
      <c r="N20" s="13"/>
    </row>
    <row r="21" spans="1:14" ht="39.950000000000003" customHeight="1" x14ac:dyDescent="0.25">
      <c r="A21" s="17"/>
      <c r="B21" s="20" t="s">
        <v>35</v>
      </c>
      <c r="C21" s="22"/>
      <c r="D21" s="22"/>
      <c r="E21" s="22"/>
      <c r="F21" s="20" t="s">
        <v>36</v>
      </c>
      <c r="G21" s="25"/>
      <c r="H21" s="25"/>
      <c r="I21" s="25"/>
      <c r="J21" s="25"/>
      <c r="K21" s="25"/>
      <c r="L21" s="29"/>
      <c r="M21" s="29"/>
      <c r="N21" s="14"/>
    </row>
    <row r="23" spans="1:14" ht="39.950000000000003" customHeight="1" x14ac:dyDescent="0.25">
      <c r="A23" s="7"/>
      <c r="B23" s="7" t="s">
        <v>3</v>
      </c>
      <c r="C23" s="53" t="s">
        <v>128</v>
      </c>
      <c r="D23" s="53" t="s">
        <v>129</v>
      </c>
      <c r="E23" s="5" t="s">
        <v>130</v>
      </c>
    </row>
    <row r="24" spans="1:14" ht="39.950000000000003" customHeight="1" x14ac:dyDescent="0.25">
      <c r="A24" s="7"/>
      <c r="B24" s="7" t="s">
        <v>16</v>
      </c>
    </row>
    <row r="25" spans="1:14" ht="39.950000000000003" customHeight="1" x14ac:dyDescent="0.25">
      <c r="A25" s="7">
        <v>4</v>
      </c>
      <c r="B25" s="54" t="s">
        <v>37</v>
      </c>
      <c r="C25" s="6"/>
    </row>
    <row r="26" spans="1:14" ht="39.950000000000003" customHeight="1" x14ac:dyDescent="0.25">
      <c r="A26" s="8"/>
      <c r="B26" s="8" t="s">
        <v>19</v>
      </c>
    </row>
    <row r="27" spans="1:14" ht="39.950000000000003" customHeight="1" x14ac:dyDescent="0.25">
      <c r="A27" s="5">
        <v>1</v>
      </c>
      <c r="B27" s="31" t="s">
        <v>38</v>
      </c>
      <c r="C27" s="30">
        <v>0.99</v>
      </c>
      <c r="D27" s="30">
        <v>34</v>
      </c>
      <c r="E27" s="5">
        <v>24</v>
      </c>
    </row>
    <row r="29" spans="1:14" ht="39.950000000000003" customHeight="1" x14ac:dyDescent="0.25">
      <c r="A29" s="2" t="s">
        <v>0</v>
      </c>
      <c r="B29" s="2"/>
      <c r="C29" s="2"/>
      <c r="D29" s="2"/>
      <c r="E29" s="2"/>
      <c r="F29" s="2"/>
      <c r="G29" s="2"/>
      <c r="H29" s="2"/>
      <c r="I29" s="2" t="s">
        <v>5</v>
      </c>
      <c r="J29" s="2" t="s">
        <v>5</v>
      </c>
    </row>
    <row r="30" spans="1:14" ht="39.950000000000003" customHeight="1" x14ac:dyDescent="0.25">
      <c r="A30" s="4" t="s">
        <v>4</v>
      </c>
      <c r="B30" s="4"/>
      <c r="C30" s="4"/>
      <c r="D30" s="4"/>
      <c r="E30" s="32"/>
      <c r="F30" s="4"/>
      <c r="G30" s="4"/>
      <c r="H30" s="4"/>
      <c r="I30" s="4" t="s">
        <v>39</v>
      </c>
      <c r="J30" s="4" t="s">
        <v>40</v>
      </c>
    </row>
    <row r="31" spans="1:14" ht="39.950000000000003" customHeight="1" x14ac:dyDescent="0.25">
      <c r="A31" s="5">
        <v>13</v>
      </c>
      <c r="B31" s="5">
        <v>17</v>
      </c>
      <c r="C31" s="5">
        <v>43</v>
      </c>
      <c r="D31" s="33">
        <v>0.73</v>
      </c>
      <c r="E31" s="5">
        <v>2</v>
      </c>
      <c r="F31" s="5">
        <v>7</v>
      </c>
      <c r="G31" s="5">
        <v>14</v>
      </c>
      <c r="H31" s="5">
        <v>1.17</v>
      </c>
      <c r="I31" s="5"/>
      <c r="J31" s="5"/>
    </row>
    <row r="33" spans="1:10" ht="39.950000000000003" customHeight="1" x14ac:dyDescent="0.25">
      <c r="A33" s="34" t="s">
        <v>0</v>
      </c>
      <c r="B33" s="64" t="s">
        <v>1</v>
      </c>
      <c r="C33" s="74"/>
      <c r="D33" s="90"/>
      <c r="E33" s="35" t="s">
        <v>2</v>
      </c>
      <c r="F33" s="64" t="s">
        <v>3</v>
      </c>
      <c r="G33" s="75"/>
      <c r="H33" s="75"/>
      <c r="I33" s="75"/>
      <c r="J33" s="76"/>
    </row>
    <row r="34" spans="1:10" ht="39.950000000000003" customHeight="1" x14ac:dyDescent="0.25">
      <c r="A34" s="36" t="s">
        <v>4</v>
      </c>
      <c r="B34" s="81" t="s">
        <v>41</v>
      </c>
      <c r="C34" s="83" t="s">
        <v>42</v>
      </c>
      <c r="D34" s="84"/>
      <c r="E34" s="81" t="s">
        <v>43</v>
      </c>
      <c r="F34" s="87" t="s">
        <v>44</v>
      </c>
      <c r="G34" s="88"/>
      <c r="H34" s="87" t="s">
        <v>45</v>
      </c>
      <c r="I34" s="88"/>
      <c r="J34" s="37" t="s">
        <v>46</v>
      </c>
    </row>
    <row r="35" spans="1:10" ht="39.950000000000003" customHeight="1" x14ac:dyDescent="0.25">
      <c r="A35" s="36"/>
      <c r="B35" s="82"/>
      <c r="C35" s="85"/>
      <c r="D35" s="86"/>
      <c r="E35" s="82"/>
      <c r="F35" s="38" t="s">
        <v>47</v>
      </c>
      <c r="G35" s="38" t="s">
        <v>48</v>
      </c>
      <c r="H35" s="38" t="s">
        <v>48</v>
      </c>
      <c r="I35" s="38" t="s">
        <v>49</v>
      </c>
      <c r="J35" s="38" t="s">
        <v>43</v>
      </c>
    </row>
    <row r="36" spans="1:10" ht="39.950000000000003" customHeight="1" x14ac:dyDescent="0.25">
      <c r="A36" s="36"/>
      <c r="B36" s="37" t="s">
        <v>5</v>
      </c>
      <c r="C36" s="39" t="s">
        <v>5</v>
      </c>
      <c r="D36" s="40" t="s">
        <v>5</v>
      </c>
      <c r="E36" s="39" t="s">
        <v>5</v>
      </c>
      <c r="F36" s="39" t="s">
        <v>5</v>
      </c>
      <c r="G36" s="39" t="s">
        <v>5</v>
      </c>
      <c r="H36" s="39" t="s">
        <v>5</v>
      </c>
      <c r="I36" s="39" t="s">
        <v>5</v>
      </c>
      <c r="J36" s="39" t="s">
        <v>5</v>
      </c>
    </row>
    <row r="37" spans="1:10" ht="39.950000000000003" customHeight="1" x14ac:dyDescent="0.25">
      <c r="A37" s="36"/>
      <c r="B37" s="39" t="s">
        <v>50</v>
      </c>
      <c r="C37" s="39" t="s">
        <v>51</v>
      </c>
      <c r="D37" s="39" t="s">
        <v>52</v>
      </c>
      <c r="E37" s="39" t="s">
        <v>53</v>
      </c>
      <c r="F37" s="39" t="s">
        <v>54</v>
      </c>
      <c r="G37" s="39" t="s">
        <v>55</v>
      </c>
      <c r="H37" s="39" t="s">
        <v>55</v>
      </c>
      <c r="I37" s="39" t="s">
        <v>55</v>
      </c>
      <c r="J37" s="39" t="s">
        <v>56</v>
      </c>
    </row>
    <row r="38" spans="1:10" ht="39.950000000000003" customHeight="1" x14ac:dyDescent="0.25">
      <c r="A38" s="41"/>
      <c r="B38" s="39"/>
      <c r="C38" s="42"/>
      <c r="D38" s="39" t="s">
        <v>57</v>
      </c>
      <c r="E38" s="42"/>
      <c r="F38" s="42" t="s">
        <v>58</v>
      </c>
      <c r="G38" s="42" t="s">
        <v>59</v>
      </c>
      <c r="H38" s="42" t="s">
        <v>59</v>
      </c>
      <c r="I38" s="42" t="s">
        <v>59</v>
      </c>
      <c r="J38" s="42" t="s">
        <v>60</v>
      </c>
    </row>
    <row r="39" spans="1:10" ht="39.950000000000003" customHeight="1" x14ac:dyDescent="0.25">
      <c r="A39" s="7">
        <v>13</v>
      </c>
      <c r="B39" s="35">
        <v>5</v>
      </c>
      <c r="C39" s="35">
        <v>84</v>
      </c>
      <c r="D39" s="35">
        <v>118</v>
      </c>
      <c r="E39" s="35">
        <v>13</v>
      </c>
      <c r="F39" s="35">
        <v>8</v>
      </c>
      <c r="G39" s="35">
        <v>9</v>
      </c>
      <c r="H39" s="35">
        <v>2</v>
      </c>
      <c r="I39" s="35">
        <v>2</v>
      </c>
      <c r="J39" s="35">
        <v>4</v>
      </c>
    </row>
    <row r="41" spans="1:10" ht="39.950000000000003" customHeight="1" x14ac:dyDescent="0.25">
      <c r="A41" s="34" t="s">
        <v>0</v>
      </c>
      <c r="B41" s="64" t="s">
        <v>1</v>
      </c>
      <c r="C41" s="74"/>
      <c r="D41" s="35" t="s">
        <v>2</v>
      </c>
      <c r="E41" s="64" t="s">
        <v>3</v>
      </c>
      <c r="F41" s="75"/>
      <c r="G41" s="75"/>
      <c r="H41" s="75"/>
      <c r="I41" s="75"/>
      <c r="J41" s="76"/>
    </row>
    <row r="42" spans="1:10" ht="39.950000000000003" customHeight="1" x14ac:dyDescent="0.25">
      <c r="A42" s="36" t="s">
        <v>4</v>
      </c>
      <c r="B42" s="66" t="s">
        <v>41</v>
      </c>
      <c r="C42" s="66" t="s">
        <v>42</v>
      </c>
      <c r="D42" s="66" t="s">
        <v>43</v>
      </c>
      <c r="E42" s="64" t="s">
        <v>44</v>
      </c>
      <c r="F42" s="65"/>
      <c r="G42" s="64" t="s">
        <v>45</v>
      </c>
      <c r="H42" s="65"/>
      <c r="I42" s="64" t="s">
        <v>46</v>
      </c>
      <c r="J42" s="65"/>
    </row>
    <row r="43" spans="1:10" ht="39.950000000000003" customHeight="1" x14ac:dyDescent="0.25">
      <c r="A43" s="36"/>
      <c r="B43" s="67"/>
      <c r="C43" s="67"/>
      <c r="D43" s="67"/>
      <c r="E43" s="35" t="s">
        <v>47</v>
      </c>
      <c r="F43" s="35" t="s">
        <v>48</v>
      </c>
      <c r="G43" s="35" t="s">
        <v>48</v>
      </c>
      <c r="H43" s="35" t="s">
        <v>49</v>
      </c>
      <c r="I43" s="35" t="s">
        <v>61</v>
      </c>
      <c r="J43" s="35" t="s">
        <v>61</v>
      </c>
    </row>
    <row r="44" spans="1:10" ht="39.950000000000003" customHeight="1" x14ac:dyDescent="0.25">
      <c r="A44" s="36"/>
      <c r="B44" s="43" t="s">
        <v>62</v>
      </c>
      <c r="C44" s="44" t="s">
        <v>63</v>
      </c>
      <c r="D44" s="44" t="s">
        <v>64</v>
      </c>
      <c r="E44" s="44" t="s">
        <v>62</v>
      </c>
      <c r="F44" s="44" t="s">
        <v>65</v>
      </c>
      <c r="G44" s="44" t="s">
        <v>65</v>
      </c>
      <c r="H44" s="44" t="s">
        <v>66</v>
      </c>
      <c r="I44" s="44" t="s">
        <v>39</v>
      </c>
      <c r="J44" s="44" t="s">
        <v>40</v>
      </c>
    </row>
    <row r="45" spans="1:10" ht="39.950000000000003" customHeight="1" x14ac:dyDescent="0.25">
      <c r="A45" s="36"/>
      <c r="B45" s="44" t="s">
        <v>67</v>
      </c>
      <c r="C45" s="44" t="s">
        <v>68</v>
      </c>
      <c r="D45" s="44" t="s">
        <v>69</v>
      </c>
      <c r="E45" s="44" t="s">
        <v>67</v>
      </c>
      <c r="F45" s="44" t="s">
        <v>70</v>
      </c>
      <c r="G45" s="44" t="s">
        <v>70</v>
      </c>
      <c r="H45" s="44" t="s">
        <v>71</v>
      </c>
      <c r="I45" s="44"/>
      <c r="J45" s="44"/>
    </row>
    <row r="46" spans="1:10" ht="39.950000000000003" customHeight="1" x14ac:dyDescent="0.25">
      <c r="A46" s="41"/>
      <c r="B46" s="44"/>
      <c r="C46" s="45"/>
      <c r="D46" s="45"/>
      <c r="E46" s="41"/>
      <c r="F46" s="45" t="s">
        <v>72</v>
      </c>
      <c r="G46" s="45" t="s">
        <v>72</v>
      </c>
      <c r="H46" s="45"/>
      <c r="I46" s="45"/>
      <c r="J46" s="45"/>
    </row>
    <row r="47" spans="1:10" ht="39.950000000000003" customHeight="1" x14ac:dyDescent="0.25">
      <c r="A47" s="7">
        <v>13</v>
      </c>
      <c r="B47" s="35"/>
      <c r="C47" s="35" t="s">
        <v>73</v>
      </c>
      <c r="D47" s="35" t="s">
        <v>74</v>
      </c>
      <c r="E47" s="35"/>
      <c r="F47" s="35"/>
      <c r="G47" s="35">
        <v>4042</v>
      </c>
      <c r="H47" s="35" t="s">
        <v>75</v>
      </c>
      <c r="I47" s="35"/>
      <c r="J47" s="35"/>
    </row>
    <row r="49" spans="1:15" ht="39.950000000000003" customHeight="1" x14ac:dyDescent="0.25">
      <c r="A49" s="34" t="s">
        <v>0</v>
      </c>
      <c r="B49" s="64" t="s">
        <v>3</v>
      </c>
      <c r="C49" s="75"/>
      <c r="D49" s="75"/>
      <c r="E49" s="75"/>
      <c r="F49" s="75"/>
      <c r="G49" s="76"/>
    </row>
    <row r="50" spans="1:15" ht="39.950000000000003" customHeight="1" x14ac:dyDescent="0.25">
      <c r="A50" s="36" t="s">
        <v>4</v>
      </c>
      <c r="B50" s="64" t="s">
        <v>44</v>
      </c>
      <c r="C50" s="77"/>
      <c r="D50" s="65"/>
      <c r="E50" s="64" t="s">
        <v>45</v>
      </c>
      <c r="F50" s="77"/>
      <c r="G50" s="65"/>
    </row>
    <row r="51" spans="1:15" ht="39.950000000000003" customHeight="1" x14ac:dyDescent="0.25">
      <c r="A51" s="36"/>
      <c r="B51" s="35" t="s">
        <v>47</v>
      </c>
      <c r="C51" s="35"/>
      <c r="D51" s="35" t="s">
        <v>48</v>
      </c>
      <c r="E51" s="35" t="s">
        <v>48</v>
      </c>
      <c r="F51" s="35"/>
      <c r="G51" s="35" t="s">
        <v>37</v>
      </c>
    </row>
    <row r="52" spans="1:15" ht="39.950000000000003" customHeight="1" x14ac:dyDescent="0.25">
      <c r="A52" s="36"/>
      <c r="B52" s="44" t="s">
        <v>62</v>
      </c>
      <c r="C52" s="44" t="s">
        <v>76</v>
      </c>
      <c r="D52" s="44" t="s">
        <v>5</v>
      </c>
      <c r="E52" s="44" t="s">
        <v>76</v>
      </c>
      <c r="F52" s="44" t="s">
        <v>5</v>
      </c>
      <c r="G52" s="44" t="s">
        <v>5</v>
      </c>
    </row>
    <row r="53" spans="1:15" ht="39.950000000000003" customHeight="1" x14ac:dyDescent="0.25">
      <c r="A53" s="36"/>
      <c r="B53" s="44" t="s">
        <v>77</v>
      </c>
      <c r="C53" s="44" t="s">
        <v>78</v>
      </c>
      <c r="D53" s="44" t="s">
        <v>78</v>
      </c>
      <c r="E53" s="44" t="s">
        <v>78</v>
      </c>
      <c r="F53" s="44" t="s">
        <v>78</v>
      </c>
      <c r="G53" s="44" t="s">
        <v>79</v>
      </c>
    </row>
    <row r="54" spans="1:15" ht="39.950000000000003" customHeight="1" x14ac:dyDescent="0.25">
      <c r="A54" s="41"/>
      <c r="B54" s="41"/>
      <c r="C54" s="41"/>
      <c r="D54" s="45"/>
      <c r="E54" s="45"/>
      <c r="F54" s="45"/>
      <c r="G54" s="45"/>
    </row>
    <row r="55" spans="1:15" ht="39.950000000000003" customHeight="1" x14ac:dyDescent="0.25">
      <c r="A55" s="7">
        <v>13</v>
      </c>
      <c r="B55" s="35"/>
      <c r="C55" s="35"/>
      <c r="D55" s="35"/>
      <c r="E55" s="35" t="s">
        <v>80</v>
      </c>
      <c r="F55" s="35">
        <v>13</v>
      </c>
      <c r="G55" s="35">
        <v>6</v>
      </c>
    </row>
    <row r="57" spans="1:15" ht="39.950000000000003" customHeight="1" x14ac:dyDescent="0.25">
      <c r="A57" s="34" t="s">
        <v>0</v>
      </c>
      <c r="B57" s="78" t="s">
        <v>81</v>
      </c>
      <c r="C57" s="69"/>
      <c r="D57" s="69"/>
      <c r="E57" s="70"/>
      <c r="F57" s="80" t="s">
        <v>82</v>
      </c>
      <c r="G57" s="69"/>
      <c r="H57" s="70"/>
      <c r="I57" s="68" t="s">
        <v>83</v>
      </c>
      <c r="J57" s="69"/>
      <c r="K57" s="70"/>
      <c r="L57" s="69" t="s">
        <v>84</v>
      </c>
      <c r="M57" s="69"/>
      <c r="N57" s="69"/>
      <c r="O57" s="70"/>
    </row>
    <row r="58" spans="1:15" ht="39.950000000000003" customHeight="1" x14ac:dyDescent="0.25">
      <c r="A58" s="36" t="s">
        <v>4</v>
      </c>
      <c r="B58" s="79"/>
      <c r="C58" s="71"/>
      <c r="D58" s="71"/>
      <c r="E58" s="72"/>
      <c r="F58" s="73" t="s">
        <v>85</v>
      </c>
      <c r="G58" s="71"/>
      <c r="H58" s="72"/>
      <c r="I58" s="71"/>
      <c r="J58" s="71"/>
      <c r="K58" s="72"/>
      <c r="L58" s="71"/>
      <c r="M58" s="71"/>
      <c r="N58" s="71"/>
      <c r="O58" s="72"/>
    </row>
    <row r="59" spans="1:15" ht="39.950000000000003" customHeight="1" x14ac:dyDescent="0.3">
      <c r="A59" s="36"/>
      <c r="B59" s="46" t="s">
        <v>86</v>
      </c>
      <c r="C59" s="46" t="s">
        <v>87</v>
      </c>
      <c r="D59" s="46" t="s">
        <v>88</v>
      </c>
      <c r="E59" s="46" t="s">
        <v>89</v>
      </c>
      <c r="F59" s="46" t="s">
        <v>90</v>
      </c>
      <c r="G59" s="47" t="s">
        <v>91</v>
      </c>
      <c r="H59" s="46" t="s">
        <v>92</v>
      </c>
      <c r="I59" s="46" t="s">
        <v>90</v>
      </c>
      <c r="J59" s="48" t="s">
        <v>93</v>
      </c>
      <c r="K59" s="46" t="s">
        <v>92</v>
      </c>
      <c r="L59" s="46" t="s">
        <v>90</v>
      </c>
      <c r="M59" s="48" t="s">
        <v>94</v>
      </c>
      <c r="N59" s="46" t="s">
        <v>92</v>
      </c>
      <c r="O59" s="48" t="s">
        <v>95</v>
      </c>
    </row>
    <row r="60" spans="1:15" ht="39.950000000000003" customHeight="1" x14ac:dyDescent="0.25">
      <c r="A60" s="36"/>
      <c r="B60" s="49" t="s">
        <v>96</v>
      </c>
      <c r="C60" s="49" t="s">
        <v>96</v>
      </c>
      <c r="D60" s="49" t="s">
        <v>96</v>
      </c>
      <c r="E60" s="49" t="s">
        <v>96</v>
      </c>
      <c r="F60" s="49" t="s">
        <v>96</v>
      </c>
      <c r="G60" s="49" t="s">
        <v>97</v>
      </c>
      <c r="H60" s="49" t="s">
        <v>96</v>
      </c>
      <c r="I60" s="49" t="s">
        <v>96</v>
      </c>
      <c r="J60" s="49" t="s">
        <v>96</v>
      </c>
      <c r="K60" s="49" t="s">
        <v>96</v>
      </c>
      <c r="L60" s="49" t="s">
        <v>96</v>
      </c>
      <c r="M60" s="49" t="s">
        <v>96</v>
      </c>
      <c r="N60" s="49" t="s">
        <v>96</v>
      </c>
      <c r="O60" s="49" t="s">
        <v>96</v>
      </c>
    </row>
    <row r="61" spans="1:15" ht="39.950000000000003" customHeight="1" x14ac:dyDescent="0.3">
      <c r="A61" s="7">
        <v>1</v>
      </c>
      <c r="B61" s="35" t="s">
        <v>98</v>
      </c>
      <c r="C61" s="46" t="s">
        <v>99</v>
      </c>
      <c r="D61" s="35">
        <v>5</v>
      </c>
      <c r="E61" s="46" t="s">
        <v>100</v>
      </c>
      <c r="F61" s="35">
        <v>3.4</v>
      </c>
      <c r="G61" s="35">
        <v>80</v>
      </c>
      <c r="H61" s="46" t="s">
        <v>101</v>
      </c>
      <c r="I61" s="35">
        <v>3.3</v>
      </c>
      <c r="J61" s="35">
        <v>5</v>
      </c>
      <c r="K61" s="46" t="s">
        <v>101</v>
      </c>
      <c r="L61" s="35">
        <v>6.2</v>
      </c>
      <c r="M61" s="35">
        <v>6</v>
      </c>
      <c r="N61" s="46" t="s">
        <v>102</v>
      </c>
      <c r="O61" s="35">
        <v>6</v>
      </c>
    </row>
    <row r="62" spans="1:15" ht="39.950000000000003" customHeight="1" x14ac:dyDescent="0.3">
      <c r="A62" s="7">
        <v>13</v>
      </c>
      <c r="B62" s="35" t="s">
        <v>98</v>
      </c>
      <c r="C62" s="50" t="s">
        <v>99</v>
      </c>
      <c r="D62" s="35">
        <v>7</v>
      </c>
      <c r="E62" s="50" t="s">
        <v>100</v>
      </c>
      <c r="F62" s="35">
        <v>3.3</v>
      </c>
      <c r="G62" s="35">
        <v>70</v>
      </c>
      <c r="H62" s="50" t="s">
        <v>101</v>
      </c>
      <c r="I62" s="35">
        <v>3.9</v>
      </c>
      <c r="J62" s="35">
        <v>10</v>
      </c>
      <c r="K62" s="50" t="s">
        <v>101</v>
      </c>
      <c r="L62" s="35">
        <v>6.6</v>
      </c>
      <c r="M62" s="35">
        <v>3</v>
      </c>
      <c r="N62" s="50" t="s">
        <v>102</v>
      </c>
      <c r="O62" s="35">
        <v>17</v>
      </c>
    </row>
    <row r="64" spans="1:15" ht="39.950000000000003" customHeight="1" x14ac:dyDescent="0.25">
      <c r="A64" s="34" t="s">
        <v>0</v>
      </c>
      <c r="B64" s="64" t="s">
        <v>1</v>
      </c>
      <c r="C64" s="74"/>
      <c r="D64" s="35" t="s">
        <v>2</v>
      </c>
      <c r="E64" s="64" t="s">
        <v>3</v>
      </c>
      <c r="F64" s="75"/>
      <c r="G64" s="75"/>
      <c r="H64" s="75"/>
      <c r="I64" s="75"/>
      <c r="J64" s="76"/>
    </row>
    <row r="65" spans="1:10" ht="39.950000000000003" customHeight="1" x14ac:dyDescent="0.25">
      <c r="A65" s="36" t="s">
        <v>4</v>
      </c>
      <c r="B65" s="66" t="s">
        <v>41</v>
      </c>
      <c r="C65" s="66" t="s">
        <v>42</v>
      </c>
      <c r="D65" s="66" t="s">
        <v>43</v>
      </c>
      <c r="E65" s="64" t="s">
        <v>44</v>
      </c>
      <c r="F65" s="65"/>
      <c r="G65" s="64" t="s">
        <v>45</v>
      </c>
      <c r="H65" s="65"/>
      <c r="I65" s="64" t="s">
        <v>46</v>
      </c>
      <c r="J65" s="65"/>
    </row>
    <row r="66" spans="1:10" ht="39.950000000000003" customHeight="1" x14ac:dyDescent="0.25">
      <c r="A66" s="36"/>
      <c r="B66" s="67"/>
      <c r="C66" s="67"/>
      <c r="D66" s="67"/>
      <c r="E66" s="35" t="s">
        <v>47</v>
      </c>
      <c r="F66" s="35" t="s">
        <v>48</v>
      </c>
      <c r="G66" s="35" t="s">
        <v>48</v>
      </c>
      <c r="H66" s="35" t="s">
        <v>49</v>
      </c>
      <c r="I66" s="35" t="s">
        <v>61</v>
      </c>
      <c r="J66" s="35" t="s">
        <v>61</v>
      </c>
    </row>
    <row r="67" spans="1:10" ht="39.950000000000003" customHeight="1" x14ac:dyDescent="0.25">
      <c r="A67" s="36"/>
      <c r="B67" s="43" t="s">
        <v>62</v>
      </c>
      <c r="C67" s="44" t="s">
        <v>63</v>
      </c>
      <c r="D67" s="44" t="s">
        <v>64</v>
      </c>
      <c r="E67" s="44" t="s">
        <v>62</v>
      </c>
      <c r="F67" s="44" t="s">
        <v>65</v>
      </c>
      <c r="G67" s="44" t="s">
        <v>65</v>
      </c>
      <c r="H67" s="44" t="s">
        <v>66</v>
      </c>
      <c r="I67" s="44" t="s">
        <v>39</v>
      </c>
      <c r="J67" s="44" t="s">
        <v>40</v>
      </c>
    </row>
    <row r="68" spans="1:10" ht="39.950000000000003" customHeight="1" x14ac:dyDescent="0.25">
      <c r="A68" s="36"/>
      <c r="B68" s="44" t="s">
        <v>67</v>
      </c>
      <c r="C68" s="44" t="s">
        <v>68</v>
      </c>
      <c r="D68" s="44" t="s">
        <v>69</v>
      </c>
      <c r="E68" s="44" t="s">
        <v>67</v>
      </c>
      <c r="F68" s="44" t="s">
        <v>70</v>
      </c>
      <c r="G68" s="44" t="s">
        <v>70</v>
      </c>
      <c r="H68" s="44" t="s">
        <v>71</v>
      </c>
      <c r="I68" s="44"/>
      <c r="J68" s="44"/>
    </row>
    <row r="69" spans="1:10" ht="39.950000000000003" customHeight="1" x14ac:dyDescent="0.25">
      <c r="A69" s="41"/>
      <c r="B69" s="44"/>
      <c r="C69" s="45"/>
      <c r="D69" s="45"/>
      <c r="E69" s="41"/>
      <c r="F69" s="45" t="s">
        <v>72</v>
      </c>
      <c r="G69" s="45" t="s">
        <v>72</v>
      </c>
      <c r="H69" s="45"/>
      <c r="I69" s="45"/>
      <c r="J69" s="45"/>
    </row>
    <row r="70" spans="1:10" ht="39.950000000000003" customHeight="1" x14ac:dyDescent="0.25">
      <c r="A70" s="7">
        <v>13</v>
      </c>
      <c r="B70" s="35"/>
      <c r="C70" s="35" t="s">
        <v>103</v>
      </c>
      <c r="D70" s="35" t="s">
        <v>104</v>
      </c>
      <c r="E70" s="35"/>
      <c r="F70" s="35"/>
      <c r="G70" s="35" t="s">
        <v>104</v>
      </c>
      <c r="H70" s="35" t="s">
        <v>105</v>
      </c>
      <c r="I70" s="35"/>
      <c r="J70" s="35"/>
    </row>
  </sheetData>
  <mergeCells count="52">
    <mergeCell ref="B1:E1"/>
    <mergeCell ref="F1:I1"/>
    <mergeCell ref="J1:M1"/>
    <mergeCell ref="B33:D33"/>
    <mergeCell ref="F33:J33"/>
    <mergeCell ref="D15:D16"/>
    <mergeCell ref="C15:C16"/>
    <mergeCell ref="C14:E14"/>
    <mergeCell ref="L14:N14"/>
    <mergeCell ref="F14:K14"/>
    <mergeCell ref="I8:I9"/>
    <mergeCell ref="H8:H9"/>
    <mergeCell ref="G8:G9"/>
    <mergeCell ref="B34:B35"/>
    <mergeCell ref="C34:D35"/>
    <mergeCell ref="E34:E35"/>
    <mergeCell ref="F34:G34"/>
    <mergeCell ref="H34:I34"/>
    <mergeCell ref="B41:C41"/>
    <mergeCell ref="E41:J41"/>
    <mergeCell ref="B42:B43"/>
    <mergeCell ref="C42:C43"/>
    <mergeCell ref="D42:D43"/>
    <mergeCell ref="E42:F42"/>
    <mergeCell ref="G42:H42"/>
    <mergeCell ref="I42:J42"/>
    <mergeCell ref="B64:C64"/>
    <mergeCell ref="E64:J64"/>
    <mergeCell ref="B49:G49"/>
    <mergeCell ref="B50:D50"/>
    <mergeCell ref="E50:G50"/>
    <mergeCell ref="B57:E58"/>
    <mergeCell ref="F57:H57"/>
    <mergeCell ref="B65:B66"/>
    <mergeCell ref="C65:C66"/>
    <mergeCell ref="D65:D66"/>
    <mergeCell ref="E65:F65"/>
    <mergeCell ref="G65:H65"/>
    <mergeCell ref="L15:L16"/>
    <mergeCell ref="M15:M16"/>
    <mergeCell ref="N15:N16"/>
    <mergeCell ref="G15:K15"/>
    <mergeCell ref="I65:J65"/>
    <mergeCell ref="I57:K58"/>
    <mergeCell ref="L57:O58"/>
    <mergeCell ref="F58:H58"/>
    <mergeCell ref="D8:D9"/>
    <mergeCell ref="F8:F9"/>
    <mergeCell ref="E8:E9"/>
    <mergeCell ref="C8:C9"/>
    <mergeCell ref="E15:E16"/>
    <mergeCell ref="F15:F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</xdr:col>
                <xdr:colOff>304800</xdr:colOff>
                <xdr:row>28</xdr:row>
                <xdr:rowOff>0</xdr:rowOff>
              </from>
              <to>
                <xdr:col>1</xdr:col>
                <xdr:colOff>466725</xdr:colOff>
                <xdr:row>28</xdr:row>
                <xdr:rowOff>228600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autoPict="0" r:id="rId6">
            <anchor moveWithCells="1" sizeWithCells="1">
              <from>
                <xdr:col>2</xdr:col>
                <xdr:colOff>619125</xdr:colOff>
                <xdr:row>28</xdr:row>
                <xdr:rowOff>0</xdr:rowOff>
              </from>
              <to>
                <xdr:col>2</xdr:col>
                <xdr:colOff>838200</xdr:colOff>
                <xdr:row>28</xdr:row>
                <xdr:rowOff>238125</xdr:rowOff>
              </to>
            </anchor>
          </objectPr>
        </oleObject>
      </mc:Choice>
      <mc:Fallback>
        <oleObject shapeId="1026" r:id="rId5"/>
      </mc:Fallback>
    </mc:AlternateContent>
    <mc:AlternateContent xmlns:mc="http://schemas.openxmlformats.org/markup-compatibility/2006">
      <mc:Choice Requires="x14">
        <oleObject shapeId="1027" r:id="rId7">
          <objectPr defaultSize="0" autoPict="0" r:id="rId8">
            <anchor moveWithCells="1" sizeWithCells="1">
              <from>
                <xdr:col>3</xdr:col>
                <xdr:colOff>600075</xdr:colOff>
                <xdr:row>28</xdr:row>
                <xdr:rowOff>0</xdr:rowOff>
              </from>
              <to>
                <xdr:col>3</xdr:col>
                <xdr:colOff>828675</xdr:colOff>
                <xdr:row>28</xdr:row>
                <xdr:rowOff>228600</xdr:rowOff>
              </to>
            </anchor>
          </objectPr>
        </oleObject>
      </mc:Choice>
      <mc:Fallback>
        <oleObject shapeId="1027" r:id="rId7"/>
      </mc:Fallback>
    </mc:AlternateContent>
    <mc:AlternateContent xmlns:mc="http://schemas.openxmlformats.org/markup-compatibility/2006">
      <mc:Choice Requires="x14">
        <oleObject shapeId="1028" r:id="rId9">
          <objectPr defaultSize="0" autoPict="0" r:id="rId10">
            <anchor moveWithCells="1" sizeWithCells="1">
              <from>
                <xdr:col>4</xdr:col>
                <xdr:colOff>342900</xdr:colOff>
                <xdr:row>28</xdr:row>
                <xdr:rowOff>0</xdr:rowOff>
              </from>
              <to>
                <xdr:col>4</xdr:col>
                <xdr:colOff>571500</xdr:colOff>
                <xdr:row>29</xdr:row>
                <xdr:rowOff>9525</xdr:rowOff>
              </to>
            </anchor>
          </objectPr>
        </oleObject>
      </mc:Choice>
      <mc:Fallback>
        <oleObject shapeId="1028" r:id="rId9"/>
      </mc:Fallback>
    </mc:AlternateContent>
    <mc:AlternateContent xmlns:mc="http://schemas.openxmlformats.org/markup-compatibility/2006">
      <mc:Choice Requires="x14">
        <oleObject shapeId="1029" r:id="rId11">
          <objectPr defaultSize="0" autoPict="0" r:id="rId12">
            <anchor moveWithCells="1" sizeWithCells="1">
              <from>
                <xdr:col>5</xdr:col>
                <xdr:colOff>371475</xdr:colOff>
                <xdr:row>28</xdr:row>
                <xdr:rowOff>0</xdr:rowOff>
              </from>
              <to>
                <xdr:col>5</xdr:col>
                <xdr:colOff>666750</xdr:colOff>
                <xdr:row>29</xdr:row>
                <xdr:rowOff>57150</xdr:rowOff>
              </to>
            </anchor>
          </objectPr>
        </oleObject>
      </mc:Choice>
      <mc:Fallback>
        <oleObject shapeId="1029" r:id="rId11"/>
      </mc:Fallback>
    </mc:AlternateContent>
    <mc:AlternateContent xmlns:mc="http://schemas.openxmlformats.org/markup-compatibility/2006">
      <mc:Choice Requires="x14">
        <oleObject shapeId="1030" r:id="rId13">
          <objectPr defaultSize="0" autoPict="0" r:id="rId14">
            <anchor moveWithCells="1" sizeWithCells="1">
              <from>
                <xdr:col>6</xdr:col>
                <xdr:colOff>390525</xdr:colOff>
                <xdr:row>28</xdr:row>
                <xdr:rowOff>9525</xdr:rowOff>
              </from>
              <to>
                <xdr:col>6</xdr:col>
                <xdr:colOff>695325</xdr:colOff>
                <xdr:row>29</xdr:row>
                <xdr:rowOff>66675</xdr:rowOff>
              </to>
            </anchor>
          </objectPr>
        </oleObject>
      </mc:Choice>
      <mc:Fallback>
        <oleObject shapeId="1030" r:id="rId13"/>
      </mc:Fallback>
    </mc:AlternateContent>
    <mc:AlternateContent xmlns:mc="http://schemas.openxmlformats.org/markup-compatibility/2006">
      <mc:Choice Requires="x14">
        <oleObject shapeId="1033" r:id="rId15">
          <objectPr defaultSize="0" autoPict="0" r:id="rId16">
            <anchor moveWithCells="1" sizeWithCells="1">
              <from>
                <xdr:col>7</xdr:col>
                <xdr:colOff>457200</xdr:colOff>
                <xdr:row>28</xdr:row>
                <xdr:rowOff>19050</xdr:rowOff>
              </from>
              <to>
                <xdr:col>7</xdr:col>
                <xdr:colOff>685800</xdr:colOff>
                <xdr:row>29</xdr:row>
                <xdr:rowOff>38100</xdr:rowOff>
              </to>
            </anchor>
          </objectPr>
        </oleObject>
      </mc:Choice>
      <mc:Fallback>
        <oleObject shapeId="1033" r:id="rId1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CB26-A0EE-4134-86EE-9CBD4226431C}">
  <dimension ref="A1:R70"/>
  <sheetViews>
    <sheetView tabSelected="1" zoomScaleNormal="100" workbookViewId="0">
      <selection activeCell="F15" sqref="F15"/>
    </sheetView>
  </sheetViews>
  <sheetFormatPr defaultRowHeight="15" x14ac:dyDescent="0.25"/>
  <cols>
    <col min="1" max="1" width="9.140625" style="101" customWidth="1"/>
    <col min="2" max="7" width="9.140625" style="101"/>
    <col min="8" max="8" width="11.42578125" style="101" bestFit="1" customWidth="1"/>
    <col min="9" max="14" width="9.140625" style="101"/>
    <col min="15" max="15" width="11.42578125" style="101" bestFit="1" customWidth="1"/>
    <col min="16" max="16" width="9.42578125" style="101" bestFit="1" customWidth="1"/>
    <col min="17" max="16384" width="9.140625" style="101"/>
  </cols>
  <sheetData>
    <row r="1" spans="1:18" x14ac:dyDescent="0.25">
      <c r="A1" s="100" t="s">
        <v>132</v>
      </c>
      <c r="B1" s="99" t="s">
        <v>133</v>
      </c>
      <c r="C1" s="99" t="s">
        <v>134</v>
      </c>
      <c r="D1" s="117"/>
      <c r="E1" s="118"/>
      <c r="F1" s="116"/>
      <c r="G1" s="108" t="s">
        <v>150</v>
      </c>
      <c r="H1" s="108" t="s">
        <v>151</v>
      </c>
      <c r="I1" s="108" t="s">
        <v>152</v>
      </c>
      <c r="J1" s="122"/>
      <c r="K1" s="123"/>
      <c r="L1" s="118"/>
      <c r="N1" s="99" t="s">
        <v>160</v>
      </c>
      <c r="O1" s="99" t="s">
        <v>161</v>
      </c>
      <c r="P1" s="99" t="s">
        <v>162</v>
      </c>
      <c r="Q1" s="99" t="s">
        <v>191</v>
      </c>
      <c r="R1" s="118"/>
    </row>
    <row r="2" spans="1:18" x14ac:dyDescent="0.25">
      <c r="A2" s="99">
        <v>43</v>
      </c>
      <c r="B2" s="99">
        <v>17</v>
      </c>
      <c r="C2" s="99">
        <f>1.59*0.001</f>
        <v>1.5900000000000001E-3</v>
      </c>
      <c r="E2" s="119"/>
      <c r="F2" s="116"/>
      <c r="G2" s="108">
        <v>1</v>
      </c>
      <c r="H2" s="108">
        <f>2*(56.5+36.5)</f>
        <v>186</v>
      </c>
      <c r="I2" s="108">
        <v>30</v>
      </c>
      <c r="J2" s="107"/>
      <c r="K2" s="116"/>
      <c r="L2" s="119"/>
      <c r="N2" s="99">
        <v>3.74</v>
      </c>
      <c r="O2" s="99">
        <v>2.17</v>
      </c>
      <c r="P2" s="99">
        <v>0.68</v>
      </c>
      <c r="Q2" s="99">
        <f>N2*O2</f>
        <v>8.1158000000000001</v>
      </c>
      <c r="R2" s="119" t="s">
        <v>195</v>
      </c>
    </row>
    <row r="3" spans="1:18" x14ac:dyDescent="0.25">
      <c r="A3" s="102" t="s">
        <v>131</v>
      </c>
      <c r="B3" s="103"/>
      <c r="C3" s="99">
        <f>ROUNDDOWN(95/(1+C2*(A2-B2)),0)</f>
        <v>91</v>
      </c>
      <c r="D3" s="101" t="s">
        <v>139</v>
      </c>
      <c r="E3" s="119"/>
      <c r="F3" s="116"/>
      <c r="G3" s="109" t="s">
        <v>153</v>
      </c>
      <c r="H3" s="110"/>
      <c r="I3" s="108">
        <f>2.55*I2*SQRT(G2*H2)</f>
        <v>1043.3208998194179</v>
      </c>
      <c r="J3" s="107" t="s">
        <v>154</v>
      </c>
      <c r="K3" s="116"/>
      <c r="L3" s="119"/>
      <c r="N3" s="99" t="s">
        <v>163</v>
      </c>
      <c r="O3" s="99" t="s">
        <v>134</v>
      </c>
      <c r="P3" s="99" t="s">
        <v>164</v>
      </c>
      <c r="R3" s="119"/>
    </row>
    <row r="4" spans="1:18" x14ac:dyDescent="0.25">
      <c r="A4" s="120"/>
      <c r="E4" s="119"/>
      <c r="G4" s="120"/>
      <c r="L4" s="119"/>
      <c r="N4" s="99">
        <v>0.84</v>
      </c>
      <c r="O4" s="99">
        <v>0.5</v>
      </c>
      <c r="P4" s="99">
        <v>0.11899999999999999</v>
      </c>
      <c r="Q4" s="101" t="s">
        <v>96</v>
      </c>
      <c r="R4" s="119"/>
    </row>
    <row r="5" spans="1:18" x14ac:dyDescent="0.25">
      <c r="A5" s="99"/>
      <c r="B5" s="99" t="s">
        <v>135</v>
      </c>
      <c r="E5" s="119"/>
      <c r="G5" s="99" t="s">
        <v>155</v>
      </c>
      <c r="H5" s="99" t="s">
        <v>156</v>
      </c>
      <c r="I5" s="99" t="s">
        <v>157</v>
      </c>
      <c r="J5" s="99" t="s">
        <v>158</v>
      </c>
      <c r="L5" s="119"/>
      <c r="N5" s="102" t="s">
        <v>165</v>
      </c>
      <c r="O5" s="103"/>
      <c r="P5" s="99">
        <f>ROUNDDOWN(N2/N4,0) * ROUNDDOWN(O2/O4,0) * ROUNDDOWN(P2/P4,0)</f>
        <v>80</v>
      </c>
      <c r="R5" s="119"/>
    </row>
    <row r="6" spans="1:18" x14ac:dyDescent="0.25">
      <c r="A6" s="99"/>
      <c r="B6" s="99">
        <v>10000</v>
      </c>
      <c r="C6" s="101" t="s">
        <v>138</v>
      </c>
      <c r="E6" s="119"/>
      <c r="G6" s="99">
        <v>0.25</v>
      </c>
      <c r="H6" s="99">
        <v>1.6</v>
      </c>
      <c r="I6" s="99">
        <v>2.92</v>
      </c>
      <c r="J6" s="99">
        <v>9.81</v>
      </c>
      <c r="L6" s="119"/>
      <c r="N6" s="102" t="s">
        <v>166</v>
      </c>
      <c r="O6" s="103"/>
      <c r="P6" s="99">
        <f>ROUNDDOWN(N2/O4,0) * ROUNDDOWN(O2/N4,0) * ROUNDDOWN(P2/P4,0)</f>
        <v>70</v>
      </c>
      <c r="R6" s="119"/>
    </row>
    <row r="7" spans="1:18" x14ac:dyDescent="0.25">
      <c r="A7" s="99" t="s">
        <v>136</v>
      </c>
      <c r="B7" s="99">
        <f>(C3*B6)/100</f>
        <v>9100</v>
      </c>
      <c r="C7" s="101" t="s">
        <v>138</v>
      </c>
      <c r="E7" s="119"/>
      <c r="G7" s="102" t="s">
        <v>159</v>
      </c>
      <c r="H7" s="104"/>
      <c r="I7" s="103"/>
      <c r="J7" s="99">
        <f>ROUNDUP((I3*G6)/(H6*I6*J6)+G6,0)</f>
        <v>6</v>
      </c>
      <c r="K7" s="101" t="s">
        <v>96</v>
      </c>
      <c r="L7" s="119"/>
      <c r="N7" s="102" t="s">
        <v>193</v>
      </c>
      <c r="O7" s="103"/>
      <c r="P7" s="99">
        <f>MAX(P5, P6)</f>
        <v>80</v>
      </c>
      <c r="R7" s="119"/>
    </row>
    <row r="8" spans="1:18" x14ac:dyDescent="0.25">
      <c r="A8" s="120"/>
      <c r="E8" s="119"/>
      <c r="G8" s="120"/>
      <c r="L8" s="119"/>
      <c r="N8" s="102" t="s">
        <v>192</v>
      </c>
      <c r="O8" s="103"/>
      <c r="P8" s="99">
        <f>Q2*(P2-0.1)</f>
        <v>4.7071640000000006</v>
      </c>
      <c r="Q8" s="101" t="s">
        <v>194</v>
      </c>
      <c r="R8" s="119"/>
    </row>
    <row r="9" spans="1:18" x14ac:dyDescent="0.25">
      <c r="A9" s="99"/>
      <c r="B9" s="99" t="s">
        <v>137</v>
      </c>
      <c r="E9" s="119"/>
      <c r="G9" s="99" t="s">
        <v>160</v>
      </c>
      <c r="H9" s="99" t="s">
        <v>161</v>
      </c>
      <c r="I9" s="99" t="s">
        <v>162</v>
      </c>
      <c r="L9" s="119"/>
      <c r="N9" s="120"/>
      <c r="R9" s="119"/>
    </row>
    <row r="10" spans="1:18" x14ac:dyDescent="0.25">
      <c r="A10" s="99"/>
      <c r="B10" s="99">
        <v>0.62619999999999998</v>
      </c>
      <c r="C10" s="101" t="s">
        <v>148</v>
      </c>
      <c r="D10" s="101">
        <f>B10*1000</f>
        <v>626.19999999999993</v>
      </c>
      <c r="E10" s="119" t="s">
        <v>140</v>
      </c>
      <c r="G10" s="99">
        <v>1.2</v>
      </c>
      <c r="H10" s="99">
        <v>0.8</v>
      </c>
      <c r="I10" s="99">
        <v>1.35</v>
      </c>
      <c r="J10" s="101" t="s">
        <v>96</v>
      </c>
      <c r="L10" s="119"/>
      <c r="N10" s="120"/>
      <c r="O10" s="99" t="s">
        <v>198</v>
      </c>
      <c r="P10" s="99" t="s">
        <v>199</v>
      </c>
      <c r="Q10" s="99" t="s">
        <v>197</v>
      </c>
      <c r="R10" s="119"/>
    </row>
    <row r="11" spans="1:18" x14ac:dyDescent="0.25">
      <c r="A11" s="99" t="s">
        <v>186</v>
      </c>
      <c r="B11" s="99">
        <f>B10*B7</f>
        <v>5698.42</v>
      </c>
      <c r="C11" s="101" t="s">
        <v>147</v>
      </c>
      <c r="E11" s="119"/>
      <c r="G11" s="99" t="s">
        <v>163</v>
      </c>
      <c r="H11" s="99" t="s">
        <v>134</v>
      </c>
      <c r="I11" s="99" t="s">
        <v>164</v>
      </c>
      <c r="L11" s="119"/>
      <c r="N11" s="120"/>
      <c r="O11" s="105">
        <v>0.99</v>
      </c>
      <c r="P11" s="99">
        <v>50</v>
      </c>
      <c r="Q11" s="99">
        <v>0</v>
      </c>
      <c r="R11" s="119"/>
    </row>
    <row r="12" spans="1:18" x14ac:dyDescent="0.25">
      <c r="A12" s="120"/>
      <c r="E12" s="119"/>
      <c r="G12" s="99">
        <v>0.56499999999999995</v>
      </c>
      <c r="H12" s="99">
        <v>0.36499999999999999</v>
      </c>
      <c r="I12" s="99">
        <v>0.25</v>
      </c>
      <c r="J12" s="101" t="s">
        <v>96</v>
      </c>
      <c r="L12" s="119"/>
      <c r="N12" s="99" t="s">
        <v>150</v>
      </c>
      <c r="O12" s="99" t="s">
        <v>196</v>
      </c>
      <c r="R12" s="119"/>
    </row>
    <row r="13" spans="1:18" x14ac:dyDescent="0.25">
      <c r="A13" s="99" t="s">
        <v>141</v>
      </c>
      <c r="B13" s="99" t="s">
        <v>142</v>
      </c>
      <c r="E13" s="119"/>
      <c r="G13" s="102" t="s">
        <v>165</v>
      </c>
      <c r="H13" s="103"/>
      <c r="I13" s="99">
        <f>ROUNDDOWN(G10/G12,0) * ROUNDDOWN(H10/H12,0) * ROUNDDOWN(I10/I12,0)</f>
        <v>20</v>
      </c>
      <c r="L13" s="119"/>
      <c r="N13" s="99">
        <v>4</v>
      </c>
      <c r="O13" s="99">
        <f>O11*(P11/1000)</f>
        <v>4.9500000000000002E-2</v>
      </c>
      <c r="P13" s="101" t="s">
        <v>172</v>
      </c>
      <c r="R13" s="119"/>
    </row>
    <row r="14" spans="1:18" ht="30" x14ac:dyDescent="0.25">
      <c r="A14" s="99">
        <f>A2+273</f>
        <v>316</v>
      </c>
      <c r="B14" s="99">
        <f>B2+273</f>
        <v>290</v>
      </c>
      <c r="C14" s="101" t="s">
        <v>173</v>
      </c>
      <c r="E14" s="119"/>
      <c r="G14" s="102" t="s">
        <v>166</v>
      </c>
      <c r="H14" s="103"/>
      <c r="I14" s="99">
        <f>ROUNDDOWN(G10/H12,0) * ROUNDDOWN(H10/G12,0) * ROUNDDOWN(I10/I12,0)</f>
        <v>15</v>
      </c>
      <c r="L14" s="119"/>
      <c r="N14" s="99" t="s">
        <v>200</v>
      </c>
      <c r="O14" s="99">
        <f>ROUNDDOWN(N13/O13,0)</f>
        <v>80</v>
      </c>
      <c r="R14" s="119"/>
    </row>
    <row r="15" spans="1:18" x14ac:dyDescent="0.25">
      <c r="A15" s="99" t="s">
        <v>143</v>
      </c>
      <c r="B15" s="99">
        <f>B7*A14/B14</f>
        <v>9915.8620689655181</v>
      </c>
      <c r="C15" s="101" t="s">
        <v>138</v>
      </c>
      <c r="E15" s="119"/>
      <c r="G15" s="102" t="s">
        <v>167</v>
      </c>
      <c r="H15" s="103"/>
      <c r="I15" s="99">
        <f>MAX(I13, I14)</f>
        <v>20</v>
      </c>
      <c r="L15" s="119"/>
      <c r="N15" s="120"/>
      <c r="R15" s="119"/>
    </row>
    <row r="16" spans="1:18" ht="30" customHeight="1" x14ac:dyDescent="0.25">
      <c r="A16" s="120"/>
      <c r="E16" s="119"/>
      <c r="G16" s="120"/>
      <c r="L16" s="119"/>
      <c r="N16" s="99" t="s">
        <v>193</v>
      </c>
      <c r="O16" s="99" t="s">
        <v>200</v>
      </c>
      <c r="R16" s="119"/>
    </row>
    <row r="17" spans="1:18" x14ac:dyDescent="0.25">
      <c r="A17" s="99"/>
      <c r="B17" s="99" t="s">
        <v>133</v>
      </c>
      <c r="E17" s="119"/>
      <c r="G17" s="120"/>
      <c r="I17" s="99" t="s">
        <v>168</v>
      </c>
      <c r="J17" s="99" t="s">
        <v>169</v>
      </c>
      <c r="K17" s="99" t="s">
        <v>170</v>
      </c>
      <c r="L17" s="119"/>
      <c r="N17" s="99">
        <f>MAX(P5, P6)</f>
        <v>80</v>
      </c>
      <c r="O17" s="99">
        <f>ROUNDDOWN(N13/O13,0)</f>
        <v>80</v>
      </c>
      <c r="R17" s="119"/>
    </row>
    <row r="18" spans="1:18" ht="30" x14ac:dyDescent="0.25">
      <c r="A18" s="99"/>
      <c r="B18" s="99">
        <f>20/60</f>
        <v>0.33333333333333331</v>
      </c>
      <c r="C18" s="101" t="s">
        <v>174</v>
      </c>
      <c r="E18" s="119"/>
      <c r="G18" s="120"/>
      <c r="I18" s="105">
        <f>0.5/1000</f>
        <v>5.0000000000000001E-4</v>
      </c>
      <c r="J18" s="99">
        <v>40</v>
      </c>
      <c r="K18" s="99">
        <f>I6/1000</f>
        <v>2.9199999999999999E-3</v>
      </c>
      <c r="L18" s="119" t="s">
        <v>172</v>
      </c>
      <c r="N18" s="99" t="s">
        <v>201</v>
      </c>
      <c r="O18" s="99">
        <f>MIN(N17, O17)</f>
        <v>80</v>
      </c>
      <c r="R18" s="119"/>
    </row>
    <row r="19" spans="1:18" x14ac:dyDescent="0.25">
      <c r="A19" s="99" t="s">
        <v>144</v>
      </c>
      <c r="B19" s="99">
        <f>B11/B18</f>
        <v>17095.260000000002</v>
      </c>
      <c r="C19" s="101" t="s">
        <v>149</v>
      </c>
      <c r="E19" s="119"/>
      <c r="G19" s="99" t="s">
        <v>167</v>
      </c>
      <c r="H19" s="99" t="s">
        <v>171</v>
      </c>
      <c r="I19" s="99" t="s">
        <v>157</v>
      </c>
      <c r="L19" s="119"/>
      <c r="N19" s="120"/>
      <c r="R19" s="119"/>
    </row>
    <row r="20" spans="1:18" ht="30" x14ac:dyDescent="0.25">
      <c r="A20" s="120"/>
      <c r="E20" s="119"/>
      <c r="G20" s="99">
        <f>I15</f>
        <v>20</v>
      </c>
      <c r="H20" s="99">
        <v>1.6E-2</v>
      </c>
      <c r="I20" s="99">
        <f>I18*J18+K18</f>
        <v>2.2919999999999999E-2</v>
      </c>
      <c r="J20" s="101" t="s">
        <v>172</v>
      </c>
      <c r="L20" s="119"/>
      <c r="N20" s="99" t="s">
        <v>201</v>
      </c>
      <c r="O20" s="99" t="s">
        <v>196</v>
      </c>
      <c r="R20" s="119"/>
    </row>
    <row r="21" spans="1:18" x14ac:dyDescent="0.25">
      <c r="A21" s="99"/>
      <c r="B21" s="99" t="s">
        <v>132</v>
      </c>
      <c r="E21" s="119"/>
      <c r="G21" s="102" t="s">
        <v>175</v>
      </c>
      <c r="H21" s="103"/>
      <c r="I21" s="99">
        <f>G20*I20+H20</f>
        <v>0.47439999999999999</v>
      </c>
      <c r="J21" s="101" t="s">
        <v>172</v>
      </c>
      <c r="L21" s="119"/>
      <c r="N21" s="99">
        <f>MIN(N17, O17)</f>
        <v>80</v>
      </c>
      <c r="O21" s="99">
        <f>O11*(P11/1000)</f>
        <v>4.9500000000000002E-2</v>
      </c>
      <c r="R21" s="119"/>
    </row>
    <row r="22" spans="1:18" ht="30" x14ac:dyDescent="0.25">
      <c r="A22" s="99"/>
      <c r="B22" s="99">
        <f>17/60</f>
        <v>0.28333333333333333</v>
      </c>
      <c r="C22" s="101" t="s">
        <v>174</v>
      </c>
      <c r="E22" s="119"/>
      <c r="G22" s="102" t="s">
        <v>176</v>
      </c>
      <c r="H22" s="103"/>
      <c r="I22" s="99">
        <f>G20*(I20-K18)</f>
        <v>0.4</v>
      </c>
      <c r="J22" s="101" t="s">
        <v>172</v>
      </c>
      <c r="L22" s="119"/>
      <c r="N22" s="99" t="s">
        <v>202</v>
      </c>
      <c r="O22" s="99">
        <f>N21*O21</f>
        <v>3.96</v>
      </c>
      <c r="P22" s="101" t="s">
        <v>172</v>
      </c>
      <c r="R22" s="119"/>
    </row>
    <row r="23" spans="1:18" x14ac:dyDescent="0.25">
      <c r="A23" s="99" t="s">
        <v>145</v>
      </c>
      <c r="B23" s="99">
        <f>B11/B22</f>
        <v>20112.070588235296</v>
      </c>
      <c r="C23" s="101" t="s">
        <v>149</v>
      </c>
      <c r="E23" s="119"/>
      <c r="G23" s="120"/>
      <c r="L23" s="119"/>
      <c r="N23" s="120"/>
      <c r="R23" s="119"/>
    </row>
    <row r="24" spans="1:18" ht="30" x14ac:dyDescent="0.2">
      <c r="A24" s="120"/>
      <c r="E24" s="127" t="s">
        <v>243</v>
      </c>
      <c r="G24" s="99" t="s">
        <v>177</v>
      </c>
      <c r="H24" s="99" t="s">
        <v>178</v>
      </c>
      <c r="I24" s="99" t="s">
        <v>179</v>
      </c>
      <c r="L24" s="119"/>
      <c r="N24" s="99" t="s">
        <v>201</v>
      </c>
      <c r="O24" s="99" t="s">
        <v>196</v>
      </c>
      <c r="P24" s="99" t="s">
        <v>197</v>
      </c>
      <c r="R24" s="119"/>
    </row>
    <row r="25" spans="1:18" x14ac:dyDescent="0.2">
      <c r="A25" s="99" t="s">
        <v>146</v>
      </c>
      <c r="B25" s="99">
        <f>B18+B22</f>
        <v>0.6166666666666667</v>
      </c>
      <c r="C25" s="121" t="s">
        <v>174</v>
      </c>
      <c r="D25" s="121"/>
      <c r="E25" s="128" t="s">
        <v>242</v>
      </c>
      <c r="G25" s="99">
        <v>3.5649999999999999</v>
      </c>
      <c r="H25" s="99">
        <v>2.1720000000000002</v>
      </c>
      <c r="I25" s="99">
        <v>1.35</v>
      </c>
      <c r="J25" s="101" t="s">
        <v>96</v>
      </c>
      <c r="L25" s="119"/>
      <c r="N25" s="99">
        <f>MIN(N17, O17)</f>
        <v>80</v>
      </c>
      <c r="O25" s="99">
        <f>O11*(P11/1000)</f>
        <v>4.9500000000000002E-2</v>
      </c>
      <c r="P25" s="99">
        <v>0</v>
      </c>
      <c r="R25" s="119"/>
    </row>
    <row r="26" spans="1:18" x14ac:dyDescent="0.25">
      <c r="G26" s="99" t="s">
        <v>163</v>
      </c>
      <c r="H26" s="99" t="s">
        <v>134</v>
      </c>
      <c r="I26" s="99" t="s">
        <v>164</v>
      </c>
      <c r="L26" s="119"/>
      <c r="N26" s="102" t="s">
        <v>203</v>
      </c>
      <c r="O26" s="103"/>
      <c r="P26" s="99">
        <f>N25*(O25-P25)</f>
        <v>3.96</v>
      </c>
      <c r="R26" s="119"/>
    </row>
    <row r="27" spans="1:18" x14ac:dyDescent="0.25">
      <c r="G27" s="99">
        <v>0.56499999999999995</v>
      </c>
      <c r="H27" s="99">
        <v>0.36499999999999999</v>
      </c>
      <c r="I27" s="99">
        <v>0.25</v>
      </c>
      <c r="J27" s="101" t="s">
        <v>96</v>
      </c>
      <c r="L27" s="119"/>
      <c r="N27" s="120"/>
      <c r="R27" s="119"/>
    </row>
    <row r="28" spans="1:18" x14ac:dyDescent="0.25">
      <c r="G28" s="102" t="s">
        <v>165</v>
      </c>
      <c r="H28" s="103"/>
      <c r="I28" s="99">
        <f>ROUNDDOWN(G25/G27,0) * ROUNDDOWN(H25/H27,0) * ROUNDDOWN(I25/I27,0)</f>
        <v>150</v>
      </c>
      <c r="L28" s="119"/>
      <c r="N28" s="99" t="s">
        <v>160</v>
      </c>
      <c r="O28" s="99" t="s">
        <v>161</v>
      </c>
      <c r="P28" s="99" t="s">
        <v>191</v>
      </c>
      <c r="R28" s="119"/>
    </row>
    <row r="29" spans="1:18" x14ac:dyDescent="0.25">
      <c r="G29" s="102" t="s">
        <v>166</v>
      </c>
      <c r="H29" s="103"/>
      <c r="I29" s="99">
        <f>ROUNDDOWN(G25/H27,0) * ROUNDDOWN(H25/G27,0) * ROUNDDOWN(I25/I27,0)</f>
        <v>135</v>
      </c>
      <c r="L29" s="119"/>
      <c r="N29" s="99">
        <v>3.74</v>
      </c>
      <c r="O29" s="99">
        <v>2.17</v>
      </c>
      <c r="P29" s="99">
        <f>N29*O29</f>
        <v>8.1158000000000001</v>
      </c>
      <c r="Q29" s="101" t="s">
        <v>195</v>
      </c>
      <c r="R29" s="119"/>
    </row>
    <row r="30" spans="1:18" x14ac:dyDescent="0.25">
      <c r="G30" s="102" t="s">
        <v>180</v>
      </c>
      <c r="H30" s="103"/>
      <c r="I30" s="99">
        <f>MAX(I28, I29)</f>
        <v>150</v>
      </c>
      <c r="L30" s="119"/>
      <c r="N30" s="99" t="s">
        <v>163</v>
      </c>
      <c r="O30" s="99" t="s">
        <v>134</v>
      </c>
      <c r="R30" s="119"/>
    </row>
    <row r="31" spans="1:18" x14ac:dyDescent="0.25">
      <c r="G31" s="120"/>
      <c r="L31" s="119"/>
      <c r="N31" s="99">
        <v>1.1000000000000001</v>
      </c>
      <c r="O31" s="99">
        <v>1.1000000000000001</v>
      </c>
      <c r="P31" s="101" t="s">
        <v>96</v>
      </c>
      <c r="R31" s="119"/>
    </row>
    <row r="32" spans="1:18" x14ac:dyDescent="0.25">
      <c r="G32" s="99" t="s">
        <v>177</v>
      </c>
      <c r="H32" s="99" t="s">
        <v>178</v>
      </c>
      <c r="L32" s="119"/>
      <c r="N32" s="99" t="s">
        <v>165</v>
      </c>
      <c r="O32" s="99">
        <f>ROUNDDOWN(N29/N31,0) * ROUNDDOWN(O29/O31,0)</f>
        <v>3</v>
      </c>
      <c r="R32" s="119"/>
    </row>
    <row r="33" spans="7:18" x14ac:dyDescent="0.25">
      <c r="G33" s="99">
        <v>3.5649999999999999</v>
      </c>
      <c r="H33" s="99">
        <v>2.1720000000000002</v>
      </c>
      <c r="L33" s="119"/>
      <c r="N33" s="99" t="s">
        <v>166</v>
      </c>
      <c r="O33" s="99">
        <f>ROUNDDOWN(N29/O31,0) * ROUNDDOWN(O29/N31,0)</f>
        <v>3</v>
      </c>
      <c r="R33" s="119"/>
    </row>
    <row r="34" spans="7:18" ht="30" x14ac:dyDescent="0.25">
      <c r="G34" s="99" t="s">
        <v>160</v>
      </c>
      <c r="H34" s="99" t="s">
        <v>161</v>
      </c>
      <c r="L34" s="119"/>
      <c r="N34" s="99" t="s">
        <v>204</v>
      </c>
      <c r="O34" s="99">
        <f>MAX(O32, O33)</f>
        <v>3</v>
      </c>
      <c r="R34" s="119"/>
    </row>
    <row r="35" spans="7:18" x14ac:dyDescent="0.25">
      <c r="G35" s="99">
        <v>1.2</v>
      </c>
      <c r="H35" s="99">
        <v>0.8</v>
      </c>
      <c r="L35" s="119"/>
      <c r="N35" s="120"/>
      <c r="R35" s="119"/>
    </row>
    <row r="36" spans="7:18" x14ac:dyDescent="0.25">
      <c r="G36" s="99" t="s">
        <v>165</v>
      </c>
      <c r="H36" s="99">
        <f>ROUNDDOWN(G33/G35,0) * ROUNDDOWN(H33/H35,0)</f>
        <v>4</v>
      </c>
      <c r="L36" s="119"/>
      <c r="N36" s="120"/>
      <c r="O36" s="99" t="s">
        <v>198</v>
      </c>
      <c r="P36" s="99" t="s">
        <v>199</v>
      </c>
      <c r="Q36" s="99" t="s">
        <v>210</v>
      </c>
      <c r="R36" s="119"/>
    </row>
    <row r="37" spans="7:18" x14ac:dyDescent="0.25">
      <c r="G37" s="99" t="s">
        <v>166</v>
      </c>
      <c r="H37" s="99">
        <f>ROUNDDOWN(G33/H35,0) * ROUNDDOWN(H33/G35,0)</f>
        <v>4</v>
      </c>
      <c r="L37" s="119"/>
      <c r="N37" s="120"/>
      <c r="O37" s="99">
        <v>0.99</v>
      </c>
      <c r="P37" s="99">
        <v>1290</v>
      </c>
      <c r="Q37" s="99">
        <v>0</v>
      </c>
      <c r="R37" s="119"/>
    </row>
    <row r="38" spans="7:18" ht="30" customHeight="1" x14ac:dyDescent="0.25">
      <c r="G38" s="99" t="s">
        <v>181</v>
      </c>
      <c r="H38" s="99">
        <f>MAX(H36, H37)</f>
        <v>4</v>
      </c>
      <c r="L38" s="119"/>
      <c r="N38" s="99" t="s">
        <v>150</v>
      </c>
      <c r="O38" s="106" t="s">
        <v>205</v>
      </c>
      <c r="R38" s="119"/>
    </row>
    <row r="39" spans="7:18" x14ac:dyDescent="0.25">
      <c r="G39" s="120"/>
      <c r="L39" s="119"/>
      <c r="N39" s="99">
        <v>4</v>
      </c>
      <c r="O39" s="99">
        <f>O37*(P37/1000)</f>
        <v>1.2771000000000001</v>
      </c>
      <c r="P39" s="101" t="s">
        <v>172</v>
      </c>
      <c r="R39" s="119"/>
    </row>
    <row r="40" spans="7:18" ht="30" x14ac:dyDescent="0.25">
      <c r="G40" s="99" t="s">
        <v>150</v>
      </c>
      <c r="H40" s="99" t="s">
        <v>157</v>
      </c>
      <c r="L40" s="119"/>
      <c r="N40" s="99" t="s">
        <v>206</v>
      </c>
      <c r="O40" s="99">
        <f>ROUNDDOWN(N39/O39,0)</f>
        <v>3</v>
      </c>
      <c r="R40" s="119"/>
    </row>
    <row r="41" spans="7:18" x14ac:dyDescent="0.25">
      <c r="G41" s="99">
        <v>3.91</v>
      </c>
      <c r="H41" s="99">
        <f>I18*J18+K18</f>
        <v>2.2919999999999999E-2</v>
      </c>
      <c r="I41" s="101" t="s">
        <v>172</v>
      </c>
      <c r="L41" s="119"/>
      <c r="N41" s="120"/>
      <c r="R41" s="119"/>
    </row>
    <row r="42" spans="7:18" ht="30" customHeight="1" x14ac:dyDescent="0.25">
      <c r="G42" s="99" t="s">
        <v>182</v>
      </c>
      <c r="H42" s="99">
        <f>ROUNDDOWN(G41/H41,0)</f>
        <v>170</v>
      </c>
      <c r="L42" s="119"/>
      <c r="N42" s="99" t="s">
        <v>207</v>
      </c>
      <c r="O42" s="99">
        <f>MIN(O34, O40)</f>
        <v>3</v>
      </c>
      <c r="R42" s="119"/>
    </row>
    <row r="43" spans="7:18" ht="30" x14ac:dyDescent="0.25">
      <c r="G43" s="120"/>
      <c r="L43" s="119"/>
      <c r="N43" s="99" t="s">
        <v>208</v>
      </c>
      <c r="O43" s="99">
        <f>O42*O39</f>
        <v>3.8313000000000006</v>
      </c>
      <c r="P43" s="101" t="s">
        <v>172</v>
      </c>
      <c r="R43" s="119"/>
    </row>
    <row r="44" spans="7:18" ht="30" x14ac:dyDescent="0.25">
      <c r="G44" s="99" t="s">
        <v>150</v>
      </c>
      <c r="H44" s="99" t="s">
        <v>175</v>
      </c>
      <c r="L44" s="119"/>
      <c r="N44" s="99" t="s">
        <v>209</v>
      </c>
      <c r="O44" s="99">
        <f>O42*(O39-Q37)</f>
        <v>3.8313000000000006</v>
      </c>
      <c r="P44" s="121" t="s">
        <v>172</v>
      </c>
      <c r="Q44" s="121"/>
      <c r="R44" s="131" t="s">
        <v>246</v>
      </c>
    </row>
    <row r="45" spans="7:18" x14ac:dyDescent="0.25">
      <c r="G45" s="99">
        <v>3.91</v>
      </c>
      <c r="H45" s="99">
        <f>G20*I20+H20</f>
        <v>0.47439999999999999</v>
      </c>
      <c r="L45" s="119"/>
    </row>
    <row r="46" spans="7:18" ht="30" x14ac:dyDescent="0.25">
      <c r="G46" s="99" t="s">
        <v>183</v>
      </c>
      <c r="H46" s="99">
        <f>ROUNDDOWN(G45/H45,0)</f>
        <v>8</v>
      </c>
      <c r="L46" s="119"/>
    </row>
    <row r="47" spans="7:18" x14ac:dyDescent="0.25">
      <c r="G47" s="120"/>
      <c r="L47" s="119"/>
    </row>
    <row r="48" spans="7:18" ht="30" x14ac:dyDescent="0.25">
      <c r="G48" s="99" t="s">
        <v>180</v>
      </c>
      <c r="H48" s="99" t="s">
        <v>182</v>
      </c>
      <c r="L48" s="119"/>
    </row>
    <row r="49" spans="7:12" x14ac:dyDescent="0.25">
      <c r="G49" s="99">
        <f>MAX(I28, I29)</f>
        <v>150</v>
      </c>
      <c r="H49" s="99">
        <f>ROUNDDOWN(G41/H41,0)</f>
        <v>170</v>
      </c>
      <c r="L49" s="119"/>
    </row>
    <row r="50" spans="7:12" x14ac:dyDescent="0.25">
      <c r="G50" s="99" t="s">
        <v>184</v>
      </c>
      <c r="H50" s="99">
        <f>MIN(G49, H49)</f>
        <v>150</v>
      </c>
      <c r="L50" s="119"/>
    </row>
    <row r="51" spans="7:12" x14ac:dyDescent="0.25">
      <c r="G51" s="120"/>
      <c r="L51" s="119"/>
    </row>
    <row r="52" spans="7:12" ht="30" x14ac:dyDescent="0.25">
      <c r="G52" s="99" t="s">
        <v>181</v>
      </c>
      <c r="H52" s="99" t="s">
        <v>183</v>
      </c>
      <c r="L52" s="119"/>
    </row>
    <row r="53" spans="7:12" x14ac:dyDescent="0.25">
      <c r="G53" s="99">
        <f>MAX(H36, H37)</f>
        <v>4</v>
      </c>
      <c r="H53" s="99">
        <f>ROUNDDOWN(G45/H45,0)</f>
        <v>8</v>
      </c>
      <c r="L53" s="119"/>
    </row>
    <row r="54" spans="7:12" ht="30" x14ac:dyDescent="0.25">
      <c r="G54" s="99" t="s">
        <v>185</v>
      </c>
      <c r="H54" s="99">
        <f>MIN(G53, H53)</f>
        <v>4</v>
      </c>
      <c r="L54" s="119"/>
    </row>
    <row r="55" spans="7:12" x14ac:dyDescent="0.25">
      <c r="G55" s="120"/>
      <c r="L55" s="119"/>
    </row>
    <row r="56" spans="7:12" x14ac:dyDescent="0.25">
      <c r="G56" s="99" t="s">
        <v>184</v>
      </c>
      <c r="H56" s="99" t="s">
        <v>157</v>
      </c>
      <c r="L56" s="119"/>
    </row>
    <row r="57" spans="7:12" x14ac:dyDescent="0.25">
      <c r="G57" s="99">
        <f>MIN(G49, H49)</f>
        <v>150</v>
      </c>
      <c r="H57" s="99">
        <f>I18*J18+K18</f>
        <v>2.2919999999999999E-2</v>
      </c>
      <c r="L57" s="119"/>
    </row>
    <row r="58" spans="7:12" ht="30" x14ac:dyDescent="0.25">
      <c r="G58" s="99" t="s">
        <v>187</v>
      </c>
      <c r="H58" s="99">
        <f>G57*H57</f>
        <v>3.4379999999999997</v>
      </c>
      <c r="I58" s="101" t="s">
        <v>172</v>
      </c>
      <c r="L58" s="119"/>
    </row>
    <row r="59" spans="7:12" x14ac:dyDescent="0.25">
      <c r="G59" s="120"/>
      <c r="L59" s="119"/>
    </row>
    <row r="60" spans="7:12" x14ac:dyDescent="0.25">
      <c r="G60" s="99" t="s">
        <v>184</v>
      </c>
      <c r="H60" s="99" t="s">
        <v>157</v>
      </c>
      <c r="I60" s="99" t="s">
        <v>170</v>
      </c>
      <c r="L60" s="119"/>
    </row>
    <row r="61" spans="7:12" x14ac:dyDescent="0.25">
      <c r="G61" s="99">
        <f>MIN(G49, H49)</f>
        <v>150</v>
      </c>
      <c r="H61" s="99">
        <f>I18*J18+K18</f>
        <v>2.2919999999999999E-2</v>
      </c>
      <c r="I61" s="99">
        <f>I6/1000</f>
        <v>2.9199999999999999E-3</v>
      </c>
      <c r="L61" s="119"/>
    </row>
    <row r="62" spans="7:12" x14ac:dyDescent="0.25">
      <c r="G62" s="102" t="s">
        <v>188</v>
      </c>
      <c r="H62" s="103"/>
      <c r="I62" s="99">
        <f>G61*(H61-I61)</f>
        <v>3</v>
      </c>
      <c r="J62" s="101" t="s">
        <v>172</v>
      </c>
      <c r="L62" s="119"/>
    </row>
    <row r="63" spans="7:12" x14ac:dyDescent="0.25">
      <c r="G63" s="120"/>
      <c r="L63" s="119"/>
    </row>
    <row r="64" spans="7:12" ht="30" x14ac:dyDescent="0.25">
      <c r="G64" s="99" t="s">
        <v>185</v>
      </c>
      <c r="H64" s="99" t="s">
        <v>175</v>
      </c>
      <c r="L64" s="119"/>
    </row>
    <row r="65" spans="7:12" x14ac:dyDescent="0.25">
      <c r="G65" s="99">
        <f>MIN(G53, H53)</f>
        <v>4</v>
      </c>
      <c r="H65" s="99">
        <f>G20*I20+H20</f>
        <v>0.47439999999999999</v>
      </c>
      <c r="L65" s="119"/>
    </row>
    <row r="66" spans="7:12" ht="30" x14ac:dyDescent="0.25">
      <c r="G66" s="99" t="s">
        <v>189</v>
      </c>
      <c r="H66" s="99">
        <f>G65*H65</f>
        <v>1.8976</v>
      </c>
      <c r="I66" s="101" t="s">
        <v>172</v>
      </c>
      <c r="L66" s="119"/>
    </row>
    <row r="67" spans="7:12" x14ac:dyDescent="0.25">
      <c r="G67" s="120"/>
      <c r="L67" s="119"/>
    </row>
    <row r="68" spans="7:12" ht="30" x14ac:dyDescent="0.25">
      <c r="G68" s="99" t="s">
        <v>185</v>
      </c>
      <c r="H68" s="99" t="s">
        <v>176</v>
      </c>
      <c r="L68" s="119"/>
    </row>
    <row r="69" spans="7:12" ht="63.75" x14ac:dyDescent="0.25">
      <c r="G69" s="99">
        <f>MIN(G53, H53)</f>
        <v>4</v>
      </c>
      <c r="H69" s="99">
        <f>G20*(I20-K18)</f>
        <v>0.4</v>
      </c>
      <c r="L69" s="129" t="s">
        <v>244</v>
      </c>
    </row>
    <row r="70" spans="7:12" ht="30" x14ac:dyDescent="0.25">
      <c r="G70" s="99" t="s">
        <v>190</v>
      </c>
      <c r="H70" s="99">
        <f>G69*H69</f>
        <v>1.6</v>
      </c>
      <c r="I70" s="121" t="s">
        <v>172</v>
      </c>
      <c r="J70" s="121"/>
      <c r="K70" s="121"/>
      <c r="L70" s="130" t="s">
        <v>245</v>
      </c>
    </row>
  </sheetData>
  <mergeCells count="17">
    <mergeCell ref="G30:H30"/>
    <mergeCell ref="G62:H62"/>
    <mergeCell ref="N5:O5"/>
    <mergeCell ref="N6:O6"/>
    <mergeCell ref="N7:O7"/>
    <mergeCell ref="N8:O8"/>
    <mergeCell ref="N26:O26"/>
    <mergeCell ref="G21:H21"/>
    <mergeCell ref="G22:H22"/>
    <mergeCell ref="G28:H28"/>
    <mergeCell ref="G29:H29"/>
    <mergeCell ref="A3:B3"/>
    <mergeCell ref="G3:H3"/>
    <mergeCell ref="G7:I7"/>
    <mergeCell ref="G13:H13"/>
    <mergeCell ref="G14:H14"/>
    <mergeCell ref="G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9BE7-656F-4637-BC6E-C474BEB529F1}">
  <dimension ref="A1:Z33"/>
  <sheetViews>
    <sheetView workbookViewId="0">
      <selection activeCell="E31" sqref="E31"/>
    </sheetView>
  </sheetViews>
  <sheetFormatPr defaultRowHeight="15" x14ac:dyDescent="0.25"/>
  <cols>
    <col min="1" max="16384" width="9.140625" style="111"/>
  </cols>
  <sheetData>
    <row r="1" spans="1:26" x14ac:dyDescent="0.25">
      <c r="A1" s="93" t="s">
        <v>212</v>
      </c>
      <c r="B1" s="112"/>
      <c r="C1" s="112"/>
      <c r="D1" s="112"/>
      <c r="E1" s="112"/>
      <c r="F1" s="93" t="s">
        <v>150</v>
      </c>
      <c r="G1" s="93">
        <v>0.47439999999999999</v>
      </c>
      <c r="H1" s="125"/>
      <c r="J1" s="93" t="s">
        <v>212</v>
      </c>
      <c r="K1" s="112"/>
      <c r="L1" s="112"/>
      <c r="M1" s="112"/>
      <c r="N1" s="112"/>
      <c r="O1" s="93" t="s">
        <v>150</v>
      </c>
      <c r="P1" s="93">
        <v>4.9500000000000002E-2</v>
      </c>
      <c r="Q1" s="125"/>
      <c r="S1" s="93" t="s">
        <v>212</v>
      </c>
      <c r="T1" s="112"/>
      <c r="U1" s="112"/>
      <c r="V1" s="112"/>
      <c r="W1" s="112"/>
      <c r="X1" s="93" t="s">
        <v>150</v>
      </c>
      <c r="Y1" s="93">
        <f>1.2771</f>
        <v>1.2770999999999999</v>
      </c>
      <c r="Z1" s="125"/>
    </row>
    <row r="2" spans="1:26" x14ac:dyDescent="0.25">
      <c r="A2" s="93">
        <v>2</v>
      </c>
      <c r="B2" s="94"/>
      <c r="C2" s="94"/>
      <c r="D2" s="94"/>
      <c r="E2" s="94"/>
      <c r="F2" s="93" t="s">
        <v>234</v>
      </c>
      <c r="G2" s="93">
        <f>(3600*G1)/B33</f>
        <v>38.755487376622675</v>
      </c>
      <c r="H2" s="114" t="s">
        <v>172</v>
      </c>
      <c r="J2" s="93">
        <v>2</v>
      </c>
      <c r="K2" s="94"/>
      <c r="L2" s="94"/>
      <c r="M2" s="94"/>
      <c r="N2" s="94"/>
      <c r="O2" s="93" t="s">
        <v>234</v>
      </c>
      <c r="P2" s="93">
        <f>(3600*P1)/K33</f>
        <v>4.9287554567784193</v>
      </c>
      <c r="Q2" s="114" t="s">
        <v>172</v>
      </c>
      <c r="S2" s="93">
        <v>10</v>
      </c>
      <c r="T2" s="94"/>
      <c r="U2" s="94"/>
      <c r="V2" s="94"/>
      <c r="W2" s="94"/>
      <c r="X2" s="93" t="s">
        <v>234</v>
      </c>
      <c r="Y2" s="93">
        <f>(3600*Y1)/T30</f>
        <v>72.081194325947536</v>
      </c>
      <c r="Z2" s="114" t="s">
        <v>172</v>
      </c>
    </row>
    <row r="3" spans="1:26" x14ac:dyDescent="0.25">
      <c r="A3" s="113"/>
      <c r="B3" s="94"/>
      <c r="C3" s="94"/>
      <c r="D3" s="94"/>
      <c r="E3" s="94"/>
      <c r="F3" s="94"/>
      <c r="G3" s="94"/>
      <c r="H3" s="114"/>
      <c r="J3" s="113"/>
      <c r="K3" s="94"/>
      <c r="L3" s="94"/>
      <c r="M3" s="94"/>
      <c r="N3" s="94"/>
      <c r="O3" s="94"/>
      <c r="P3" s="94"/>
      <c r="Q3" s="114"/>
      <c r="S3" s="113"/>
      <c r="T3" s="94"/>
      <c r="U3" s="94"/>
      <c r="V3" s="94"/>
      <c r="W3" s="94"/>
      <c r="X3" s="94"/>
      <c r="Y3" s="94"/>
      <c r="Z3" s="114"/>
    </row>
    <row r="4" spans="1:26" x14ac:dyDescent="0.25">
      <c r="A4" s="93" t="s">
        <v>213</v>
      </c>
      <c r="B4" s="93" t="s">
        <v>214</v>
      </c>
      <c r="C4" s="93" t="s">
        <v>215</v>
      </c>
      <c r="D4" s="93" t="s">
        <v>216</v>
      </c>
      <c r="E4" s="94"/>
      <c r="F4" s="93" t="s">
        <v>131</v>
      </c>
      <c r="G4" s="93">
        <v>0.8</v>
      </c>
      <c r="H4" s="114"/>
      <c r="J4" s="93" t="s">
        <v>213</v>
      </c>
      <c r="K4" s="93" t="s">
        <v>214</v>
      </c>
      <c r="L4" s="93" t="s">
        <v>215</v>
      </c>
      <c r="M4" s="93" t="s">
        <v>216</v>
      </c>
      <c r="N4" s="94"/>
      <c r="O4" s="93" t="s">
        <v>131</v>
      </c>
      <c r="P4" s="93">
        <v>0.8</v>
      </c>
      <c r="Q4" s="114"/>
      <c r="S4" s="93" t="s">
        <v>239</v>
      </c>
      <c r="T4" s="93" t="s">
        <v>240</v>
      </c>
      <c r="U4" s="93" t="s">
        <v>215</v>
      </c>
      <c r="V4" s="93" t="s">
        <v>216</v>
      </c>
      <c r="W4" s="94"/>
      <c r="X4" s="93" t="s">
        <v>131</v>
      </c>
      <c r="Y4" s="93">
        <v>0.8</v>
      </c>
      <c r="Z4" s="114"/>
    </row>
    <row r="5" spans="1:26" x14ac:dyDescent="0.25">
      <c r="A5" s="93">
        <v>1.35</v>
      </c>
      <c r="B5" s="93">
        <v>0.2</v>
      </c>
      <c r="C5" s="93">
        <v>1</v>
      </c>
      <c r="D5" s="93">
        <v>1</v>
      </c>
      <c r="E5" s="94"/>
      <c r="F5" s="93" t="s">
        <v>235</v>
      </c>
      <c r="G5" s="93">
        <f>G4*G2</f>
        <v>31.00438990129814</v>
      </c>
      <c r="H5" s="114" t="s">
        <v>172</v>
      </c>
      <c r="J5" s="93">
        <v>0.68</v>
      </c>
      <c r="K5" s="93">
        <v>0.23</v>
      </c>
      <c r="L5" s="93">
        <v>1</v>
      </c>
      <c r="M5" s="93">
        <v>1</v>
      </c>
      <c r="N5" s="94"/>
      <c r="O5" s="93" t="s">
        <v>235</v>
      </c>
      <c r="P5" s="93">
        <f>P4*P2</f>
        <v>3.9430043654227358</v>
      </c>
      <c r="Q5" s="114" t="s">
        <v>172</v>
      </c>
      <c r="S5" s="93">
        <v>1.2</v>
      </c>
      <c r="T5" s="93">
        <v>0.51</v>
      </c>
      <c r="U5" s="93">
        <v>1</v>
      </c>
      <c r="V5" s="93">
        <v>1</v>
      </c>
      <c r="W5" s="94"/>
      <c r="X5" s="93" t="s">
        <v>235</v>
      </c>
      <c r="Y5" s="93">
        <f>Y4*Y2</f>
        <v>57.66495546075803</v>
      </c>
      <c r="Z5" s="114" t="s">
        <v>172</v>
      </c>
    </row>
    <row r="6" spans="1:26" x14ac:dyDescent="0.25">
      <c r="A6" s="95" t="s">
        <v>217</v>
      </c>
      <c r="B6" s="95"/>
      <c r="C6" s="95"/>
      <c r="D6" s="93">
        <f>(A5/B5)+C5+D5</f>
        <v>8.75</v>
      </c>
      <c r="E6" s="94"/>
      <c r="F6" s="94"/>
      <c r="G6" s="94"/>
      <c r="H6" s="114"/>
      <c r="J6" s="95" t="s">
        <v>217</v>
      </c>
      <c r="K6" s="95"/>
      <c r="L6" s="95"/>
      <c r="M6" s="93">
        <f>(J5/K5)+L5+M5</f>
        <v>4.9565217391304355</v>
      </c>
      <c r="N6" s="94"/>
      <c r="O6" s="94"/>
      <c r="P6" s="94"/>
      <c r="Q6" s="114"/>
      <c r="S6" s="95" t="s">
        <v>217</v>
      </c>
      <c r="T6" s="95"/>
      <c r="U6" s="95"/>
      <c r="V6" s="93">
        <f>S5/T5+U5+V5</f>
        <v>4.3529411764705888</v>
      </c>
      <c r="W6" s="94"/>
      <c r="X6" s="94"/>
      <c r="Y6" s="94"/>
      <c r="Z6" s="114"/>
    </row>
    <row r="7" spans="1:26" x14ac:dyDescent="0.25">
      <c r="A7" s="113"/>
      <c r="B7" s="94"/>
      <c r="C7" s="94"/>
      <c r="D7" s="94"/>
      <c r="E7" s="94"/>
      <c r="F7" s="93" t="s">
        <v>211</v>
      </c>
      <c r="G7" s="93">
        <v>1.8976</v>
      </c>
      <c r="H7" s="114"/>
      <c r="J7" s="113"/>
      <c r="K7" s="94"/>
      <c r="L7" s="94"/>
      <c r="M7" s="94"/>
      <c r="N7" s="94"/>
      <c r="O7" s="93" t="s">
        <v>211</v>
      </c>
      <c r="P7" s="93">
        <v>3.96</v>
      </c>
      <c r="Q7" s="114"/>
      <c r="S7" s="113"/>
      <c r="T7" s="94"/>
      <c r="U7" s="94"/>
      <c r="V7" s="94"/>
      <c r="W7" s="94"/>
      <c r="X7" s="93" t="s">
        <v>211</v>
      </c>
      <c r="Y7" s="93">
        <v>3.8313000000000001</v>
      </c>
      <c r="Z7" s="114"/>
    </row>
    <row r="8" spans="1:26" x14ac:dyDescent="0.25">
      <c r="A8" s="93" t="s">
        <v>218</v>
      </c>
      <c r="B8" s="93">
        <v>3</v>
      </c>
      <c r="C8" s="94"/>
      <c r="D8" s="93" t="s">
        <v>238</v>
      </c>
      <c r="E8" s="94"/>
      <c r="F8" s="93" t="s">
        <v>236</v>
      </c>
      <c r="G8" s="93">
        <f>G7/G5</f>
        <v>6.1204236111111102E-2</v>
      </c>
      <c r="H8" s="114" t="s">
        <v>174</v>
      </c>
      <c r="J8" s="93" t="s">
        <v>218</v>
      </c>
      <c r="K8" s="93">
        <v>3</v>
      </c>
      <c r="L8" s="94"/>
      <c r="M8" s="93" t="s">
        <v>238</v>
      </c>
      <c r="N8" s="94"/>
      <c r="O8" s="93" t="s">
        <v>236</v>
      </c>
      <c r="P8" s="93">
        <f>P7/P5</f>
        <v>1.0043103260869564</v>
      </c>
      <c r="Q8" s="114" t="s">
        <v>174</v>
      </c>
      <c r="S8" s="93" t="s">
        <v>134</v>
      </c>
      <c r="T8" s="93" t="s">
        <v>241</v>
      </c>
      <c r="U8" s="93" t="s">
        <v>215</v>
      </c>
      <c r="V8" s="93" t="s">
        <v>216</v>
      </c>
      <c r="W8" s="94"/>
      <c r="X8" s="93" t="s">
        <v>236</v>
      </c>
      <c r="Y8" s="93">
        <f>Y7/Y5</f>
        <v>6.6440699891067531E-2</v>
      </c>
      <c r="Z8" s="114" t="s">
        <v>174</v>
      </c>
    </row>
    <row r="9" spans="1:26" x14ac:dyDescent="0.25">
      <c r="A9" s="113"/>
      <c r="B9" s="94"/>
      <c r="C9" s="94"/>
      <c r="D9" s="93">
        <f>0.75+0.005*13</f>
        <v>0.81499999999999995</v>
      </c>
      <c r="E9" s="94"/>
      <c r="F9" s="93" t="s">
        <v>237</v>
      </c>
      <c r="G9" s="93">
        <f>2*G8</f>
        <v>0.1224084722222222</v>
      </c>
      <c r="H9" s="114" t="s">
        <v>174</v>
      </c>
      <c r="J9" s="113"/>
      <c r="K9" s="94"/>
      <c r="L9" s="94"/>
      <c r="M9" s="93">
        <f>0.75+0.005*13</f>
        <v>0.81499999999999995</v>
      </c>
      <c r="N9" s="94"/>
      <c r="O9" s="93" t="s">
        <v>237</v>
      </c>
      <c r="P9" s="93">
        <f>2*P8</f>
        <v>2.0086206521739127</v>
      </c>
      <c r="Q9" s="114" t="s">
        <v>174</v>
      </c>
      <c r="S9" s="93">
        <v>70</v>
      </c>
      <c r="T9" s="93">
        <v>0.6</v>
      </c>
      <c r="U9" s="93">
        <v>1</v>
      </c>
      <c r="V9" s="93">
        <v>1</v>
      </c>
      <c r="W9" s="94"/>
      <c r="X9" s="93" t="s">
        <v>237</v>
      </c>
      <c r="Y9" s="93">
        <f>2*Y8</f>
        <v>0.13288139978213506</v>
      </c>
      <c r="Z9" s="114" t="s">
        <v>174</v>
      </c>
    </row>
    <row r="10" spans="1:26" x14ac:dyDescent="0.25">
      <c r="A10" s="93" t="s">
        <v>219</v>
      </c>
      <c r="B10" s="93" t="s">
        <v>220</v>
      </c>
      <c r="C10" s="94"/>
      <c r="D10" s="94"/>
      <c r="E10" s="94"/>
      <c r="F10" s="94"/>
      <c r="G10" s="94"/>
      <c r="H10" s="114"/>
      <c r="J10" s="93" t="s">
        <v>219</v>
      </c>
      <c r="K10" s="93" t="s">
        <v>220</v>
      </c>
      <c r="L10" s="94"/>
      <c r="M10" s="94"/>
      <c r="N10" s="94"/>
      <c r="O10" s="94"/>
      <c r="P10" s="94"/>
      <c r="Q10" s="114"/>
      <c r="S10" s="96" t="s">
        <v>218</v>
      </c>
      <c r="T10" s="98"/>
      <c r="U10" s="97"/>
      <c r="V10" s="93">
        <f>(60*S9)/(360*T9)+U9+V9</f>
        <v>21.444444444444443</v>
      </c>
      <c r="W10" s="94"/>
      <c r="X10" s="94"/>
      <c r="Y10" s="94"/>
      <c r="Z10" s="114"/>
    </row>
    <row r="11" spans="1:26" x14ac:dyDescent="0.25">
      <c r="A11" s="93">
        <v>5</v>
      </c>
      <c r="B11" s="93">
        <v>3.19</v>
      </c>
      <c r="C11" s="94"/>
      <c r="D11" s="94"/>
      <c r="E11" s="94"/>
      <c r="F11" s="94"/>
      <c r="G11" s="94"/>
      <c r="H11" s="114"/>
      <c r="J11" s="93">
        <v>5</v>
      </c>
      <c r="K11" s="93">
        <v>2.77</v>
      </c>
      <c r="L11" s="94"/>
      <c r="M11" s="94"/>
      <c r="N11" s="94"/>
      <c r="O11" s="94"/>
      <c r="P11" s="94"/>
      <c r="Q11" s="114"/>
      <c r="S11" s="113"/>
      <c r="T11" s="94"/>
      <c r="U11" s="94"/>
      <c r="V11" s="94"/>
      <c r="W11" s="94"/>
      <c r="X11" s="94"/>
      <c r="Y11" s="94"/>
      <c r="Z11" s="114"/>
    </row>
    <row r="12" spans="1:26" x14ac:dyDescent="0.25">
      <c r="A12" s="93" t="s">
        <v>221</v>
      </c>
      <c r="B12" s="93">
        <f>ROUND(A11/B11,2)</f>
        <v>1.57</v>
      </c>
      <c r="C12" s="94"/>
      <c r="D12" s="94"/>
      <c r="E12" s="94"/>
      <c r="F12" s="94"/>
      <c r="G12" s="94"/>
      <c r="H12" s="114"/>
      <c r="J12" s="93" t="s">
        <v>221</v>
      </c>
      <c r="K12" s="93">
        <f>ROUND(J11/K11,2)</f>
        <v>1.81</v>
      </c>
      <c r="L12" s="94"/>
      <c r="M12" s="94"/>
      <c r="N12" s="94"/>
      <c r="O12" s="94"/>
      <c r="P12" s="94"/>
      <c r="Q12" s="114"/>
      <c r="S12" s="93" t="s">
        <v>223</v>
      </c>
      <c r="T12" s="93" t="s">
        <v>224</v>
      </c>
      <c r="U12" s="93" t="s">
        <v>215</v>
      </c>
      <c r="V12" s="93" t="s">
        <v>216</v>
      </c>
      <c r="W12" s="94"/>
      <c r="X12" s="94"/>
      <c r="Y12" s="94"/>
      <c r="Z12" s="114"/>
    </row>
    <row r="13" spans="1:26" x14ac:dyDescent="0.25">
      <c r="A13" s="113"/>
      <c r="B13" s="94"/>
      <c r="C13" s="94"/>
      <c r="D13" s="94"/>
      <c r="E13" s="94"/>
      <c r="F13" s="94"/>
      <c r="G13" s="94"/>
      <c r="H13" s="114"/>
      <c r="J13" s="113"/>
      <c r="K13" s="94"/>
      <c r="L13" s="94"/>
      <c r="M13" s="94"/>
      <c r="N13" s="94"/>
      <c r="O13" s="94"/>
      <c r="P13" s="94"/>
      <c r="Q13" s="114"/>
      <c r="S13" s="93">
        <v>1.2</v>
      </c>
      <c r="T13" s="93">
        <v>0.51</v>
      </c>
      <c r="U13" s="93">
        <v>1</v>
      </c>
      <c r="V13" s="93">
        <v>1</v>
      </c>
      <c r="W13" s="94"/>
      <c r="X13" s="94"/>
      <c r="Y13" s="94"/>
      <c r="Z13" s="114"/>
    </row>
    <row r="14" spans="1:26" x14ac:dyDescent="0.25">
      <c r="A14" s="93" t="s">
        <v>222</v>
      </c>
      <c r="B14" s="93">
        <v>3</v>
      </c>
      <c r="C14" s="94"/>
      <c r="D14" s="94"/>
      <c r="E14" s="94"/>
      <c r="F14" s="94"/>
      <c r="G14" s="94"/>
      <c r="H14" s="114"/>
      <c r="J14" s="93" t="s">
        <v>222</v>
      </c>
      <c r="K14" s="93">
        <v>3</v>
      </c>
      <c r="L14" s="94"/>
      <c r="M14" s="94"/>
      <c r="N14" s="94"/>
      <c r="O14" s="94"/>
      <c r="P14" s="94"/>
      <c r="Q14" s="114"/>
      <c r="S14" s="96" t="s">
        <v>221</v>
      </c>
      <c r="T14" s="98"/>
      <c r="U14" s="97"/>
      <c r="V14" s="93">
        <f>S13/T13+U13+V13</f>
        <v>4.3529411764705888</v>
      </c>
      <c r="W14" s="94"/>
      <c r="X14" s="94"/>
      <c r="Y14" s="94"/>
      <c r="Z14" s="114"/>
    </row>
    <row r="15" spans="1:26" x14ac:dyDescent="0.25">
      <c r="A15" s="113"/>
      <c r="B15" s="94"/>
      <c r="C15" s="94"/>
      <c r="D15" s="94"/>
      <c r="E15" s="94"/>
      <c r="F15" s="94"/>
      <c r="G15" s="94"/>
      <c r="H15" s="114"/>
      <c r="J15" s="113"/>
      <c r="K15" s="94"/>
      <c r="L15" s="94"/>
      <c r="M15" s="94"/>
      <c r="N15" s="94"/>
      <c r="O15" s="94"/>
      <c r="P15" s="94"/>
      <c r="Q15" s="114"/>
      <c r="S15" s="113"/>
      <c r="T15" s="94"/>
      <c r="U15" s="94"/>
      <c r="V15" s="94"/>
      <c r="W15" s="94"/>
      <c r="X15" s="94"/>
      <c r="Y15" s="94"/>
      <c r="Z15" s="114"/>
    </row>
    <row r="16" spans="1:26" x14ac:dyDescent="0.25">
      <c r="A16" s="93" t="s">
        <v>223</v>
      </c>
      <c r="B16" s="93" t="s">
        <v>224</v>
      </c>
      <c r="C16" s="94"/>
      <c r="D16" s="94"/>
      <c r="E16" s="94"/>
      <c r="F16" s="94"/>
      <c r="G16" s="94"/>
      <c r="H16" s="114"/>
      <c r="J16" s="93" t="s">
        <v>223</v>
      </c>
      <c r="K16" s="93" t="s">
        <v>224</v>
      </c>
      <c r="L16" s="94"/>
      <c r="M16" s="94"/>
      <c r="N16" s="94"/>
      <c r="O16" s="94"/>
      <c r="P16" s="94"/>
      <c r="Q16" s="114"/>
      <c r="S16" s="93" t="s">
        <v>222</v>
      </c>
      <c r="T16" s="93">
        <v>10</v>
      </c>
      <c r="U16" s="94"/>
      <c r="V16" s="94"/>
      <c r="W16" s="94"/>
      <c r="X16" s="94"/>
      <c r="Y16" s="94"/>
      <c r="Z16" s="114"/>
    </row>
    <row r="17" spans="1:26" x14ac:dyDescent="0.25">
      <c r="A17" s="93">
        <v>1.35</v>
      </c>
      <c r="B17" s="93">
        <v>0.2</v>
      </c>
      <c r="C17" s="94"/>
      <c r="D17" s="94"/>
      <c r="E17" s="94"/>
      <c r="F17" s="94"/>
      <c r="G17" s="94"/>
      <c r="H17" s="114"/>
      <c r="J17" s="93">
        <v>1.35</v>
      </c>
      <c r="K17" s="93">
        <v>0.23</v>
      </c>
      <c r="L17" s="94"/>
      <c r="M17" s="94"/>
      <c r="N17" s="94"/>
      <c r="O17" s="94"/>
      <c r="P17" s="94"/>
      <c r="Q17" s="114"/>
      <c r="S17" s="113"/>
      <c r="T17" s="94"/>
      <c r="U17" s="94"/>
      <c r="V17" s="94"/>
      <c r="W17" s="94"/>
      <c r="X17" s="94"/>
      <c r="Y17" s="94"/>
      <c r="Z17" s="114"/>
    </row>
    <row r="18" spans="1:26" x14ac:dyDescent="0.25">
      <c r="A18" s="93" t="s">
        <v>225</v>
      </c>
      <c r="B18" s="93">
        <f>A17/B17+C5+D5</f>
        <v>8.75</v>
      </c>
      <c r="C18" s="94"/>
      <c r="D18" s="94"/>
      <c r="E18" s="94"/>
      <c r="F18" s="94"/>
      <c r="G18" s="94"/>
      <c r="H18" s="114"/>
      <c r="J18" s="93" t="s">
        <v>225</v>
      </c>
      <c r="K18" s="93">
        <f>J17/K17+L5+M5</f>
        <v>7.8695652173913047</v>
      </c>
      <c r="L18" s="94"/>
      <c r="M18" s="94"/>
      <c r="N18" s="94"/>
      <c r="O18" s="94"/>
      <c r="P18" s="94"/>
      <c r="Q18" s="114"/>
      <c r="S18" s="93" t="s">
        <v>239</v>
      </c>
      <c r="T18" s="93" t="s">
        <v>240</v>
      </c>
      <c r="U18" s="93" t="s">
        <v>215</v>
      </c>
      <c r="V18" s="93" t="s">
        <v>216</v>
      </c>
      <c r="W18" s="94"/>
      <c r="X18" s="94"/>
      <c r="Y18" s="94"/>
      <c r="Z18" s="114"/>
    </row>
    <row r="19" spans="1:26" x14ac:dyDescent="0.25">
      <c r="A19" s="113"/>
      <c r="B19" s="94"/>
      <c r="C19" s="94"/>
      <c r="D19" s="94"/>
      <c r="E19" s="94"/>
      <c r="F19" s="94"/>
      <c r="G19" s="94"/>
      <c r="H19" s="114"/>
      <c r="J19" s="113"/>
      <c r="K19" s="94"/>
      <c r="L19" s="94"/>
      <c r="M19" s="94"/>
      <c r="N19" s="94"/>
      <c r="O19" s="94"/>
      <c r="P19" s="94"/>
      <c r="Q19" s="114"/>
      <c r="S19" s="93">
        <v>0.68</v>
      </c>
      <c r="T19" s="93">
        <v>0.51</v>
      </c>
      <c r="U19" s="93">
        <v>1</v>
      </c>
      <c r="V19" s="93">
        <v>1</v>
      </c>
      <c r="W19" s="94"/>
      <c r="X19" s="94"/>
      <c r="Y19" s="94"/>
      <c r="Z19" s="114"/>
    </row>
    <row r="20" spans="1:26" x14ac:dyDescent="0.25">
      <c r="A20" s="93" t="s">
        <v>226</v>
      </c>
      <c r="B20" s="93">
        <v>2</v>
      </c>
      <c r="C20" s="94"/>
      <c r="D20" s="94"/>
      <c r="E20" s="94"/>
      <c r="F20" s="94"/>
      <c r="G20" s="94"/>
      <c r="H20" s="114"/>
      <c r="J20" s="93" t="s">
        <v>226</v>
      </c>
      <c r="K20" s="93">
        <v>2</v>
      </c>
      <c r="L20" s="94"/>
      <c r="M20" s="94"/>
      <c r="N20" s="94"/>
      <c r="O20" s="94"/>
      <c r="P20" s="94"/>
      <c r="Q20" s="114"/>
      <c r="S20" s="96" t="s">
        <v>225</v>
      </c>
      <c r="T20" s="98"/>
      <c r="U20" s="97"/>
      <c r="V20" s="93">
        <f>S19/T19+U19+V19</f>
        <v>3.3333333333333335</v>
      </c>
      <c r="W20" s="94"/>
      <c r="X20" s="94"/>
      <c r="Y20" s="94"/>
      <c r="Z20" s="114"/>
    </row>
    <row r="21" spans="1:26" x14ac:dyDescent="0.25">
      <c r="A21" s="113"/>
      <c r="B21" s="94"/>
      <c r="C21" s="94"/>
      <c r="D21" s="94"/>
      <c r="E21" s="94"/>
      <c r="F21" s="94"/>
      <c r="G21" s="94"/>
      <c r="H21" s="114"/>
      <c r="J21" s="113"/>
      <c r="K21" s="94"/>
      <c r="L21" s="94"/>
      <c r="M21" s="94"/>
      <c r="N21" s="94"/>
      <c r="O21" s="94"/>
      <c r="P21" s="94"/>
      <c r="Q21" s="114"/>
      <c r="S21" s="113"/>
      <c r="T21" s="94"/>
      <c r="U21" s="94"/>
      <c r="V21" s="94"/>
      <c r="W21" s="94"/>
      <c r="X21" s="94"/>
      <c r="Y21" s="94"/>
      <c r="Z21" s="114"/>
    </row>
    <row r="22" spans="1:26" x14ac:dyDescent="0.25">
      <c r="A22" s="93" t="s">
        <v>227</v>
      </c>
      <c r="B22" s="93">
        <f>(A5/B5)+C5+D5</f>
        <v>8.75</v>
      </c>
      <c r="C22" s="94"/>
      <c r="D22" s="94"/>
      <c r="E22" s="94"/>
      <c r="F22" s="94"/>
      <c r="G22" s="94"/>
      <c r="H22" s="114"/>
      <c r="J22" s="93" t="s">
        <v>227</v>
      </c>
      <c r="K22" s="93">
        <f>(J5/K5)+L5+M5</f>
        <v>4.9565217391304355</v>
      </c>
      <c r="L22" s="94"/>
      <c r="M22" s="94"/>
      <c r="N22" s="94"/>
      <c r="O22" s="94"/>
      <c r="P22" s="94"/>
      <c r="Q22" s="114"/>
      <c r="S22" s="93" t="s">
        <v>134</v>
      </c>
      <c r="T22" s="93" t="s">
        <v>241</v>
      </c>
      <c r="U22" s="93" t="s">
        <v>215</v>
      </c>
      <c r="V22" s="93" t="s">
        <v>216</v>
      </c>
      <c r="W22" s="94"/>
      <c r="X22" s="94"/>
      <c r="Y22" s="94"/>
      <c r="Z22" s="114"/>
    </row>
    <row r="23" spans="1:26" x14ac:dyDescent="0.25">
      <c r="A23" s="113"/>
      <c r="B23" s="94"/>
      <c r="C23" s="94"/>
      <c r="D23" s="94"/>
      <c r="E23" s="94"/>
      <c r="F23" s="94"/>
      <c r="G23" s="94"/>
      <c r="H23" s="114"/>
      <c r="J23" s="113"/>
      <c r="K23" s="94"/>
      <c r="L23" s="94"/>
      <c r="M23" s="94"/>
      <c r="N23" s="94"/>
      <c r="O23" s="94"/>
      <c r="P23" s="94"/>
      <c r="Q23" s="114"/>
      <c r="S23" s="93">
        <v>70</v>
      </c>
      <c r="T23" s="93">
        <v>0.6</v>
      </c>
      <c r="U23" s="93">
        <v>1</v>
      </c>
      <c r="V23" s="93">
        <v>1</v>
      </c>
      <c r="W23" s="94"/>
      <c r="X23" s="94"/>
      <c r="Y23" s="94"/>
      <c r="Z23" s="114"/>
    </row>
    <row r="24" spans="1:26" x14ac:dyDescent="0.25">
      <c r="A24" s="93" t="s">
        <v>228</v>
      </c>
      <c r="B24" s="93">
        <v>3</v>
      </c>
      <c r="C24" s="94"/>
      <c r="D24" s="94"/>
      <c r="E24" s="94"/>
      <c r="F24" s="94"/>
      <c r="G24" s="94"/>
      <c r="H24" s="114"/>
      <c r="J24" s="93" t="s">
        <v>228</v>
      </c>
      <c r="K24" s="93">
        <v>3</v>
      </c>
      <c r="L24" s="94"/>
      <c r="M24" s="94"/>
      <c r="N24" s="94"/>
      <c r="O24" s="94"/>
      <c r="P24" s="94"/>
      <c r="Q24" s="114"/>
      <c r="S24" s="95" t="s">
        <v>226</v>
      </c>
      <c r="T24" s="95"/>
      <c r="U24" s="95"/>
      <c r="V24" s="93">
        <f>(60*S23)/(360*T23)+U23+V23</f>
        <v>21.444444444444443</v>
      </c>
      <c r="W24" s="94"/>
      <c r="X24" s="94"/>
      <c r="Y24" s="94"/>
      <c r="Z24" s="114"/>
    </row>
    <row r="25" spans="1:26" x14ac:dyDescent="0.25">
      <c r="A25" s="113"/>
      <c r="B25" s="94"/>
      <c r="C25" s="94"/>
      <c r="D25" s="94"/>
      <c r="E25" s="94"/>
      <c r="F25" s="94"/>
      <c r="G25" s="94"/>
      <c r="H25" s="114"/>
      <c r="J25" s="113"/>
      <c r="K25" s="94"/>
      <c r="L25" s="94"/>
      <c r="M25" s="94"/>
      <c r="N25" s="94"/>
      <c r="O25" s="94"/>
      <c r="P25" s="94"/>
      <c r="Q25" s="114"/>
      <c r="S25" s="113"/>
      <c r="T25" s="94"/>
      <c r="U25" s="94"/>
      <c r="V25" s="94"/>
      <c r="W25" s="94"/>
      <c r="X25" s="94"/>
      <c r="Y25" s="94"/>
      <c r="Z25" s="114"/>
    </row>
    <row r="26" spans="1:26" x14ac:dyDescent="0.25">
      <c r="A26" s="93" t="s">
        <v>229</v>
      </c>
      <c r="B26" s="93">
        <v>3.33</v>
      </c>
      <c r="C26" s="94"/>
      <c r="D26" s="94"/>
      <c r="E26" s="94"/>
      <c r="F26" s="94"/>
      <c r="G26" s="94"/>
      <c r="H26" s="114"/>
      <c r="J26" s="93" t="s">
        <v>229</v>
      </c>
      <c r="K26" s="93">
        <v>5.55</v>
      </c>
      <c r="L26" s="94"/>
      <c r="M26" s="94"/>
      <c r="N26" s="94"/>
      <c r="O26" s="94"/>
      <c r="P26" s="94"/>
      <c r="Q26" s="114"/>
      <c r="S26" s="93" t="s">
        <v>223</v>
      </c>
      <c r="T26" s="93" t="s">
        <v>224</v>
      </c>
      <c r="U26" s="93" t="s">
        <v>215</v>
      </c>
      <c r="V26" s="93" t="s">
        <v>216</v>
      </c>
      <c r="W26" s="94"/>
      <c r="X26" s="94"/>
      <c r="Y26" s="94"/>
      <c r="Z26" s="114"/>
    </row>
    <row r="27" spans="1:26" x14ac:dyDescent="0.25">
      <c r="A27" s="93" t="s">
        <v>230</v>
      </c>
      <c r="B27" s="93">
        <f>ROUND(A11/B26,2)</f>
        <v>1.5</v>
      </c>
      <c r="C27" s="94"/>
      <c r="D27" s="94"/>
      <c r="E27" s="94"/>
      <c r="F27" s="94"/>
      <c r="G27" s="94"/>
      <c r="H27" s="114"/>
      <c r="J27" s="93" t="s">
        <v>230</v>
      </c>
      <c r="K27" s="93">
        <f>ROUND(J11/K26,2)</f>
        <v>0.9</v>
      </c>
      <c r="L27" s="94"/>
      <c r="M27" s="94"/>
      <c r="N27" s="94"/>
      <c r="O27" s="94"/>
      <c r="P27" s="94"/>
      <c r="Q27" s="114"/>
      <c r="S27" s="93">
        <v>0.68</v>
      </c>
      <c r="T27" s="93">
        <v>0.51</v>
      </c>
      <c r="U27" s="93">
        <v>1</v>
      </c>
      <c r="V27" s="93">
        <v>1</v>
      </c>
      <c r="W27" s="94"/>
      <c r="X27" s="94"/>
      <c r="Y27" s="94"/>
      <c r="Z27" s="114"/>
    </row>
    <row r="28" spans="1:26" x14ac:dyDescent="0.25">
      <c r="A28" s="113"/>
      <c r="B28" s="94"/>
      <c r="C28" s="94"/>
      <c r="D28" s="94"/>
      <c r="E28" s="94"/>
      <c r="F28" s="94"/>
      <c r="G28" s="94"/>
      <c r="H28" s="114"/>
      <c r="J28" s="113"/>
      <c r="K28" s="94"/>
      <c r="L28" s="94"/>
      <c r="M28" s="94"/>
      <c r="N28" s="94"/>
      <c r="O28" s="94"/>
      <c r="P28" s="94"/>
      <c r="Q28" s="114"/>
      <c r="S28" s="96" t="s">
        <v>227</v>
      </c>
      <c r="T28" s="98"/>
      <c r="U28" s="97"/>
      <c r="V28" s="93">
        <f>S27/T27+U27+V27</f>
        <v>3.3333333333333335</v>
      </c>
      <c r="W28" s="94"/>
      <c r="X28" s="94"/>
      <c r="Y28" s="94"/>
      <c r="Z28" s="114"/>
    </row>
    <row r="29" spans="1:26" x14ac:dyDescent="0.25">
      <c r="A29" s="93" t="s">
        <v>231</v>
      </c>
      <c r="B29" s="93">
        <v>3</v>
      </c>
      <c r="C29" s="94"/>
      <c r="D29" s="94"/>
      <c r="E29" s="94"/>
      <c r="F29" s="94"/>
      <c r="G29" s="94"/>
      <c r="H29" s="114"/>
      <c r="J29" s="93" t="s">
        <v>231</v>
      </c>
      <c r="K29" s="93">
        <v>3</v>
      </c>
      <c r="L29" s="94"/>
      <c r="M29" s="94"/>
      <c r="N29" s="94"/>
      <c r="O29" s="94"/>
      <c r="P29" s="94"/>
      <c r="Q29" s="114"/>
      <c r="S29" s="113"/>
      <c r="T29" s="94"/>
      <c r="U29" s="94"/>
      <c r="V29" s="94"/>
      <c r="W29" s="94"/>
      <c r="X29" s="94"/>
      <c r="Y29" s="94"/>
      <c r="Z29" s="114"/>
    </row>
    <row r="30" spans="1:26" x14ac:dyDescent="0.25">
      <c r="A30" s="113"/>
      <c r="B30" s="94"/>
      <c r="C30" s="94"/>
      <c r="D30" s="94"/>
      <c r="E30" s="94"/>
      <c r="F30" s="94"/>
      <c r="G30" s="94"/>
      <c r="H30" s="114"/>
      <c r="J30" s="113"/>
      <c r="K30" s="94"/>
      <c r="L30" s="94"/>
      <c r="M30" s="94"/>
      <c r="N30" s="94"/>
      <c r="O30" s="94"/>
      <c r="P30" s="94"/>
      <c r="Q30" s="114"/>
      <c r="S30" s="93" t="s">
        <v>233</v>
      </c>
      <c r="T30" s="93">
        <f>V31*(S2+V6+V10+V14+T16+V20+V24+V28)</f>
        <v>63.783071895424818</v>
      </c>
      <c r="U30" s="94"/>
      <c r="V30" s="93" t="s">
        <v>238</v>
      </c>
      <c r="W30" s="94"/>
      <c r="X30" s="94"/>
      <c r="Y30" s="94"/>
      <c r="Z30" s="114"/>
    </row>
    <row r="31" spans="1:26" x14ac:dyDescent="0.25">
      <c r="A31" s="93" t="s">
        <v>232</v>
      </c>
      <c r="B31" s="93">
        <f>A17/B17+C5+D5</f>
        <v>8.75</v>
      </c>
      <c r="C31" s="94"/>
      <c r="D31" s="94"/>
      <c r="E31" s="94"/>
      <c r="F31" s="94"/>
      <c r="G31" s="94"/>
      <c r="H31" s="114"/>
      <c r="J31" s="93" t="s">
        <v>232</v>
      </c>
      <c r="K31" s="93">
        <f>J17/K17+L5+M5</f>
        <v>7.8695652173913047</v>
      </c>
      <c r="L31" s="94"/>
      <c r="M31" s="94"/>
      <c r="N31" s="94"/>
      <c r="O31" s="94"/>
      <c r="P31" s="94"/>
      <c r="Q31" s="114"/>
      <c r="S31" s="113"/>
      <c r="T31" s="94"/>
      <c r="U31" s="94"/>
      <c r="V31" s="93">
        <f>0.75+0.005*13</f>
        <v>0.81499999999999995</v>
      </c>
      <c r="W31" s="94"/>
      <c r="X31" s="94"/>
      <c r="Y31" s="94"/>
      <c r="Z31" s="114"/>
    </row>
    <row r="32" spans="1:26" x14ac:dyDescent="0.25">
      <c r="A32" s="113"/>
      <c r="B32" s="94"/>
      <c r="C32" s="94"/>
      <c r="D32" s="94"/>
      <c r="E32" s="94"/>
      <c r="F32" s="94"/>
      <c r="G32" s="94"/>
      <c r="H32" s="114"/>
      <c r="J32" s="113"/>
      <c r="K32" s="94"/>
      <c r="L32" s="94"/>
      <c r="M32" s="94"/>
      <c r="N32" s="94"/>
      <c r="O32" s="94"/>
      <c r="P32" s="94"/>
      <c r="Q32" s="114"/>
      <c r="S32" s="113"/>
      <c r="T32" s="94"/>
      <c r="U32" s="94"/>
      <c r="V32" s="94"/>
      <c r="W32" s="94"/>
      <c r="X32" s="94"/>
      <c r="Y32" s="94"/>
      <c r="Z32" s="114"/>
    </row>
    <row r="33" spans="1:26" x14ac:dyDescent="0.25">
      <c r="A33" s="93" t="s">
        <v>233</v>
      </c>
      <c r="B33" s="93">
        <f>D9*(A2+D6+B8+B12+B14+B18+B20+B22+B24+B27+B29+B31)</f>
        <v>44.067049999999995</v>
      </c>
      <c r="C33" s="115"/>
      <c r="D33" s="115"/>
      <c r="E33" s="115"/>
      <c r="F33" s="115"/>
      <c r="G33" s="115"/>
      <c r="H33" s="124" t="s">
        <v>74</v>
      </c>
      <c r="J33" s="93" t="s">
        <v>233</v>
      </c>
      <c r="K33" s="93">
        <f>M9*(J2+M6+K8+K12+K14+K18+K20+K22+K24+K27+K29+K31)</f>
        <v>36.155171739130431</v>
      </c>
      <c r="L33" s="115"/>
      <c r="M33" s="115"/>
      <c r="N33" s="115"/>
      <c r="O33" s="115"/>
      <c r="P33" s="115"/>
      <c r="Q33" s="124">
        <v>4042</v>
      </c>
      <c r="S33" s="126"/>
      <c r="T33" s="115"/>
      <c r="U33" s="115"/>
      <c r="V33" s="115"/>
      <c r="W33" s="115"/>
      <c r="X33" s="115"/>
      <c r="Y33" s="115"/>
      <c r="Z33" s="35" t="s">
        <v>75</v>
      </c>
    </row>
  </sheetData>
  <mergeCells count="8">
    <mergeCell ref="S24:U24"/>
    <mergeCell ref="S28:U28"/>
    <mergeCell ref="A6:C6"/>
    <mergeCell ref="J6:L6"/>
    <mergeCell ref="S6:U6"/>
    <mergeCell ref="S10:U10"/>
    <mergeCell ref="S14:U14"/>
    <mergeCell ref="S20:U20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1A5-2C27-401A-9734-37E65864D5E4}">
  <dimension ref="A1:S7"/>
  <sheetViews>
    <sheetView workbookViewId="0">
      <selection activeCell="F25" sqref="F25"/>
    </sheetView>
  </sheetViews>
  <sheetFormatPr defaultRowHeight="15" x14ac:dyDescent="0.25"/>
  <cols>
    <col min="1" max="1" width="9.140625" style="133"/>
    <col min="2" max="2" width="11.5703125" style="133" bestFit="1" customWidth="1"/>
    <col min="3" max="3" width="9.140625" style="133"/>
    <col min="4" max="4" width="11.5703125" style="133" bestFit="1" customWidth="1"/>
    <col min="5" max="16384" width="9.140625" style="133"/>
  </cols>
  <sheetData>
    <row r="1" spans="1:19" x14ac:dyDescent="0.25">
      <c r="A1" s="132" t="s">
        <v>247</v>
      </c>
      <c r="B1" s="132" t="s">
        <v>248</v>
      </c>
      <c r="C1" s="132" t="s">
        <v>249</v>
      </c>
      <c r="D1" s="132" t="s">
        <v>250</v>
      </c>
      <c r="F1" s="132" t="s">
        <v>247</v>
      </c>
      <c r="G1" s="132" t="s">
        <v>248</v>
      </c>
      <c r="H1" s="132" t="s">
        <v>249</v>
      </c>
      <c r="I1" s="132" t="s">
        <v>250</v>
      </c>
      <c r="K1" s="132" t="s">
        <v>247</v>
      </c>
      <c r="L1" s="132" t="s">
        <v>248</v>
      </c>
      <c r="M1" s="132" t="s">
        <v>249</v>
      </c>
      <c r="N1" s="132" t="s">
        <v>250</v>
      </c>
      <c r="P1" s="132" t="s">
        <v>247</v>
      </c>
      <c r="Q1" s="132" t="s">
        <v>248</v>
      </c>
      <c r="R1" s="132" t="s">
        <v>249</v>
      </c>
      <c r="S1" s="132" t="s">
        <v>250</v>
      </c>
    </row>
    <row r="2" spans="1:19" x14ac:dyDescent="0.25">
      <c r="A2" s="132">
        <v>12</v>
      </c>
      <c r="B2" s="132">
        <v>50</v>
      </c>
      <c r="C2" s="132">
        <v>114</v>
      </c>
      <c r="D2" s="132">
        <v>0.61666699999999997</v>
      </c>
      <c r="F2" s="132">
        <v>8</v>
      </c>
      <c r="G2" s="132">
        <v>30</v>
      </c>
      <c r="H2" s="132">
        <v>24</v>
      </c>
      <c r="I2" s="93">
        <v>0.122408</v>
      </c>
      <c r="K2" s="132">
        <v>12</v>
      </c>
      <c r="L2" s="132">
        <v>50</v>
      </c>
      <c r="M2" s="132">
        <v>86</v>
      </c>
      <c r="N2" s="93">
        <f>2.008621</f>
        <v>2.0086210000000002</v>
      </c>
      <c r="P2" s="132">
        <v>12</v>
      </c>
      <c r="Q2" s="132">
        <v>50</v>
      </c>
      <c r="R2" s="132">
        <v>86</v>
      </c>
      <c r="S2" s="93">
        <v>0.132881</v>
      </c>
    </row>
    <row r="3" spans="1:19" x14ac:dyDescent="0.25">
      <c r="A3" s="134" t="s">
        <v>251</v>
      </c>
      <c r="B3" s="135"/>
      <c r="C3" s="136"/>
      <c r="D3" s="132">
        <f>ROUNDDOWN((A2*B2)/(2*C2+B2*D2),0)</f>
        <v>2</v>
      </c>
      <c r="F3" s="134" t="s">
        <v>251</v>
      </c>
      <c r="G3" s="135"/>
      <c r="H3" s="136"/>
      <c r="I3" s="132">
        <f>ROUNDDOWN((F2*G2)/(2*H2+G2*I2),0)</f>
        <v>4</v>
      </c>
      <c r="K3" s="134" t="s">
        <v>251</v>
      </c>
      <c r="L3" s="135"/>
      <c r="M3" s="136"/>
      <c r="N3" s="132">
        <f>ROUNDDOWN((K2*L2)/(2*M2+L2*N2),0)</f>
        <v>2</v>
      </c>
      <c r="P3" s="134" t="s">
        <v>251</v>
      </c>
      <c r="Q3" s="135"/>
      <c r="R3" s="136"/>
      <c r="S3" s="132">
        <f>ROUNDDOWN((P2*Q2)/(2*R2+Q2*S2),0)</f>
        <v>3</v>
      </c>
    </row>
    <row r="5" spans="1:19" x14ac:dyDescent="0.25">
      <c r="A5" s="132" t="s">
        <v>252</v>
      </c>
      <c r="B5" s="132">
        <v>5.6984199999999996</v>
      </c>
      <c r="C5" s="133" t="s">
        <v>255</v>
      </c>
      <c r="F5" s="132" t="s">
        <v>252</v>
      </c>
      <c r="G5" s="132">
        <v>1.8976</v>
      </c>
      <c r="H5" s="133" t="s">
        <v>255</v>
      </c>
      <c r="K5" s="132" t="s">
        <v>252</v>
      </c>
      <c r="L5" s="132">
        <v>3.96</v>
      </c>
      <c r="M5" s="133" t="s">
        <v>255</v>
      </c>
      <c r="P5" s="132" t="s">
        <v>252</v>
      </c>
      <c r="Q5" s="132">
        <v>3.8313000000000001</v>
      </c>
      <c r="R5" s="133" t="s">
        <v>255</v>
      </c>
    </row>
    <row r="6" spans="1:19" x14ac:dyDescent="0.25">
      <c r="A6" s="132" t="s">
        <v>253</v>
      </c>
      <c r="B6" s="132">
        <f>B5*D3/A2</f>
        <v>0.94973666666666656</v>
      </c>
      <c r="C6" s="133" t="s">
        <v>172</v>
      </c>
      <c r="F6" s="132" t="s">
        <v>253</v>
      </c>
      <c r="G6" s="132">
        <f>G5*I3/F2</f>
        <v>0.94879999999999998</v>
      </c>
      <c r="H6" s="133" t="s">
        <v>172</v>
      </c>
      <c r="K6" s="132" t="s">
        <v>253</v>
      </c>
      <c r="L6" s="132">
        <f>L5*N3/K2</f>
        <v>0.66</v>
      </c>
      <c r="M6" s="133" t="s">
        <v>172</v>
      </c>
      <c r="P6" s="132" t="s">
        <v>253</v>
      </c>
      <c r="Q6" s="132">
        <f>Q5*S3/P2</f>
        <v>0.95782500000000004</v>
      </c>
      <c r="R6" s="133" t="s">
        <v>172</v>
      </c>
    </row>
    <row r="7" spans="1:19" x14ac:dyDescent="0.25">
      <c r="A7" s="132" t="s">
        <v>254</v>
      </c>
      <c r="B7" s="132">
        <f>B6*C2</f>
        <v>108.26997999999999</v>
      </c>
      <c r="C7" s="133" t="s">
        <v>256</v>
      </c>
      <c r="F7" s="132" t="s">
        <v>254</v>
      </c>
      <c r="G7" s="132">
        <f>G6*H2</f>
        <v>22.7712</v>
      </c>
      <c r="H7" s="133" t="s">
        <v>256</v>
      </c>
      <c r="K7" s="132" t="s">
        <v>254</v>
      </c>
      <c r="L7" s="132">
        <f>L6*M2</f>
        <v>56.760000000000005</v>
      </c>
      <c r="M7" s="133" t="s">
        <v>256</v>
      </c>
      <c r="P7" s="132" t="s">
        <v>254</v>
      </c>
      <c r="Q7" s="132">
        <f>Q6*R2</f>
        <v>82.372950000000003</v>
      </c>
      <c r="R7" s="133" t="s">
        <v>256</v>
      </c>
    </row>
  </sheetData>
  <mergeCells count="4">
    <mergeCell ref="A3:C3"/>
    <mergeCell ref="F3:H3"/>
    <mergeCell ref="K3:M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Рассчет</vt:lpstr>
      <vt:lpstr>Рассчет2</vt:lpstr>
      <vt:lpstr>Рассчет3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Улугбек Сабиров</dc:creator>
  <cp:lastModifiedBy>Улугбек Сабиров</cp:lastModifiedBy>
  <dcterms:created xsi:type="dcterms:W3CDTF">2024-12-20T04:03:27Z</dcterms:created>
  <dcterms:modified xsi:type="dcterms:W3CDTF">2024-12-22T20:06:55Z</dcterms:modified>
</cp:coreProperties>
</file>