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1d2d3a4484b17b/Ambiente de Trabalho/ISEP_1ºano/2ºSemestre/LAPR2/SprintD/"/>
    </mc:Choice>
  </mc:AlternateContent>
  <xr:revisionPtr revIDLastSave="196" documentId="13_ncr:1_{C839915A-840B-4437-8EFB-9BC4A8837DB6}" xr6:coauthVersionLast="47" xr6:coauthVersionMax="47" xr10:uidLastSave="{A03BF895-67C9-400A-B011-26E93EA83C53}"/>
  <bookViews>
    <workbookView xWindow="-120" yWindow="-120" windowWidth="20730" windowHeight="11160" tabRatio="500" firstSheet="5" activeTab="6" xr2:uid="{00000000-000D-0000-FFFF-FFFF00000000}"/>
  </bookViews>
  <sheets>
    <sheet name="owid-covid-data" sheetId="1" r:id="rId1"/>
    <sheet name="1.1-SLRDaily_NewCases" sheetId="4" r:id="rId2"/>
    <sheet name="1.2-SLRDaily_NewDeaths" sheetId="5" r:id="rId3"/>
    <sheet name="1.3-SLRWeekly_NewCases" sheetId="16" r:id="rId4"/>
    <sheet name="1.4-SLRWeekly_NewDeaths" sheetId="17" r:id="rId5"/>
    <sheet name="2.1-MLRDaily_NewCases" sheetId="6" r:id="rId6"/>
    <sheet name="2.2-MLRDaily_NewDeaths" sheetId="8" r:id="rId7"/>
    <sheet name="2.3-MLRWeekly_NewCases" sheetId="18" r:id="rId8"/>
    <sheet name="2.4-MLRWeekly_NewDeaths" sheetId="19" r:id="rId9"/>
    <sheet name="3.1-MLRDaily_NewCases" sheetId="7" r:id="rId10"/>
    <sheet name="3.2-MLRDaily_NewDeaths" sheetId="14" r:id="rId11"/>
    <sheet name="3.3-MLRWeekly_NewCases" sheetId="20" r:id="rId12"/>
    <sheet name="3.4-MLRWeekly_NewDeaths" sheetId="21" r:id="rId13"/>
  </sheets>
  <definedNames>
    <definedName name="_xlnm._FilterDatabase" localSheetId="0" hidden="1">'owid-covid-data'!$A$1:$I$1163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K80" i="4" l="1"/>
  <c r="N2" i="1"/>
  <c r="L2" i="1"/>
  <c r="D337" i="6"/>
  <c r="D289" i="6"/>
  <c r="G212" i="6"/>
  <c r="H205" i="6"/>
  <c r="G211" i="6"/>
  <c r="D212" i="6"/>
  <c r="U211" i="6"/>
  <c r="P220" i="17"/>
  <c r="P219" i="17"/>
  <c r="P213" i="17"/>
  <c r="P212" i="17"/>
  <c r="P796" i="5"/>
  <c r="P795" i="5"/>
  <c r="P789" i="5"/>
  <c r="P788" i="5"/>
  <c r="P220" i="16"/>
  <c r="P219" i="16"/>
  <c r="P213" i="16"/>
  <c r="P212" i="16"/>
  <c r="P796" i="4"/>
  <c r="P795" i="4"/>
  <c r="P789" i="4"/>
  <c r="P788" i="4"/>
  <c r="F788" i="4"/>
  <c r="G385" i="4"/>
  <c r="L80" i="4"/>
  <c r="K82" i="4" s="1"/>
  <c r="P66" i="4"/>
  <c r="N62" i="4"/>
  <c r="L61" i="4"/>
  <c r="C231" i="21"/>
  <c r="O231" i="21"/>
  <c r="O213" i="21"/>
  <c r="C213" i="21"/>
  <c r="C195" i="21"/>
  <c r="O195" i="21"/>
  <c r="C177" i="21"/>
  <c r="O177" i="21"/>
  <c r="C231" i="20"/>
  <c r="O231" i="20"/>
  <c r="C213" i="20"/>
  <c r="O213" i="20"/>
  <c r="C195" i="20"/>
  <c r="O195" i="20"/>
  <c r="O177" i="20"/>
  <c r="C177" i="20"/>
  <c r="N339" i="14"/>
  <c r="B339" i="14"/>
  <c r="B321" i="14"/>
  <c r="N321" i="14"/>
  <c r="N303" i="14"/>
  <c r="B303" i="14"/>
  <c r="B285" i="14"/>
  <c r="N285" i="14"/>
  <c r="B339" i="7"/>
  <c r="N339" i="7"/>
  <c r="N321" i="7"/>
  <c r="B321" i="7"/>
  <c r="B303" i="7"/>
  <c r="N303" i="7"/>
  <c r="N285" i="7"/>
  <c r="B285" i="7"/>
  <c r="N318" i="19"/>
  <c r="B318" i="19"/>
  <c r="B300" i="19"/>
  <c r="N300" i="19"/>
  <c r="N282" i="19"/>
  <c r="B282" i="19"/>
  <c r="B264" i="19"/>
  <c r="N264" i="19"/>
  <c r="N246" i="19"/>
  <c r="B246" i="19"/>
  <c r="B228" i="19"/>
  <c r="N228" i="19"/>
  <c r="B210" i="19"/>
  <c r="N210" i="19"/>
  <c r="B318" i="18"/>
  <c r="N318" i="18"/>
  <c r="B300" i="18"/>
  <c r="N300" i="18"/>
  <c r="B282" i="18"/>
  <c r="N282" i="18"/>
  <c r="B264" i="18"/>
  <c r="N264" i="18"/>
  <c r="N246" i="18"/>
  <c r="B246" i="18"/>
  <c r="B228" i="18"/>
  <c r="N228" i="18"/>
  <c r="N210" i="18"/>
  <c r="B210" i="18"/>
  <c r="B429" i="8"/>
  <c r="P429" i="8"/>
  <c r="B411" i="8"/>
  <c r="P411" i="8"/>
  <c r="P393" i="8"/>
  <c r="B393" i="8"/>
  <c r="B375" i="8"/>
  <c r="P375" i="8"/>
  <c r="P357" i="8"/>
  <c r="B357" i="8"/>
  <c r="B339" i="8"/>
  <c r="P339" i="8"/>
  <c r="P321" i="8"/>
  <c r="B321" i="8"/>
  <c r="B429" i="6"/>
  <c r="P429" i="6"/>
  <c r="P411" i="6"/>
  <c r="B411" i="6"/>
  <c r="B393" i="6"/>
  <c r="P393" i="6"/>
  <c r="B375" i="6"/>
  <c r="P375" i="6"/>
  <c r="P339" i="6"/>
  <c r="B339" i="6"/>
  <c r="P321" i="6"/>
  <c r="B321" i="6"/>
  <c r="B278" i="17"/>
  <c r="N278" i="17"/>
  <c r="N260" i="17"/>
  <c r="B260" i="17"/>
  <c r="B278" i="16"/>
  <c r="N278" i="16"/>
  <c r="N260" i="16"/>
  <c r="B260" i="16"/>
  <c r="B854" i="5"/>
  <c r="N854" i="5"/>
  <c r="N836" i="5"/>
  <c r="B836" i="5"/>
  <c r="B854" i="4"/>
  <c r="N854" i="4"/>
  <c r="N836" i="4"/>
  <c r="B836" i="4"/>
  <c r="I8" i="19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5" i="21"/>
  <c r="F4" i="21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B39" i="20"/>
  <c r="B39" i="21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5" i="19"/>
  <c r="I20" i="19"/>
  <c r="I19" i="19"/>
  <c r="I18" i="19"/>
  <c r="I17" i="19"/>
  <c r="I16" i="19"/>
  <c r="I15" i="19"/>
  <c r="I14" i="19"/>
  <c r="I13" i="19"/>
  <c r="I12" i="19"/>
  <c r="I11" i="19"/>
  <c r="I10" i="19"/>
  <c r="I9" i="19"/>
  <c r="I7" i="19"/>
  <c r="I6" i="19"/>
  <c r="I4" i="19"/>
  <c r="I20" i="18"/>
  <c r="I19" i="18"/>
  <c r="I18" i="18"/>
  <c r="I17" i="18"/>
  <c r="I16" i="18"/>
  <c r="I15" i="18"/>
  <c r="I14" i="18"/>
  <c r="I13" i="18"/>
  <c r="I12" i="18"/>
  <c r="I11" i="18"/>
  <c r="I10" i="18"/>
  <c r="I9" i="18"/>
  <c r="I8" i="18"/>
  <c r="I7" i="18"/>
  <c r="I6" i="18"/>
  <c r="I5" i="18"/>
  <c r="I4" i="18"/>
  <c r="G512" i="5"/>
  <c r="G82" i="17"/>
  <c r="G81" i="17"/>
  <c r="G80" i="17"/>
  <c r="G79" i="17"/>
  <c r="G78" i="17"/>
  <c r="G77" i="17"/>
  <c r="G76" i="17"/>
  <c r="G75" i="17"/>
  <c r="G74" i="17"/>
  <c r="G73" i="17"/>
  <c r="G72" i="17"/>
  <c r="G71" i="17"/>
  <c r="G70" i="17"/>
  <c r="G69" i="17"/>
  <c r="G68" i="17"/>
  <c r="G67" i="17"/>
  <c r="G66" i="17"/>
  <c r="G83" i="17" s="1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114" i="17" s="1"/>
  <c r="G144" i="17"/>
  <c r="G143" i="17"/>
  <c r="G142" i="17"/>
  <c r="G141" i="17"/>
  <c r="G140" i="17"/>
  <c r="G139" i="17"/>
  <c r="G138" i="17"/>
  <c r="G137" i="17"/>
  <c r="G136" i="17"/>
  <c r="G135" i="17"/>
  <c r="G134" i="17"/>
  <c r="G133" i="17"/>
  <c r="G132" i="17"/>
  <c r="G131" i="17"/>
  <c r="G130" i="17"/>
  <c r="G129" i="17"/>
  <c r="G128" i="17"/>
  <c r="G145" i="17" s="1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G161" i="17"/>
  <c r="G160" i="17"/>
  <c r="G176" i="17" s="1"/>
  <c r="G159" i="17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5" i="16"/>
  <c r="G36" i="16"/>
  <c r="N40" i="4"/>
  <c r="G639" i="4"/>
  <c r="Q225" i="21"/>
  <c r="U223" i="21" s="1"/>
  <c r="P221" i="21"/>
  <c r="U218" i="21"/>
  <c r="U216" i="21"/>
  <c r="Q229" i="21" s="1"/>
  <c r="T216" i="21"/>
  <c r="Q207" i="21"/>
  <c r="U205" i="21" s="1"/>
  <c r="P203" i="21"/>
  <c r="Q211" i="21" s="1"/>
  <c r="U200" i="21"/>
  <c r="U198" i="21"/>
  <c r="T198" i="21"/>
  <c r="Q189" i="21"/>
  <c r="U187" i="21"/>
  <c r="P185" i="21"/>
  <c r="Q193" i="21" s="1"/>
  <c r="U182" i="21"/>
  <c r="U180" i="21"/>
  <c r="T180" i="21"/>
  <c r="Q175" i="21"/>
  <c r="Q176" i="21" s="1"/>
  <c r="Q171" i="21"/>
  <c r="P167" i="21"/>
  <c r="U164" i="21"/>
  <c r="U162" i="21"/>
  <c r="T162" i="21"/>
  <c r="Q155" i="21"/>
  <c r="Q153" i="21"/>
  <c r="S151" i="21"/>
  <c r="W152" i="21" s="1"/>
  <c r="W150" i="21"/>
  <c r="Q149" i="21"/>
  <c r="T148" i="21"/>
  <c r="Q148" i="21"/>
  <c r="V147" i="21"/>
  <c r="Q157" i="21" s="1"/>
  <c r="T147" i="21"/>
  <c r="R151" i="21" s="1"/>
  <c r="W151" i="21" s="1"/>
  <c r="Q141" i="21"/>
  <c r="Q143" i="21" s="1"/>
  <c r="Q139" i="21"/>
  <c r="T145" i="21" s="1"/>
  <c r="S137" i="21"/>
  <c r="W138" i="21" s="1"/>
  <c r="W136" i="21"/>
  <c r="T135" i="21"/>
  <c r="T149" i="21" s="1"/>
  <c r="T151" i="21" s="1"/>
  <c r="W153" i="21" s="1"/>
  <c r="Q135" i="21"/>
  <c r="Q145" i="21" s="1"/>
  <c r="T134" i="21"/>
  <c r="Q134" i="21"/>
  <c r="V133" i="21"/>
  <c r="T133" i="21"/>
  <c r="R137" i="21" s="1"/>
  <c r="W137" i="21" s="1"/>
  <c r="Q129" i="21"/>
  <c r="U126" i="21" s="1"/>
  <c r="Q127" i="21"/>
  <c r="U124" i="21"/>
  <c r="T124" i="21"/>
  <c r="Q124" i="21"/>
  <c r="Q125" i="21" s="1"/>
  <c r="Q131" i="21" s="1"/>
  <c r="T130" i="21" s="1"/>
  <c r="Q119" i="21"/>
  <c r="Q117" i="21"/>
  <c r="U116" i="21"/>
  <c r="U114" i="21"/>
  <c r="T114" i="21"/>
  <c r="Q114" i="21"/>
  <c r="Q115" i="21" s="1"/>
  <c r="Q121" i="21" s="1"/>
  <c r="T121" i="21" s="1"/>
  <c r="Q109" i="21"/>
  <c r="Q107" i="21"/>
  <c r="U106" i="21" s="1"/>
  <c r="Q105" i="21"/>
  <c r="Q111" i="21" s="1"/>
  <c r="U104" i="21"/>
  <c r="T111" i="21" s="1"/>
  <c r="T104" i="21"/>
  <c r="Q104" i="21"/>
  <c r="Q99" i="21"/>
  <c r="Q97" i="21"/>
  <c r="U96" i="21"/>
  <c r="U94" i="21"/>
  <c r="T94" i="21"/>
  <c r="Q94" i="21"/>
  <c r="Q95" i="21" s="1"/>
  <c r="Q101" i="21" s="1"/>
  <c r="T100" i="21" s="1"/>
  <c r="P167" i="20"/>
  <c r="P221" i="20"/>
  <c r="T216" i="20"/>
  <c r="U216" i="20"/>
  <c r="Q229" i="20" s="1"/>
  <c r="U218" i="20"/>
  <c r="U200" i="20"/>
  <c r="U198" i="20"/>
  <c r="T198" i="20"/>
  <c r="P203" i="20"/>
  <c r="Q211" i="20" s="1"/>
  <c r="P185" i="20"/>
  <c r="U182" i="20"/>
  <c r="Q193" i="20" s="1"/>
  <c r="U180" i="20"/>
  <c r="T180" i="20"/>
  <c r="U164" i="20"/>
  <c r="U162" i="20"/>
  <c r="T162" i="20"/>
  <c r="Q155" i="20"/>
  <c r="Q153" i="20"/>
  <c r="V147" i="20"/>
  <c r="Q141" i="20"/>
  <c r="Q139" i="20"/>
  <c r="V133" i="20"/>
  <c r="T135" i="20"/>
  <c r="T149" i="20" s="1"/>
  <c r="T151" i="20" s="1"/>
  <c r="W153" i="20" s="1"/>
  <c r="T134" i="20"/>
  <c r="T148" i="20" s="1"/>
  <c r="S151" i="20" s="1"/>
  <c r="W152" i="20" s="1"/>
  <c r="T133" i="20"/>
  <c r="R137" i="20" s="1"/>
  <c r="U124" i="20"/>
  <c r="T124" i="20"/>
  <c r="Q129" i="20"/>
  <c r="Q127" i="20"/>
  <c r="Q119" i="20"/>
  <c r="Q117" i="20"/>
  <c r="U116" i="20"/>
  <c r="U114" i="20"/>
  <c r="T114" i="20"/>
  <c r="T104" i="20"/>
  <c r="U104" i="20"/>
  <c r="Q109" i="20"/>
  <c r="Q107" i="20"/>
  <c r="Q99" i="20"/>
  <c r="Q97" i="20"/>
  <c r="U96" i="20"/>
  <c r="U94" i="20"/>
  <c r="T94" i="20"/>
  <c r="W150" i="20"/>
  <c r="Q148" i="20"/>
  <c r="Q149" i="20" s="1"/>
  <c r="S137" i="20"/>
  <c r="W138" i="20" s="1"/>
  <c r="W136" i="20"/>
  <c r="Q134" i="20"/>
  <c r="Q135" i="20" s="1"/>
  <c r="Q124" i="20"/>
  <c r="Q125" i="20" s="1"/>
  <c r="Q115" i="20"/>
  <c r="Q121" i="20" s="1"/>
  <c r="Q114" i="20"/>
  <c r="U106" i="20"/>
  <c r="Q104" i="20"/>
  <c r="Q105" i="20" s="1"/>
  <c r="Q94" i="20"/>
  <c r="Q95" i="20" s="1"/>
  <c r="Q225" i="20"/>
  <c r="U223" i="20" s="1"/>
  <c r="Q207" i="20"/>
  <c r="U205" i="20" s="1"/>
  <c r="Q189" i="20"/>
  <c r="U187" i="20" s="1"/>
  <c r="Q171" i="20"/>
  <c r="U169" i="20" s="1"/>
  <c r="P333" i="14"/>
  <c r="T331" i="14" s="1"/>
  <c r="O329" i="14"/>
  <c r="T326" i="14"/>
  <c r="T324" i="14"/>
  <c r="P337" i="14" s="1"/>
  <c r="S324" i="14"/>
  <c r="P315" i="14"/>
  <c r="T313" i="14" s="1"/>
  <c r="O311" i="14"/>
  <c r="T308" i="14"/>
  <c r="P319" i="14" s="1"/>
  <c r="T306" i="14"/>
  <c r="S306" i="14"/>
  <c r="P297" i="14"/>
  <c r="T295" i="14" s="1"/>
  <c r="O293" i="14"/>
  <c r="P301" i="14" s="1"/>
  <c r="T290" i="14"/>
  <c r="T288" i="14"/>
  <c r="S288" i="14"/>
  <c r="P284" i="14"/>
  <c r="P283" i="14"/>
  <c r="P279" i="14"/>
  <c r="T277" i="14"/>
  <c r="O275" i="14"/>
  <c r="T272" i="14"/>
  <c r="T270" i="14"/>
  <c r="S270" i="14"/>
  <c r="P263" i="14"/>
  <c r="P261" i="14"/>
  <c r="S259" i="14"/>
  <c r="V261" i="14" s="1"/>
  <c r="R259" i="14"/>
  <c r="V260" i="14" s="1"/>
  <c r="V258" i="14"/>
  <c r="S257" i="14"/>
  <c r="P257" i="14"/>
  <c r="S256" i="14"/>
  <c r="P256" i="14"/>
  <c r="U255" i="14"/>
  <c r="P265" i="14" s="1"/>
  <c r="S255" i="14"/>
  <c r="Q259" i="14" s="1"/>
  <c r="V259" i="14" s="1"/>
  <c r="P251" i="14"/>
  <c r="P249" i="14"/>
  <c r="P247" i="14"/>
  <c r="R245" i="14"/>
  <c r="V246" i="14" s="1"/>
  <c r="V244" i="14"/>
  <c r="S243" i="14"/>
  <c r="S245" i="14" s="1"/>
  <c r="V247" i="14" s="1"/>
  <c r="P243" i="14"/>
  <c r="P253" i="14" s="1"/>
  <c r="S242" i="14"/>
  <c r="P242" i="14"/>
  <c r="U241" i="14"/>
  <c r="S241" i="14"/>
  <c r="Q245" i="14" s="1"/>
  <c r="V245" i="14" s="1"/>
  <c r="P237" i="14"/>
  <c r="P235" i="14"/>
  <c r="T234" i="14"/>
  <c r="T232" i="14"/>
  <c r="S232" i="14"/>
  <c r="P232" i="14"/>
  <c r="P233" i="14" s="1"/>
  <c r="P239" i="14" s="1"/>
  <c r="P227" i="14"/>
  <c r="P225" i="14"/>
  <c r="T224" i="14"/>
  <c r="T222" i="14"/>
  <c r="S222" i="14"/>
  <c r="P222" i="14"/>
  <c r="P223" i="14" s="1"/>
  <c r="P229" i="14" s="1"/>
  <c r="P217" i="14"/>
  <c r="P215" i="14"/>
  <c r="T214" i="14"/>
  <c r="P213" i="14"/>
  <c r="P219" i="14" s="1"/>
  <c r="T212" i="14"/>
  <c r="S212" i="14"/>
  <c r="P212" i="14"/>
  <c r="P207" i="14"/>
  <c r="P205" i="14"/>
  <c r="T204" i="14"/>
  <c r="T202" i="14"/>
  <c r="S202" i="14"/>
  <c r="P202" i="14"/>
  <c r="P203" i="14" s="1"/>
  <c r="P209" i="14" s="1"/>
  <c r="T272" i="7"/>
  <c r="T270" i="7"/>
  <c r="P283" i="7" s="1"/>
  <c r="S270" i="7"/>
  <c r="T290" i="7"/>
  <c r="T288" i="7"/>
  <c r="S288" i="7"/>
  <c r="T308" i="7"/>
  <c r="T306" i="7"/>
  <c r="S306" i="7"/>
  <c r="T326" i="7"/>
  <c r="T324" i="7"/>
  <c r="P337" i="7" s="1"/>
  <c r="P338" i="7" s="1"/>
  <c r="S324" i="7"/>
  <c r="O329" i="7"/>
  <c r="O311" i="7"/>
  <c r="O293" i="7"/>
  <c r="O275" i="7"/>
  <c r="U255" i="7"/>
  <c r="S257" i="7"/>
  <c r="S256" i="7"/>
  <c r="S255" i="7"/>
  <c r="Q259" i="7" s="1"/>
  <c r="P263" i="7"/>
  <c r="P261" i="7"/>
  <c r="P249" i="7"/>
  <c r="P247" i="7"/>
  <c r="U241" i="7"/>
  <c r="S243" i="7"/>
  <c r="S242" i="7"/>
  <c r="R245" i="7" s="1"/>
  <c r="V246" i="7" s="1"/>
  <c r="S241" i="7"/>
  <c r="Q245" i="7" s="1"/>
  <c r="P237" i="7"/>
  <c r="P235" i="7"/>
  <c r="P227" i="7"/>
  <c r="P225" i="7"/>
  <c r="P217" i="7"/>
  <c r="P215" i="7"/>
  <c r="P207" i="7"/>
  <c r="P205" i="7"/>
  <c r="S202" i="7"/>
  <c r="T204" i="7"/>
  <c r="T202" i="7"/>
  <c r="T214" i="7"/>
  <c r="T212" i="7"/>
  <c r="S212" i="7"/>
  <c r="T224" i="7"/>
  <c r="S222" i="7"/>
  <c r="T222" i="7"/>
  <c r="T234" i="7"/>
  <c r="T232" i="7"/>
  <c r="S232" i="7"/>
  <c r="V258" i="7"/>
  <c r="S259" i="7"/>
  <c r="V261" i="7" s="1"/>
  <c r="R259" i="7"/>
  <c r="V260" i="7" s="1"/>
  <c r="P256" i="7"/>
  <c r="P257" i="7" s="1"/>
  <c r="S245" i="7"/>
  <c r="V247" i="7" s="1"/>
  <c r="V244" i="7"/>
  <c r="P243" i="7"/>
  <c r="P242" i="7"/>
  <c r="P232" i="7"/>
  <c r="P233" i="7" s="1"/>
  <c r="P222" i="7"/>
  <c r="P223" i="7" s="1"/>
  <c r="P212" i="7"/>
  <c r="P213" i="7" s="1"/>
  <c r="P202" i="7"/>
  <c r="P203" i="7" s="1"/>
  <c r="P333" i="7"/>
  <c r="T331" i="7" s="1"/>
  <c r="P315" i="7"/>
  <c r="T313" i="7" s="1"/>
  <c r="P319" i="7"/>
  <c r="P297" i="7"/>
  <c r="T295" i="7" s="1"/>
  <c r="P279" i="7"/>
  <c r="T277" i="7" s="1"/>
  <c r="P312" i="19"/>
  <c r="T310" i="19"/>
  <c r="O308" i="19"/>
  <c r="T305" i="19"/>
  <c r="T303" i="19"/>
  <c r="P316" i="19" s="1"/>
  <c r="S303" i="19"/>
  <c r="P294" i="19"/>
  <c r="T292" i="19" s="1"/>
  <c r="O290" i="19"/>
  <c r="T287" i="19"/>
  <c r="T285" i="19"/>
  <c r="P298" i="19" s="1"/>
  <c r="S285" i="19"/>
  <c r="P280" i="19"/>
  <c r="P276" i="19"/>
  <c r="T274" i="19" s="1"/>
  <c r="O272" i="19"/>
  <c r="T269" i="19"/>
  <c r="T267" i="19"/>
  <c r="S267" i="19"/>
  <c r="P258" i="19"/>
  <c r="T256" i="19"/>
  <c r="O254" i="19"/>
  <c r="P262" i="19" s="1"/>
  <c r="T251" i="19"/>
  <c r="T249" i="19"/>
  <c r="S249" i="19"/>
  <c r="P240" i="19"/>
  <c r="T238" i="19" s="1"/>
  <c r="O236" i="19"/>
  <c r="P244" i="19" s="1"/>
  <c r="T233" i="19"/>
  <c r="T231" i="19"/>
  <c r="S231" i="19"/>
  <c r="P222" i="19"/>
  <c r="T220" i="19" s="1"/>
  <c r="O218" i="19"/>
  <c r="T215" i="19"/>
  <c r="T213" i="19"/>
  <c r="P226" i="19" s="1"/>
  <c r="S213" i="19"/>
  <c r="P208" i="19"/>
  <c r="P204" i="19"/>
  <c r="T202" i="19" s="1"/>
  <c r="O200" i="19"/>
  <c r="T197" i="19"/>
  <c r="T195" i="19"/>
  <c r="S195" i="19"/>
  <c r="P190" i="19"/>
  <c r="W188" i="19"/>
  <c r="P188" i="19"/>
  <c r="W186" i="19"/>
  <c r="P186" i="19"/>
  <c r="W185" i="19"/>
  <c r="U184" i="19"/>
  <c r="T184" i="19"/>
  <c r="W187" i="19" s="1"/>
  <c r="S184" i="19"/>
  <c r="R184" i="19"/>
  <c r="Q184" i="19"/>
  <c r="W184" i="19" s="1"/>
  <c r="P184" i="19"/>
  <c r="W183" i="19" s="1"/>
  <c r="W182" i="19"/>
  <c r="S181" i="19"/>
  <c r="P181" i="19"/>
  <c r="P182" i="19" s="1"/>
  <c r="P192" i="19" s="1"/>
  <c r="W180" i="19"/>
  <c r="P176" i="19"/>
  <c r="P174" i="19"/>
  <c r="W172" i="19"/>
  <c r="P172" i="19"/>
  <c r="W171" i="19"/>
  <c r="W170" i="19"/>
  <c r="U170" i="19"/>
  <c r="W174" i="19" s="1"/>
  <c r="T170" i="19"/>
  <c r="W173" i="19" s="1"/>
  <c r="S170" i="19"/>
  <c r="R170" i="19"/>
  <c r="Q170" i="19"/>
  <c r="P170" i="19"/>
  <c r="W169" i="19"/>
  <c r="W168" i="19"/>
  <c r="U168" i="19"/>
  <c r="U182" i="19" s="1"/>
  <c r="S168" i="19"/>
  <c r="S182" i="19" s="1"/>
  <c r="S167" i="19"/>
  <c r="P167" i="19"/>
  <c r="P168" i="19" s="1"/>
  <c r="P178" i="19" s="1"/>
  <c r="W166" i="19"/>
  <c r="U166" i="19"/>
  <c r="U180" i="19" s="1"/>
  <c r="S166" i="19"/>
  <c r="S180" i="19" s="1"/>
  <c r="P159" i="19"/>
  <c r="P157" i="19"/>
  <c r="T154" i="19"/>
  <c r="S154" i="19"/>
  <c r="P154" i="19"/>
  <c r="P155" i="19" s="1"/>
  <c r="P161" i="19" s="1"/>
  <c r="S161" i="19" s="1"/>
  <c r="P149" i="19"/>
  <c r="P147" i="19"/>
  <c r="P145" i="19"/>
  <c r="P151" i="19" s="1"/>
  <c r="T144" i="19"/>
  <c r="S151" i="19" s="1"/>
  <c r="S144" i="19"/>
  <c r="P144" i="19"/>
  <c r="P139" i="19"/>
  <c r="P137" i="19"/>
  <c r="P135" i="19"/>
  <c r="P141" i="19" s="1"/>
  <c r="T134" i="19"/>
  <c r="S141" i="19" s="1"/>
  <c r="S134" i="19"/>
  <c r="P134" i="19"/>
  <c r="P129" i="19"/>
  <c r="P127" i="19"/>
  <c r="P125" i="19"/>
  <c r="P131" i="19" s="1"/>
  <c r="T124" i="19"/>
  <c r="S124" i="19"/>
  <c r="P124" i="19"/>
  <c r="P119" i="19"/>
  <c r="P117" i="19"/>
  <c r="T114" i="19"/>
  <c r="S114" i="19"/>
  <c r="P114" i="19"/>
  <c r="P115" i="19" s="1"/>
  <c r="P121" i="19" s="1"/>
  <c r="S120" i="19" s="1"/>
  <c r="P109" i="19"/>
  <c r="P107" i="19"/>
  <c r="T104" i="19"/>
  <c r="S104" i="19"/>
  <c r="P104" i="19"/>
  <c r="P105" i="19" s="1"/>
  <c r="P111" i="19" s="1"/>
  <c r="S110" i="19" s="1"/>
  <c r="P99" i="19"/>
  <c r="P97" i="19"/>
  <c r="T94" i="19"/>
  <c r="S94" i="19"/>
  <c r="P94" i="19"/>
  <c r="P95" i="19" s="1"/>
  <c r="P101" i="19" s="1"/>
  <c r="W182" i="18"/>
  <c r="P181" i="18"/>
  <c r="P182" i="18" s="1"/>
  <c r="W180" i="18"/>
  <c r="W168" i="18"/>
  <c r="P167" i="18"/>
  <c r="P168" i="18" s="1"/>
  <c r="W166" i="18"/>
  <c r="P154" i="18"/>
  <c r="P155" i="18" s="1"/>
  <c r="P144" i="18"/>
  <c r="P145" i="18" s="1"/>
  <c r="P135" i="18"/>
  <c r="P134" i="18"/>
  <c r="P124" i="18"/>
  <c r="P125" i="18" s="1"/>
  <c r="P114" i="18"/>
  <c r="P115" i="18" s="1"/>
  <c r="P104" i="18"/>
  <c r="P105" i="18" s="1"/>
  <c r="P94" i="18"/>
  <c r="P95" i="18" s="1"/>
  <c r="P312" i="18"/>
  <c r="T310" i="18" s="1"/>
  <c r="P294" i="18"/>
  <c r="T292" i="18" s="1"/>
  <c r="P276" i="18"/>
  <c r="T274" i="18" s="1"/>
  <c r="P258" i="18"/>
  <c r="T256" i="18" s="1"/>
  <c r="P240" i="18"/>
  <c r="T238" i="18" s="1"/>
  <c r="P222" i="18"/>
  <c r="T220" i="18" s="1"/>
  <c r="P204" i="18"/>
  <c r="T202" i="18" s="1"/>
  <c r="H362" i="6"/>
  <c r="H362" i="8"/>
  <c r="V362" i="8" s="1"/>
  <c r="R373" i="8" s="1"/>
  <c r="V362" i="6"/>
  <c r="R423" i="8"/>
  <c r="V421" i="8" s="1"/>
  <c r="Q419" i="8"/>
  <c r="V416" i="8"/>
  <c r="V414" i="8"/>
  <c r="R427" i="8" s="1"/>
  <c r="U414" i="8"/>
  <c r="R409" i="8"/>
  <c r="R405" i="8"/>
  <c r="V403" i="8"/>
  <c r="Q401" i="8"/>
  <c r="V398" i="8"/>
  <c r="V396" i="8"/>
  <c r="U396" i="8"/>
  <c r="R391" i="8"/>
  <c r="R387" i="8"/>
  <c r="V385" i="8" s="1"/>
  <c r="Q383" i="8"/>
  <c r="V380" i="8"/>
  <c r="V378" i="8"/>
  <c r="U378" i="8"/>
  <c r="R369" i="8"/>
  <c r="V367" i="8" s="1"/>
  <c r="Q365" i="8"/>
  <c r="V360" i="8"/>
  <c r="U360" i="8"/>
  <c r="R351" i="8"/>
  <c r="V349" i="8" s="1"/>
  <c r="Q347" i="8"/>
  <c r="V344" i="8"/>
  <c r="V342" i="8"/>
  <c r="R355" i="8" s="1"/>
  <c r="U342" i="8"/>
  <c r="R333" i="8"/>
  <c r="V331" i="8" s="1"/>
  <c r="Q329" i="8"/>
  <c r="V326" i="8"/>
  <c r="V324" i="8"/>
  <c r="R337" i="8" s="1"/>
  <c r="U324" i="8"/>
  <c r="R315" i="8"/>
  <c r="V313" i="8"/>
  <c r="Q311" i="8"/>
  <c r="V308" i="8"/>
  <c r="V306" i="8"/>
  <c r="R319" i="8" s="1"/>
  <c r="U306" i="8"/>
  <c r="Y298" i="8"/>
  <c r="R298" i="8"/>
  <c r="R300" i="8" s="1"/>
  <c r="R296" i="8"/>
  <c r="Y295" i="8"/>
  <c r="Y294" i="8"/>
  <c r="W294" i="8"/>
  <c r="V294" i="8"/>
  <c r="Y297" i="8" s="1"/>
  <c r="U294" i="8"/>
  <c r="Y296" i="8" s="1"/>
  <c r="T294" i="8"/>
  <c r="S294" i="8"/>
  <c r="R294" i="8"/>
  <c r="Y293" i="8" s="1"/>
  <c r="Y292" i="8"/>
  <c r="W292" i="8"/>
  <c r="U292" i="8"/>
  <c r="R292" i="8"/>
  <c r="R302" i="8" s="1"/>
  <c r="U301" i="8" s="1"/>
  <c r="U291" i="8"/>
  <c r="R291" i="8"/>
  <c r="Y290" i="8"/>
  <c r="W290" i="8"/>
  <c r="R284" i="8"/>
  <c r="Y283" i="8"/>
  <c r="Y282" i="8"/>
  <c r="R282" i="8"/>
  <c r="W280" i="8"/>
  <c r="Y284" i="8" s="1"/>
  <c r="V280" i="8"/>
  <c r="U280" i="8"/>
  <c r="T280" i="8"/>
  <c r="Y281" i="8" s="1"/>
  <c r="S280" i="8"/>
  <c r="Y280" i="8" s="1"/>
  <c r="R280" i="8"/>
  <c r="Y279" i="8" s="1"/>
  <c r="Y278" i="8"/>
  <c r="W278" i="8"/>
  <c r="V278" i="8"/>
  <c r="U278" i="8"/>
  <c r="R278" i="8"/>
  <c r="W277" i="8"/>
  <c r="W291" i="8" s="1"/>
  <c r="V277" i="8"/>
  <c r="U277" i="8"/>
  <c r="R277" i="8"/>
  <c r="Y276" i="8"/>
  <c r="R286" i="8" s="1"/>
  <c r="R288" i="8" s="1"/>
  <c r="W276" i="8"/>
  <c r="V276" i="8"/>
  <c r="U276" i="8"/>
  <c r="U290" i="8" s="1"/>
  <c r="R270" i="8"/>
  <c r="R268" i="8"/>
  <c r="V265" i="8"/>
  <c r="U265" i="8"/>
  <c r="R265" i="8"/>
  <c r="R266" i="8" s="1"/>
  <c r="R272" i="8" s="1"/>
  <c r="U272" i="8" s="1"/>
  <c r="R260" i="8"/>
  <c r="R258" i="8"/>
  <c r="V255" i="8"/>
  <c r="U255" i="8"/>
  <c r="R255" i="8"/>
  <c r="R256" i="8" s="1"/>
  <c r="R262" i="8" s="1"/>
  <c r="U262" i="8" s="1"/>
  <c r="R250" i="8"/>
  <c r="R248" i="8"/>
  <c r="R246" i="8"/>
  <c r="R252" i="8" s="1"/>
  <c r="V245" i="8"/>
  <c r="U245" i="8"/>
  <c r="R245" i="8"/>
  <c r="R240" i="8"/>
  <c r="R238" i="8"/>
  <c r="R236" i="8"/>
  <c r="R242" i="8" s="1"/>
  <c r="V235" i="8"/>
  <c r="U242" i="8" s="1"/>
  <c r="U235" i="8"/>
  <c r="R235" i="8"/>
  <c r="R230" i="8"/>
  <c r="R228" i="8"/>
  <c r="R226" i="8"/>
  <c r="R232" i="8" s="1"/>
  <c r="V225" i="8"/>
  <c r="U225" i="8"/>
  <c r="R225" i="8"/>
  <c r="R220" i="8"/>
  <c r="R218" i="8"/>
  <c r="V215" i="8"/>
  <c r="U215" i="8"/>
  <c r="R215" i="8"/>
  <c r="R216" i="8" s="1"/>
  <c r="R222" i="8" s="1"/>
  <c r="R210" i="8"/>
  <c r="R208" i="8"/>
  <c r="V205" i="8"/>
  <c r="U205" i="8"/>
  <c r="R205" i="8"/>
  <c r="R206" i="8" s="1"/>
  <c r="R212" i="8" s="1"/>
  <c r="D373" i="6"/>
  <c r="D355" i="6"/>
  <c r="V416" i="6"/>
  <c r="V414" i="6"/>
  <c r="R427" i="6" s="1"/>
  <c r="U414" i="6"/>
  <c r="V398" i="6"/>
  <c r="R409" i="6" s="1"/>
  <c r="V396" i="6"/>
  <c r="U396" i="6"/>
  <c r="V380" i="6"/>
  <c r="V378" i="6"/>
  <c r="U378" i="6"/>
  <c r="V360" i="6"/>
  <c r="U360" i="6"/>
  <c r="V344" i="6"/>
  <c r="V342" i="6"/>
  <c r="U342" i="6"/>
  <c r="V326" i="6"/>
  <c r="V324" i="6"/>
  <c r="R337" i="6" s="1"/>
  <c r="U324" i="6"/>
  <c r="V308" i="6"/>
  <c r="V306" i="6"/>
  <c r="U306" i="6"/>
  <c r="R296" i="6"/>
  <c r="R298" i="6"/>
  <c r="R284" i="6"/>
  <c r="R282" i="6"/>
  <c r="Y290" i="6"/>
  <c r="W294" i="6"/>
  <c r="V294" i="6"/>
  <c r="U294" i="6"/>
  <c r="T294" i="6"/>
  <c r="S294" i="6"/>
  <c r="R294" i="6"/>
  <c r="W280" i="6"/>
  <c r="Y284" i="6" s="1"/>
  <c r="V280" i="6"/>
  <c r="U280" i="6"/>
  <c r="Y282" i="6" s="1"/>
  <c r="T280" i="6"/>
  <c r="S280" i="6"/>
  <c r="Y280" i="6" s="1"/>
  <c r="R280" i="6"/>
  <c r="Y279" i="6" s="1"/>
  <c r="Y276" i="6"/>
  <c r="W278" i="6"/>
  <c r="W292" i="6" s="1"/>
  <c r="V278" i="6"/>
  <c r="U278" i="6"/>
  <c r="U292" i="6" s="1"/>
  <c r="W277" i="6"/>
  <c r="V277" i="6"/>
  <c r="U277" i="6"/>
  <c r="W276" i="6"/>
  <c r="V276" i="6"/>
  <c r="U276" i="6"/>
  <c r="U290" i="6" s="1"/>
  <c r="Q419" i="6"/>
  <c r="Q401" i="6"/>
  <c r="Q383" i="6"/>
  <c r="Q365" i="6"/>
  <c r="Q347" i="6"/>
  <c r="Q329" i="6"/>
  <c r="Q311" i="6"/>
  <c r="R423" i="6"/>
  <c r="V421" i="6" s="1"/>
  <c r="R405" i="6"/>
  <c r="V403" i="6" s="1"/>
  <c r="R387" i="6"/>
  <c r="V385" i="6" s="1"/>
  <c r="R369" i="6"/>
  <c r="V367" i="6" s="1"/>
  <c r="R351" i="6"/>
  <c r="V349" i="6" s="1"/>
  <c r="R333" i="6"/>
  <c r="V331" i="6" s="1"/>
  <c r="R315" i="6"/>
  <c r="V313" i="6" s="1"/>
  <c r="Y297" i="6"/>
  <c r="Y298" i="6"/>
  <c r="Y296" i="6"/>
  <c r="Y295" i="6"/>
  <c r="Y294" i="6"/>
  <c r="Y292" i="6"/>
  <c r="W291" i="6"/>
  <c r="U291" i="6"/>
  <c r="R291" i="6"/>
  <c r="R292" i="6" s="1"/>
  <c r="Y281" i="6"/>
  <c r="Y283" i="6"/>
  <c r="Y278" i="6"/>
  <c r="R277" i="6"/>
  <c r="R278" i="6" s="1"/>
  <c r="W290" i="6"/>
  <c r="V265" i="6"/>
  <c r="V255" i="6"/>
  <c r="V245" i="6"/>
  <c r="V235" i="6"/>
  <c r="V225" i="6"/>
  <c r="V215" i="6"/>
  <c r="V205" i="6"/>
  <c r="U205" i="6"/>
  <c r="U215" i="6"/>
  <c r="U225" i="6"/>
  <c r="U235" i="6"/>
  <c r="U245" i="6"/>
  <c r="U255" i="6"/>
  <c r="U265" i="6"/>
  <c r="R270" i="6"/>
  <c r="R260" i="6"/>
  <c r="R250" i="6"/>
  <c r="R240" i="6"/>
  <c r="R230" i="6"/>
  <c r="R220" i="6"/>
  <c r="R210" i="6"/>
  <c r="R208" i="6"/>
  <c r="R218" i="6"/>
  <c r="R228" i="6"/>
  <c r="R238" i="6"/>
  <c r="R248" i="6"/>
  <c r="R258" i="6"/>
  <c r="R268" i="6"/>
  <c r="R265" i="6"/>
  <c r="R266" i="6" s="1"/>
  <c r="R255" i="6"/>
  <c r="R256" i="6" s="1"/>
  <c r="R245" i="6"/>
  <c r="R246" i="6" s="1"/>
  <c r="R236" i="6"/>
  <c r="R235" i="6"/>
  <c r="R225" i="6"/>
  <c r="R226" i="6" s="1"/>
  <c r="R232" i="6" s="1"/>
  <c r="R216" i="6"/>
  <c r="R215" i="6"/>
  <c r="R205" i="6"/>
  <c r="R206" i="6" s="1"/>
  <c r="P277" i="17"/>
  <c r="P276" i="17"/>
  <c r="P272" i="17"/>
  <c r="T270" i="17" s="1"/>
  <c r="T267" i="17"/>
  <c r="P267" i="17"/>
  <c r="T265" i="17"/>
  <c r="S263" i="17"/>
  <c r="P258" i="17"/>
  <c r="P254" i="17"/>
  <c r="T252" i="17" s="1"/>
  <c r="T249" i="17"/>
  <c r="P249" i="17"/>
  <c r="T247" i="17"/>
  <c r="S245" i="17"/>
  <c r="S238" i="17"/>
  <c r="S237" i="17"/>
  <c r="R238" i="17" s="1"/>
  <c r="T235" i="17"/>
  <c r="Q235" i="17"/>
  <c r="N235" i="17"/>
  <c r="N236" i="17" s="1"/>
  <c r="M238" i="17" s="1"/>
  <c r="S228" i="17"/>
  <c r="P228" i="17" s="1"/>
  <c r="S227" i="17"/>
  <c r="R228" i="17" s="1"/>
  <c r="N226" i="17"/>
  <c r="M228" i="17" s="1"/>
  <c r="T225" i="17"/>
  <c r="Q225" i="17"/>
  <c r="N225" i="17"/>
  <c r="N217" i="17"/>
  <c r="M219" i="17" s="1"/>
  <c r="T216" i="17"/>
  <c r="Q216" i="17"/>
  <c r="N216" i="17"/>
  <c r="T209" i="17"/>
  <c r="Q209" i="17"/>
  <c r="N209" i="17"/>
  <c r="N210" i="17" s="1"/>
  <c r="M212" i="17" s="1"/>
  <c r="P267" i="16"/>
  <c r="P249" i="16"/>
  <c r="Q216" i="16"/>
  <c r="N217" i="16"/>
  <c r="N210" i="16"/>
  <c r="P276" i="16"/>
  <c r="P258" i="16"/>
  <c r="Q235" i="16"/>
  <c r="Q225" i="16"/>
  <c r="S238" i="16"/>
  <c r="S228" i="16"/>
  <c r="T247" i="16"/>
  <c r="T265" i="16"/>
  <c r="T267" i="16"/>
  <c r="T249" i="16"/>
  <c r="P259" i="16" s="1"/>
  <c r="T235" i="16"/>
  <c r="T225" i="16"/>
  <c r="T216" i="16"/>
  <c r="T209" i="16"/>
  <c r="Q209" i="16"/>
  <c r="S237" i="16"/>
  <c r="S227" i="16"/>
  <c r="R228" i="16" s="1"/>
  <c r="P272" i="16"/>
  <c r="T270" i="16" s="1"/>
  <c r="S263" i="16"/>
  <c r="P254" i="16"/>
  <c r="T252" i="16" s="1"/>
  <c r="S245" i="16"/>
  <c r="R238" i="16"/>
  <c r="N235" i="16"/>
  <c r="N236" i="16" s="1"/>
  <c r="N225" i="16"/>
  <c r="N226" i="16" s="1"/>
  <c r="N216" i="16"/>
  <c r="N209" i="16"/>
  <c r="P852" i="5"/>
  <c r="P853" i="5" s="1"/>
  <c r="P848" i="5"/>
  <c r="T846" i="5" s="1"/>
  <c r="T843" i="5"/>
  <c r="P843" i="5"/>
  <c r="T841" i="5"/>
  <c r="S839" i="5"/>
  <c r="P834" i="5"/>
  <c r="P830" i="5"/>
  <c r="T828" i="5" s="1"/>
  <c r="T825" i="5"/>
  <c r="P825" i="5"/>
  <c r="T823" i="5"/>
  <c r="S821" i="5"/>
  <c r="S814" i="5"/>
  <c r="R814" i="5"/>
  <c r="S813" i="5"/>
  <c r="T811" i="5"/>
  <c r="Q811" i="5"/>
  <c r="N811" i="5"/>
  <c r="N812" i="5" s="1"/>
  <c r="M814" i="5" s="1"/>
  <c r="S804" i="5"/>
  <c r="R804" i="5"/>
  <c r="S803" i="5"/>
  <c r="N802" i="5"/>
  <c r="M804" i="5" s="1"/>
  <c r="T801" i="5"/>
  <c r="Q801" i="5"/>
  <c r="N801" i="5"/>
  <c r="N793" i="5"/>
  <c r="M795" i="5" s="1"/>
  <c r="T792" i="5"/>
  <c r="Q792" i="5"/>
  <c r="N792" i="5"/>
  <c r="N786" i="5"/>
  <c r="M788" i="5" s="1"/>
  <c r="T785" i="5"/>
  <c r="Q785" i="5"/>
  <c r="N785" i="5"/>
  <c r="T843" i="4"/>
  <c r="T841" i="4"/>
  <c r="P843" i="4"/>
  <c r="P848" i="4"/>
  <c r="T846" i="4" s="1"/>
  <c r="S839" i="4"/>
  <c r="P825" i="4"/>
  <c r="T825" i="4"/>
  <c r="T823" i="4"/>
  <c r="P834" i="4" s="1"/>
  <c r="P830" i="4"/>
  <c r="T828" i="4" s="1"/>
  <c r="S821" i="4"/>
  <c r="S814" i="4"/>
  <c r="S813" i="4"/>
  <c r="T811" i="4"/>
  <c r="Q811" i="4"/>
  <c r="R814" i="4"/>
  <c r="N811" i="4"/>
  <c r="N812" i="4" s="1"/>
  <c r="S804" i="4"/>
  <c r="S803" i="4"/>
  <c r="Q801" i="4"/>
  <c r="T801" i="4"/>
  <c r="R804" i="4"/>
  <c r="N801" i="4"/>
  <c r="N802" i="4" s="1"/>
  <c r="T792" i="4"/>
  <c r="Q792" i="4"/>
  <c r="N793" i="4"/>
  <c r="N792" i="4"/>
  <c r="T785" i="4"/>
  <c r="Q785" i="4"/>
  <c r="N786" i="4"/>
  <c r="N785" i="4"/>
  <c r="V182" i="17"/>
  <c r="U182" i="17"/>
  <c r="X170" i="17"/>
  <c r="W170" i="17"/>
  <c r="W169" i="17"/>
  <c r="Y168" i="17"/>
  <c r="X168" i="17"/>
  <c r="X162" i="17"/>
  <c r="V162" i="17"/>
  <c r="V161" i="17"/>
  <c r="X160" i="17"/>
  <c r="X164" i="17" s="1"/>
  <c r="V160" i="17"/>
  <c r="V163" i="17" s="1"/>
  <c r="W139" i="17"/>
  <c r="X138" i="17"/>
  <c r="Y138" i="17" s="1"/>
  <c r="W138" i="17"/>
  <c r="V151" i="17" s="1"/>
  <c r="V132" i="17"/>
  <c r="X131" i="17"/>
  <c r="V131" i="17"/>
  <c r="X139" i="17" s="1"/>
  <c r="V130" i="17"/>
  <c r="X137" i="17" s="1"/>
  <c r="Y137" i="17" s="1"/>
  <c r="X129" i="17"/>
  <c r="X133" i="17" s="1"/>
  <c r="V129" i="17"/>
  <c r="U120" i="17"/>
  <c r="X108" i="17"/>
  <c r="W108" i="17"/>
  <c r="W107" i="17"/>
  <c r="V120" i="17" s="1"/>
  <c r="X106" i="17"/>
  <c r="Y106" i="17" s="1"/>
  <c r="X102" i="17"/>
  <c r="V101" i="17"/>
  <c r="X100" i="17"/>
  <c r="V100" i="17"/>
  <c r="V99" i="17"/>
  <c r="X98" i="17"/>
  <c r="V98" i="17"/>
  <c r="X107" i="17" s="1"/>
  <c r="Y107" i="17" s="1"/>
  <c r="V89" i="17"/>
  <c r="W77" i="17"/>
  <c r="W76" i="17"/>
  <c r="U89" i="17" s="1"/>
  <c r="X69" i="17"/>
  <c r="V69" i="17"/>
  <c r="X77" i="17" s="1"/>
  <c r="V68" i="17"/>
  <c r="X75" i="17" s="1"/>
  <c r="Y75" i="17" s="1"/>
  <c r="X67" i="17"/>
  <c r="V67" i="17" s="1"/>
  <c r="V58" i="17"/>
  <c r="W46" i="17"/>
  <c r="W45" i="17"/>
  <c r="U58" i="17" s="1"/>
  <c r="X40" i="17"/>
  <c r="X38" i="17"/>
  <c r="V38" i="17"/>
  <c r="X46" i="17" s="1"/>
  <c r="V37" i="17"/>
  <c r="X44" i="17" s="1"/>
  <c r="Y44" i="17" s="1"/>
  <c r="X36" i="17"/>
  <c r="V36" i="17" s="1"/>
  <c r="V27" i="17"/>
  <c r="U27" i="17"/>
  <c r="X15" i="17"/>
  <c r="W15" i="17"/>
  <c r="W14" i="17"/>
  <c r="X13" i="17"/>
  <c r="Y13" i="17" s="1"/>
  <c r="X9" i="17"/>
  <c r="X7" i="17"/>
  <c r="V7" i="17"/>
  <c r="V6" i="17"/>
  <c r="X5" i="17"/>
  <c r="V5" i="17"/>
  <c r="V8" i="17" s="1"/>
  <c r="W170" i="16"/>
  <c r="W169" i="16"/>
  <c r="V182" i="16" s="1"/>
  <c r="X162" i="16"/>
  <c r="V162" i="16"/>
  <c r="X170" i="16" s="1"/>
  <c r="V161" i="16"/>
  <c r="X168" i="16" s="1"/>
  <c r="Y168" i="16" s="1"/>
  <c r="X160" i="16"/>
  <c r="X164" i="16" s="1"/>
  <c r="V160" i="16"/>
  <c r="V163" i="16" s="1"/>
  <c r="W139" i="16"/>
  <c r="W138" i="16"/>
  <c r="V151" i="16" s="1"/>
  <c r="X131" i="16"/>
  <c r="V131" i="16"/>
  <c r="X139" i="16" s="1"/>
  <c r="V130" i="16"/>
  <c r="X137" i="16" s="1"/>
  <c r="Y137" i="16" s="1"/>
  <c r="X129" i="16"/>
  <c r="V129" i="16" s="1"/>
  <c r="V120" i="16"/>
  <c r="U120" i="16"/>
  <c r="W108" i="16"/>
  <c r="W107" i="16"/>
  <c r="X100" i="16"/>
  <c r="V100" i="16"/>
  <c r="X108" i="16" s="1"/>
  <c r="V99" i="16"/>
  <c r="X106" i="16" s="1"/>
  <c r="Y106" i="16" s="1"/>
  <c r="X98" i="16"/>
  <c r="X102" i="16" s="1"/>
  <c r="V98" i="16"/>
  <c r="V101" i="16" s="1"/>
  <c r="V89" i="16"/>
  <c r="U89" i="16"/>
  <c r="W77" i="16"/>
  <c r="W76" i="16"/>
  <c r="X69" i="16"/>
  <c r="V69" i="16"/>
  <c r="X77" i="16" s="1"/>
  <c r="V68" i="16"/>
  <c r="X75" i="16" s="1"/>
  <c r="Y75" i="16" s="1"/>
  <c r="X67" i="16"/>
  <c r="X71" i="16" s="1"/>
  <c r="V67" i="16"/>
  <c r="V70" i="16" s="1"/>
  <c r="V58" i="16"/>
  <c r="U58" i="16"/>
  <c r="W46" i="16"/>
  <c r="W45" i="16"/>
  <c r="X38" i="16"/>
  <c r="V38" i="16"/>
  <c r="X46" i="16" s="1"/>
  <c r="V37" i="16"/>
  <c r="X44" i="16" s="1"/>
  <c r="Y44" i="16" s="1"/>
  <c r="X36" i="16"/>
  <c r="X40" i="16" s="1"/>
  <c r="V36" i="16"/>
  <c r="V39" i="16" s="1"/>
  <c r="V8" i="16"/>
  <c r="V7" i="16"/>
  <c r="V6" i="16"/>
  <c r="X13" i="16" s="1"/>
  <c r="Y13" i="16" s="1"/>
  <c r="W15" i="16"/>
  <c r="W14" i="16"/>
  <c r="V27" i="16" s="1"/>
  <c r="X9" i="16"/>
  <c r="N62" i="5"/>
  <c r="X7" i="16"/>
  <c r="X5" i="16"/>
  <c r="V5" i="16"/>
  <c r="U27" i="16"/>
  <c r="X15" i="16"/>
  <c r="L715" i="5"/>
  <c r="K715" i="5"/>
  <c r="N703" i="5"/>
  <c r="N701" i="5"/>
  <c r="O701" i="5" s="1"/>
  <c r="N697" i="5"/>
  <c r="L696" i="5"/>
  <c r="N695" i="5"/>
  <c r="L695" i="5"/>
  <c r="L694" i="5"/>
  <c r="N693" i="5"/>
  <c r="L693" i="5"/>
  <c r="N702" i="5" s="1"/>
  <c r="O702" i="5" s="1"/>
  <c r="L588" i="5"/>
  <c r="K588" i="5"/>
  <c r="N576" i="5"/>
  <c r="N574" i="5"/>
  <c r="O574" i="5" s="1"/>
  <c r="N570" i="5"/>
  <c r="N568" i="5"/>
  <c r="L568" i="5"/>
  <c r="L567" i="5"/>
  <c r="N566" i="5"/>
  <c r="L566" i="5"/>
  <c r="L569" i="5" s="1"/>
  <c r="L461" i="5"/>
  <c r="K461" i="5"/>
  <c r="N449" i="5"/>
  <c r="N447" i="5"/>
  <c r="O447" i="5" s="1"/>
  <c r="N443" i="5"/>
  <c r="N441" i="5"/>
  <c r="L441" i="5"/>
  <c r="L440" i="5"/>
  <c r="N439" i="5"/>
  <c r="L439" i="5"/>
  <c r="L442" i="5" s="1"/>
  <c r="L334" i="5"/>
  <c r="K334" i="5"/>
  <c r="N316" i="5"/>
  <c r="N314" i="5"/>
  <c r="L314" i="5"/>
  <c r="N322" i="5" s="1"/>
  <c r="L313" i="5"/>
  <c r="N320" i="5" s="1"/>
  <c r="O320" i="5" s="1"/>
  <c r="N312" i="5"/>
  <c r="L312" i="5" s="1"/>
  <c r="L207" i="5"/>
  <c r="K207" i="5"/>
  <c r="N193" i="5"/>
  <c r="O193" i="5" s="1"/>
  <c r="N189" i="5"/>
  <c r="N187" i="5"/>
  <c r="L187" i="5"/>
  <c r="N195" i="5" s="1"/>
  <c r="L186" i="5"/>
  <c r="N185" i="5"/>
  <c r="L185" i="5"/>
  <c r="L188" i="5" s="1"/>
  <c r="L80" i="5"/>
  <c r="K82" i="5" s="1"/>
  <c r="K80" i="5"/>
  <c r="N66" i="5"/>
  <c r="O66" i="5" s="1"/>
  <c r="P66" i="5" s="1"/>
  <c r="L77" i="5" s="1"/>
  <c r="L61" i="5"/>
  <c r="N60" i="5"/>
  <c r="L60" i="5"/>
  <c r="N68" i="5" s="1"/>
  <c r="L59" i="5"/>
  <c r="N58" i="5"/>
  <c r="L58" i="5"/>
  <c r="N67" i="5" s="1"/>
  <c r="O67" i="5" s="1"/>
  <c r="N698" i="4"/>
  <c r="L696" i="4"/>
  <c r="N704" i="4" s="1"/>
  <c r="L695" i="4"/>
  <c r="N702" i="4" s="1"/>
  <c r="O702" i="4" s="1"/>
  <c r="N696" i="4"/>
  <c r="N694" i="4"/>
  <c r="L694" i="4" s="1"/>
  <c r="L697" i="4" s="1"/>
  <c r="L566" i="4"/>
  <c r="N570" i="4"/>
  <c r="N443" i="4"/>
  <c r="N316" i="4"/>
  <c r="N189" i="4"/>
  <c r="L185" i="4"/>
  <c r="L716" i="4"/>
  <c r="K716" i="4"/>
  <c r="L588" i="4"/>
  <c r="K588" i="4"/>
  <c r="N574" i="4"/>
  <c r="O574" i="4" s="1"/>
  <c r="N568" i="4"/>
  <c r="L568" i="4"/>
  <c r="N576" i="4" s="1"/>
  <c r="L567" i="4"/>
  <c r="N566" i="4"/>
  <c r="L569" i="4"/>
  <c r="L461" i="4"/>
  <c r="K463" i="4" s="1"/>
  <c r="K461" i="4"/>
  <c r="N449" i="4"/>
  <c r="N447" i="4"/>
  <c r="O447" i="4" s="1"/>
  <c r="P447" i="4" s="1"/>
  <c r="L458" i="4" s="1"/>
  <c r="L442" i="4"/>
  <c r="N441" i="4"/>
  <c r="L441" i="4"/>
  <c r="L440" i="4"/>
  <c r="N439" i="4"/>
  <c r="L439" i="4"/>
  <c r="N448" i="4" s="1"/>
  <c r="O448" i="4" s="1"/>
  <c r="L334" i="4"/>
  <c r="K334" i="4"/>
  <c r="N320" i="4"/>
  <c r="O320" i="4" s="1"/>
  <c r="N314" i="4"/>
  <c r="L314" i="4"/>
  <c r="N322" i="4" s="1"/>
  <c r="L313" i="4"/>
  <c r="N312" i="4"/>
  <c r="L312" i="4" s="1"/>
  <c r="L207" i="4"/>
  <c r="K207" i="4"/>
  <c r="N193" i="4"/>
  <c r="O193" i="4" s="1"/>
  <c r="N187" i="4"/>
  <c r="L187" i="4"/>
  <c r="N195" i="4" s="1"/>
  <c r="L186" i="4"/>
  <c r="N185" i="4"/>
  <c r="C864" i="4"/>
  <c r="L77" i="4"/>
  <c r="C861" i="4"/>
  <c r="Q212" i="21" l="1"/>
  <c r="T131" i="21"/>
  <c r="Q230" i="21"/>
  <c r="Q194" i="21"/>
  <c r="Q159" i="21"/>
  <c r="T158" i="21" s="1"/>
  <c r="T101" i="21"/>
  <c r="T120" i="21"/>
  <c r="U169" i="21"/>
  <c r="T110" i="21"/>
  <c r="T137" i="21"/>
  <c r="W139" i="21" s="1"/>
  <c r="T144" i="21"/>
  <c r="W144" i="21" s="1"/>
  <c r="Q175" i="20"/>
  <c r="Q131" i="20"/>
  <c r="T130" i="20" s="1"/>
  <c r="U126" i="20"/>
  <c r="Q111" i="20"/>
  <c r="T111" i="20" s="1"/>
  <c r="Q101" i="20"/>
  <c r="T100" i="20" s="1"/>
  <c r="T121" i="20"/>
  <c r="W137" i="20"/>
  <c r="T137" i="20"/>
  <c r="W139" i="20" s="1"/>
  <c r="Q157" i="20"/>
  <c r="Q159" i="20" s="1"/>
  <c r="T120" i="20"/>
  <c r="T147" i="20"/>
  <c r="R151" i="20" s="1"/>
  <c r="W151" i="20" s="1"/>
  <c r="Q194" i="20"/>
  <c r="Q212" i="20"/>
  <c r="Q230" i="20"/>
  <c r="P320" i="14"/>
  <c r="S228" i="14"/>
  <c r="S209" i="14"/>
  <c r="S208" i="14"/>
  <c r="S219" i="14"/>
  <c r="P267" i="14"/>
  <c r="S253" i="14"/>
  <c r="P302" i="14"/>
  <c r="P338" i="14"/>
  <c r="S239" i="14"/>
  <c r="S229" i="14"/>
  <c r="S238" i="14"/>
  <c r="S218" i="14"/>
  <c r="S252" i="14"/>
  <c r="V252" i="14" s="1"/>
  <c r="P301" i="7"/>
  <c r="P302" i="7" s="1"/>
  <c r="P239" i="7"/>
  <c r="S238" i="7" s="1"/>
  <c r="P229" i="7"/>
  <c r="S228" i="7" s="1"/>
  <c r="P219" i="7"/>
  <c r="S219" i="7" s="1"/>
  <c r="P209" i="7"/>
  <c r="S208" i="7" s="1"/>
  <c r="V259" i="7"/>
  <c r="V245" i="7"/>
  <c r="S239" i="7"/>
  <c r="P251" i="7"/>
  <c r="P253" i="7" s="1"/>
  <c r="P265" i="7"/>
  <c r="P267" i="7" s="1"/>
  <c r="P284" i="7"/>
  <c r="P320" i="7"/>
  <c r="S131" i="19"/>
  <c r="S130" i="19"/>
  <c r="P227" i="19"/>
  <c r="S160" i="19"/>
  <c r="P317" i="19"/>
  <c r="S178" i="19"/>
  <c r="S177" i="19"/>
  <c r="P245" i="19"/>
  <c r="S121" i="19"/>
  <c r="S191" i="19"/>
  <c r="P263" i="19"/>
  <c r="S111" i="19"/>
  <c r="S101" i="19"/>
  <c r="S100" i="19"/>
  <c r="P299" i="19"/>
  <c r="S192" i="19"/>
  <c r="P209" i="19"/>
  <c r="S140" i="19"/>
  <c r="U167" i="19"/>
  <c r="U181" i="19" s="1"/>
  <c r="P281" i="19"/>
  <c r="S150" i="19"/>
  <c r="R373" i="6"/>
  <c r="U287" i="8"/>
  <c r="U271" i="8"/>
  <c r="R356" i="8"/>
  <c r="U231" i="8"/>
  <c r="U232" i="8"/>
  <c r="U302" i="8"/>
  <c r="X301" i="8" s="1"/>
  <c r="R428" i="8"/>
  <c r="U221" i="8"/>
  <c r="U222" i="8"/>
  <c r="U261" i="8"/>
  <c r="R320" i="8"/>
  <c r="R338" i="8"/>
  <c r="U211" i="8"/>
  <c r="U212" i="8"/>
  <c r="U252" i="8"/>
  <c r="U251" i="8"/>
  <c r="R374" i="8"/>
  <c r="R392" i="8"/>
  <c r="R410" i="8"/>
  <c r="U288" i="8"/>
  <c r="U241" i="8"/>
  <c r="R391" i="6"/>
  <c r="R319" i="6"/>
  <c r="R320" i="6" s="1"/>
  <c r="R355" i="6"/>
  <c r="P357" i="6" s="1"/>
  <c r="R410" i="6"/>
  <c r="R392" i="6"/>
  <c r="R428" i="6"/>
  <c r="R338" i="6"/>
  <c r="R300" i="6"/>
  <c r="R302" i="6" s="1"/>
  <c r="R286" i="6"/>
  <c r="R288" i="6" s="1"/>
  <c r="Y293" i="6"/>
  <c r="R262" i="6"/>
  <c r="U262" i="6" s="1"/>
  <c r="R252" i="6"/>
  <c r="U251" i="6" s="1"/>
  <c r="R242" i="6"/>
  <c r="U242" i="6" s="1"/>
  <c r="R212" i="6"/>
  <c r="R222" i="6"/>
  <c r="U222" i="6" s="1"/>
  <c r="R272" i="6"/>
  <c r="U271" i="6" s="1"/>
  <c r="U232" i="6"/>
  <c r="U231" i="6"/>
  <c r="P239" i="17"/>
  <c r="P229" i="17"/>
  <c r="P231" i="17" s="1"/>
  <c r="P238" i="17"/>
  <c r="P259" i="17"/>
  <c r="M219" i="16"/>
  <c r="M212" i="16"/>
  <c r="M228" i="16"/>
  <c r="M238" i="16"/>
  <c r="P277" i="16"/>
  <c r="P804" i="5"/>
  <c r="P805" i="5"/>
  <c r="P815" i="5"/>
  <c r="P814" i="5"/>
  <c r="P835" i="5"/>
  <c r="P852" i="4"/>
  <c r="P835" i="4"/>
  <c r="M814" i="4"/>
  <c r="P815" i="4" s="1"/>
  <c r="M804" i="4"/>
  <c r="P805" i="4" s="1"/>
  <c r="M795" i="4"/>
  <c r="M788" i="4"/>
  <c r="U153" i="17"/>
  <c r="X45" i="17"/>
  <c r="Y45" i="17" s="1"/>
  <c r="Z44" i="17" s="1"/>
  <c r="V55" i="17" s="1"/>
  <c r="U60" i="17" s="1"/>
  <c r="V39" i="17"/>
  <c r="V70" i="17"/>
  <c r="X76" i="17"/>
  <c r="Y76" i="17" s="1"/>
  <c r="Z75" i="17" s="1"/>
  <c r="V86" i="17" s="1"/>
  <c r="U91" i="17" s="1"/>
  <c r="Z137" i="17"/>
  <c r="V148" i="17" s="1"/>
  <c r="Z106" i="17"/>
  <c r="V117" i="17" s="1"/>
  <c r="U122" i="17" s="1"/>
  <c r="X169" i="17"/>
  <c r="Y169" i="17" s="1"/>
  <c r="Z168" i="17" s="1"/>
  <c r="V179" i="17" s="1"/>
  <c r="U184" i="17" s="1"/>
  <c r="X14" i="17"/>
  <c r="Y14" i="17" s="1"/>
  <c r="Z13" i="17" s="1"/>
  <c r="V24" i="17" s="1"/>
  <c r="U29" i="17" s="1"/>
  <c r="X71" i="17"/>
  <c r="U151" i="17"/>
  <c r="Z168" i="16"/>
  <c r="V179" i="16" s="1"/>
  <c r="U184" i="16" s="1"/>
  <c r="X169" i="16"/>
  <c r="Y169" i="16" s="1"/>
  <c r="U182" i="16"/>
  <c r="V132" i="16"/>
  <c r="X138" i="16"/>
  <c r="Y138" i="16" s="1"/>
  <c r="Z137" i="16" s="1"/>
  <c r="V148" i="16" s="1"/>
  <c r="U153" i="16" s="1"/>
  <c r="X133" i="16"/>
  <c r="U151" i="16"/>
  <c r="X107" i="16"/>
  <c r="Y107" i="16" s="1"/>
  <c r="Z106" i="16" s="1"/>
  <c r="V117" i="16" s="1"/>
  <c r="U122" i="16" s="1"/>
  <c r="X76" i="16"/>
  <c r="Y76" i="16" s="1"/>
  <c r="Z75" i="16" s="1"/>
  <c r="V86" i="16" s="1"/>
  <c r="U91" i="16" s="1"/>
  <c r="X45" i="16"/>
  <c r="Y45" i="16" s="1"/>
  <c r="Z44" i="16" s="1"/>
  <c r="V55" i="16" s="1"/>
  <c r="U60" i="16" s="1"/>
  <c r="X14" i="16"/>
  <c r="Y14" i="16" s="1"/>
  <c r="Z13" i="16" s="1"/>
  <c r="V24" i="16" s="1"/>
  <c r="U29" i="16" s="1"/>
  <c r="P701" i="5"/>
  <c r="L712" i="5" s="1"/>
  <c r="K717" i="5" s="1"/>
  <c r="N575" i="5"/>
  <c r="O575" i="5" s="1"/>
  <c r="P574" i="5" s="1"/>
  <c r="L585" i="5" s="1"/>
  <c r="K590" i="5" s="1"/>
  <c r="N448" i="5"/>
  <c r="O448" i="5" s="1"/>
  <c r="P447" i="5" s="1"/>
  <c r="L458" i="5" s="1"/>
  <c r="K463" i="5" s="1"/>
  <c r="L315" i="5"/>
  <c r="N321" i="5"/>
  <c r="O321" i="5" s="1"/>
  <c r="P320" i="5" s="1"/>
  <c r="L331" i="5" s="1"/>
  <c r="K336" i="5" s="1"/>
  <c r="N194" i="5"/>
  <c r="O194" i="5" s="1"/>
  <c r="P193" i="5" s="1"/>
  <c r="L204" i="5" s="1"/>
  <c r="K209" i="5" s="1"/>
  <c r="N703" i="4"/>
  <c r="O703" i="4" s="1"/>
  <c r="P702" i="4" s="1"/>
  <c r="L713" i="4" s="1"/>
  <c r="K718" i="4" s="1"/>
  <c r="N575" i="4"/>
  <c r="O575" i="4" s="1"/>
  <c r="P574" i="4" s="1"/>
  <c r="L585" i="4" s="1"/>
  <c r="K590" i="4" s="1"/>
  <c r="L315" i="4"/>
  <c r="N321" i="4"/>
  <c r="O321" i="4" s="1"/>
  <c r="P320" i="4" s="1"/>
  <c r="L331" i="4" s="1"/>
  <c r="K336" i="4" s="1"/>
  <c r="L188" i="4"/>
  <c r="N194" i="4"/>
  <c r="O194" i="4" s="1"/>
  <c r="P193" i="4" s="1"/>
  <c r="L204" i="4" s="1"/>
  <c r="K209" i="4" s="1"/>
  <c r="T159" i="21" l="1"/>
  <c r="W158" i="21" s="1"/>
  <c r="Q176" i="20"/>
  <c r="T159" i="20"/>
  <c r="T131" i="20"/>
  <c r="T110" i="20"/>
  <c r="T101" i="20"/>
  <c r="Q143" i="20"/>
  <c r="Q145" i="20" s="1"/>
  <c r="T145" i="20" s="1"/>
  <c r="S267" i="14"/>
  <c r="S266" i="14"/>
  <c r="V266" i="14" s="1"/>
  <c r="S229" i="7"/>
  <c r="S218" i="7"/>
  <c r="S209" i="7"/>
  <c r="S252" i="7"/>
  <c r="S253" i="7"/>
  <c r="S267" i="7"/>
  <c r="S266" i="7"/>
  <c r="V191" i="19"/>
  <c r="V177" i="19"/>
  <c r="R374" i="6"/>
  <c r="X287" i="8"/>
  <c r="R356" i="6"/>
  <c r="U302" i="6"/>
  <c r="U301" i="6"/>
  <c r="U287" i="6"/>
  <c r="U288" i="6"/>
  <c r="U261" i="6"/>
  <c r="U252" i="6"/>
  <c r="U241" i="6"/>
  <c r="U212" i="6"/>
  <c r="U221" i="6"/>
  <c r="U272" i="6"/>
  <c r="P241" i="17"/>
  <c r="P238" i="16"/>
  <c r="P228" i="16"/>
  <c r="P229" i="16"/>
  <c r="P239" i="16"/>
  <c r="P817" i="5"/>
  <c r="P807" i="5"/>
  <c r="P853" i="4"/>
  <c r="P814" i="4"/>
  <c r="P817" i="4" s="1"/>
  <c r="P804" i="4"/>
  <c r="P807" i="4" s="1"/>
  <c r="N68" i="4"/>
  <c r="N67" i="4"/>
  <c r="O67" i="4" s="1"/>
  <c r="N66" i="4"/>
  <c r="L60" i="4"/>
  <c r="L59" i="4"/>
  <c r="L58" i="4"/>
  <c r="N58" i="4"/>
  <c r="N60" i="4"/>
  <c r="O66" i="4"/>
  <c r="V22" i="21" a="1"/>
  <c r="E225" i="21"/>
  <c r="I223" i="21" s="1"/>
  <c r="H216" i="21"/>
  <c r="E207" i="21"/>
  <c r="I205" i="21" s="1"/>
  <c r="H198" i="21"/>
  <c r="E189" i="21"/>
  <c r="I187" i="21"/>
  <c r="H180" i="21"/>
  <c r="E171" i="21"/>
  <c r="I169" i="21"/>
  <c r="H162" i="21"/>
  <c r="G151" i="21"/>
  <c r="K152" i="21" s="1"/>
  <c r="K150" i="21"/>
  <c r="E149" i="21"/>
  <c r="H148" i="21"/>
  <c r="E148" i="21"/>
  <c r="H147" i="21"/>
  <c r="F151" i="21" s="1"/>
  <c r="K151" i="21" s="1"/>
  <c r="G137" i="21"/>
  <c r="K138" i="21" s="1"/>
  <c r="K136" i="21"/>
  <c r="H135" i="21"/>
  <c r="H149" i="21" s="1"/>
  <c r="H151" i="21" s="1"/>
  <c r="K153" i="21" s="1"/>
  <c r="E135" i="21"/>
  <c r="H134" i="21"/>
  <c r="E134" i="21"/>
  <c r="H133" i="21"/>
  <c r="F137" i="21" s="1"/>
  <c r="K137" i="21" s="1"/>
  <c r="H124" i="21"/>
  <c r="E124" i="21"/>
  <c r="E125" i="21" s="1"/>
  <c r="H114" i="21"/>
  <c r="E114" i="21"/>
  <c r="E115" i="21" s="1"/>
  <c r="E105" i="21"/>
  <c r="H104" i="21"/>
  <c r="E104" i="21"/>
  <c r="H94" i="21"/>
  <c r="E94" i="21"/>
  <c r="E95" i="21" s="1"/>
  <c r="D86" i="21"/>
  <c r="B86" i="21"/>
  <c r="O25" i="21"/>
  <c r="N25" i="21"/>
  <c r="M25" i="21"/>
  <c r="O24" i="21"/>
  <c r="N24" i="21"/>
  <c r="M24" i="21"/>
  <c r="O23" i="21"/>
  <c r="N23" i="21"/>
  <c r="M23" i="21"/>
  <c r="O22" i="21"/>
  <c r="N22" i="21"/>
  <c r="M22" i="21"/>
  <c r="O21" i="21"/>
  <c r="N21" i="21"/>
  <c r="M21" i="21"/>
  <c r="O20" i="21"/>
  <c r="N20" i="21"/>
  <c r="M20" i="21"/>
  <c r="O19" i="21"/>
  <c r="N19" i="21"/>
  <c r="M19" i="21"/>
  <c r="O18" i="21"/>
  <c r="N18" i="21"/>
  <c r="M18" i="21"/>
  <c r="O17" i="21"/>
  <c r="N17" i="21"/>
  <c r="M17" i="21"/>
  <c r="V10" i="21" s="1" a="1"/>
  <c r="O16" i="21"/>
  <c r="N16" i="21"/>
  <c r="M16" i="21"/>
  <c r="O15" i="21"/>
  <c r="N15" i="21"/>
  <c r="M15" i="21"/>
  <c r="O14" i="21"/>
  <c r="N14" i="21"/>
  <c r="M14" i="21"/>
  <c r="O13" i="21"/>
  <c r="N13" i="21"/>
  <c r="M13" i="21"/>
  <c r="O12" i="21"/>
  <c r="N12" i="21"/>
  <c r="M12" i="21"/>
  <c r="O11" i="21"/>
  <c r="N11" i="21"/>
  <c r="M11" i="21"/>
  <c r="O10" i="21"/>
  <c r="N10" i="21"/>
  <c r="M10" i="21"/>
  <c r="O9" i="21"/>
  <c r="N9" i="21"/>
  <c r="M9" i="21"/>
  <c r="E155" i="20"/>
  <c r="E141" i="20"/>
  <c r="E153" i="20"/>
  <c r="E139" i="20"/>
  <c r="H135" i="20"/>
  <c r="H149" i="20" s="1"/>
  <c r="H151" i="20" s="1"/>
  <c r="K153" i="20" s="1"/>
  <c r="H134" i="20"/>
  <c r="H148" i="20" s="1"/>
  <c r="G151" i="20" s="1"/>
  <c r="K152" i="20" s="1"/>
  <c r="H133" i="20"/>
  <c r="H147" i="20" s="1"/>
  <c r="F151" i="20" s="1"/>
  <c r="E129" i="20"/>
  <c r="I218" i="20"/>
  <c r="I200" i="20"/>
  <c r="E119" i="20"/>
  <c r="E109" i="20"/>
  <c r="I182" i="20"/>
  <c r="I164" i="20"/>
  <c r="E99" i="20"/>
  <c r="I96" i="20" s="1"/>
  <c r="I216" i="20"/>
  <c r="I198" i="20"/>
  <c r="I180" i="20"/>
  <c r="I162" i="20"/>
  <c r="I124" i="20"/>
  <c r="I114" i="20"/>
  <c r="I104" i="20"/>
  <c r="I94" i="20"/>
  <c r="E115" i="20"/>
  <c r="E125" i="20"/>
  <c r="E135" i="20"/>
  <c r="E149" i="20"/>
  <c r="E171" i="20"/>
  <c r="I169" i="20" s="1"/>
  <c r="E189" i="20"/>
  <c r="I187" i="20" s="1"/>
  <c r="E207" i="20"/>
  <c r="I205" i="20" s="1"/>
  <c r="E225" i="20"/>
  <c r="I223" i="20" s="1"/>
  <c r="D333" i="7"/>
  <c r="D315" i="7"/>
  <c r="D297" i="7"/>
  <c r="D279" i="7"/>
  <c r="D257" i="7"/>
  <c r="D243" i="7"/>
  <c r="D223" i="7"/>
  <c r="D213" i="7"/>
  <c r="D203" i="7"/>
  <c r="D233" i="7"/>
  <c r="E95" i="20"/>
  <c r="O50" i="20" a="1"/>
  <c r="O50" i="20" s="1"/>
  <c r="O48" i="20" a="1"/>
  <c r="Q48" i="20" s="1"/>
  <c r="O48" i="20"/>
  <c r="P48" i="20"/>
  <c r="O42" i="20"/>
  <c r="O44" i="20"/>
  <c r="H216" i="20"/>
  <c r="H198" i="20"/>
  <c r="H180" i="20"/>
  <c r="H162" i="20"/>
  <c r="K150" i="20"/>
  <c r="E148" i="20"/>
  <c r="K136" i="20"/>
  <c r="H137" i="20"/>
  <c r="K139" i="20" s="1"/>
  <c r="E134" i="20"/>
  <c r="F137" i="20"/>
  <c r="H124" i="20"/>
  <c r="E124" i="20"/>
  <c r="H114" i="20"/>
  <c r="E114" i="20"/>
  <c r="E105" i="20"/>
  <c r="H104" i="20"/>
  <c r="E104" i="20"/>
  <c r="H94" i="20"/>
  <c r="E94" i="20"/>
  <c r="D86" i="20"/>
  <c r="B86" i="20"/>
  <c r="AI31" i="20" a="1"/>
  <c r="AI31" i="20" s="1"/>
  <c r="Z31" i="20" a="1"/>
  <c r="Z31" i="20" s="1"/>
  <c r="O31" i="20" a="1"/>
  <c r="O31" i="20" s="1"/>
  <c r="Q32" i="20"/>
  <c r="R32" i="20"/>
  <c r="Q34" i="20"/>
  <c r="R34" i="20"/>
  <c r="D31" i="20" a="1"/>
  <c r="D31" i="20" s="1"/>
  <c r="G32" i="20"/>
  <c r="G34" i="20"/>
  <c r="V10" i="20" a="1"/>
  <c r="V10" i="20" s="1"/>
  <c r="O25" i="20"/>
  <c r="N25" i="20"/>
  <c r="M25" i="20"/>
  <c r="O24" i="20"/>
  <c r="N24" i="20"/>
  <c r="M24" i="20"/>
  <c r="O23" i="20"/>
  <c r="N23" i="20"/>
  <c r="M23" i="20"/>
  <c r="V22" i="20" a="1"/>
  <c r="AJ22" i="20" s="1"/>
  <c r="O22" i="20"/>
  <c r="N22" i="20"/>
  <c r="M22" i="20"/>
  <c r="O21" i="20"/>
  <c r="N21" i="20"/>
  <c r="M21" i="20"/>
  <c r="O20" i="20"/>
  <c r="N20" i="20"/>
  <c r="M20" i="20"/>
  <c r="O19" i="20"/>
  <c r="N19" i="20"/>
  <c r="M19" i="20"/>
  <c r="O18" i="20"/>
  <c r="N18" i="20"/>
  <c r="M18" i="20"/>
  <c r="O17" i="20"/>
  <c r="N17" i="20"/>
  <c r="M17" i="20"/>
  <c r="O16" i="20"/>
  <c r="N16" i="20"/>
  <c r="M16" i="20"/>
  <c r="O15" i="20"/>
  <c r="N15" i="20"/>
  <c r="M15" i="20"/>
  <c r="O14" i="20"/>
  <c r="N14" i="20"/>
  <c r="M14" i="20"/>
  <c r="O13" i="20"/>
  <c r="N13" i="20"/>
  <c r="M13" i="20"/>
  <c r="O12" i="20"/>
  <c r="N12" i="20"/>
  <c r="M12" i="20"/>
  <c r="O11" i="20"/>
  <c r="N11" i="20"/>
  <c r="M11" i="20"/>
  <c r="O10" i="20"/>
  <c r="N10" i="20"/>
  <c r="M10" i="20"/>
  <c r="O9" i="20"/>
  <c r="N9" i="20"/>
  <c r="M9" i="20"/>
  <c r="D312" i="19"/>
  <c r="H310" i="19" s="1"/>
  <c r="G303" i="19"/>
  <c r="D294" i="19"/>
  <c r="H292" i="19" s="1"/>
  <c r="G285" i="19"/>
  <c r="D276" i="19"/>
  <c r="H274" i="19" s="1"/>
  <c r="G267" i="19"/>
  <c r="D258" i="19"/>
  <c r="H256" i="19"/>
  <c r="G249" i="19"/>
  <c r="D240" i="19"/>
  <c r="H238" i="19" s="1"/>
  <c r="G231" i="19"/>
  <c r="D222" i="19"/>
  <c r="H220" i="19" s="1"/>
  <c r="G213" i="19"/>
  <c r="D204" i="19"/>
  <c r="H202" i="19" s="1"/>
  <c r="G195" i="19"/>
  <c r="E184" i="19"/>
  <c r="K184" i="19" s="1"/>
  <c r="K182" i="19"/>
  <c r="D182" i="19"/>
  <c r="D181" i="19"/>
  <c r="H170" i="19"/>
  <c r="K173" i="19" s="1"/>
  <c r="K168" i="19"/>
  <c r="D167" i="19"/>
  <c r="D168" i="19" s="1"/>
  <c r="G154" i="19"/>
  <c r="D154" i="19"/>
  <c r="D155" i="19" s="1"/>
  <c r="D145" i="19"/>
  <c r="G144" i="19"/>
  <c r="D144" i="19"/>
  <c r="D135" i="19"/>
  <c r="G134" i="19"/>
  <c r="D134" i="19"/>
  <c r="D125" i="19"/>
  <c r="G124" i="19"/>
  <c r="D124" i="19"/>
  <c r="G114" i="19"/>
  <c r="D114" i="19"/>
  <c r="D115" i="19" s="1"/>
  <c r="G104" i="19"/>
  <c r="D104" i="19"/>
  <c r="D105" i="19" s="1"/>
  <c r="G94" i="19"/>
  <c r="D94" i="19"/>
  <c r="D95" i="19" s="1"/>
  <c r="C86" i="19"/>
  <c r="A86" i="19"/>
  <c r="T46" i="19"/>
  <c r="R25" i="19"/>
  <c r="Q25" i="19"/>
  <c r="P25" i="19"/>
  <c r="O25" i="19"/>
  <c r="N25" i="19"/>
  <c r="M25" i="19"/>
  <c r="R24" i="19"/>
  <c r="Q24" i="19"/>
  <c r="P24" i="19"/>
  <c r="O24" i="19"/>
  <c r="N24" i="19"/>
  <c r="M24" i="19"/>
  <c r="R23" i="19"/>
  <c r="Q23" i="19"/>
  <c r="P23" i="19"/>
  <c r="O23" i="19"/>
  <c r="N23" i="19"/>
  <c r="M23" i="19"/>
  <c r="AH22" i="19"/>
  <c r="AF22" i="19"/>
  <c r="V22" i="19" a="1"/>
  <c r="AE22" i="19" s="1"/>
  <c r="R22" i="19"/>
  <c r="Q22" i="19"/>
  <c r="P22" i="19"/>
  <c r="O22" i="19"/>
  <c r="N22" i="19"/>
  <c r="M22" i="19"/>
  <c r="R21" i="19"/>
  <c r="Q21" i="19"/>
  <c r="P21" i="19"/>
  <c r="O21" i="19"/>
  <c r="N21" i="19"/>
  <c r="M21" i="19"/>
  <c r="R20" i="19"/>
  <c r="Q20" i="19"/>
  <c r="P20" i="19"/>
  <c r="O20" i="19"/>
  <c r="N20" i="19"/>
  <c r="M20" i="19"/>
  <c r="R19" i="19"/>
  <c r="Q19" i="19"/>
  <c r="P19" i="19"/>
  <c r="O19" i="19"/>
  <c r="N19" i="19"/>
  <c r="M19" i="19"/>
  <c r="R18" i="19"/>
  <c r="Q18" i="19"/>
  <c r="P18" i="19"/>
  <c r="O18" i="19"/>
  <c r="N18" i="19"/>
  <c r="M18" i="19"/>
  <c r="R17" i="19"/>
  <c r="Q17" i="19"/>
  <c r="P17" i="19"/>
  <c r="O17" i="19"/>
  <c r="N17" i="19"/>
  <c r="M17" i="19"/>
  <c r="R16" i="19"/>
  <c r="Q16" i="19"/>
  <c r="P16" i="19"/>
  <c r="O16" i="19"/>
  <c r="N16" i="19"/>
  <c r="M16" i="19"/>
  <c r="R15" i="19"/>
  <c r="Q15" i="19"/>
  <c r="P15" i="19"/>
  <c r="O15" i="19"/>
  <c r="N15" i="19"/>
  <c r="M15" i="19"/>
  <c r="R14" i="19"/>
  <c r="Q14" i="19"/>
  <c r="P14" i="19"/>
  <c r="O14" i="19"/>
  <c r="N14" i="19"/>
  <c r="M14" i="19"/>
  <c r="R13" i="19"/>
  <c r="Q13" i="19"/>
  <c r="P13" i="19"/>
  <c r="O13" i="19"/>
  <c r="N13" i="19"/>
  <c r="M13" i="19"/>
  <c r="R12" i="19"/>
  <c r="Q12" i="19"/>
  <c r="P12" i="19"/>
  <c r="O12" i="19"/>
  <c r="N12" i="19"/>
  <c r="M12" i="19"/>
  <c r="R11" i="19"/>
  <c r="Q11" i="19"/>
  <c r="P11" i="19"/>
  <c r="O11" i="19"/>
  <c r="N11" i="19"/>
  <c r="M11" i="19"/>
  <c r="R10" i="19"/>
  <c r="Q10" i="19"/>
  <c r="P10" i="19"/>
  <c r="O10" i="19"/>
  <c r="N10" i="19"/>
  <c r="M10" i="19"/>
  <c r="R9" i="19"/>
  <c r="I170" i="19" s="1"/>
  <c r="Q9" i="19"/>
  <c r="P9" i="19"/>
  <c r="G170" i="19" s="1"/>
  <c r="O9" i="19"/>
  <c r="F170" i="19" s="1"/>
  <c r="N9" i="19"/>
  <c r="E170" i="19" s="1"/>
  <c r="M9" i="19"/>
  <c r="D184" i="19" s="1"/>
  <c r="K183" i="19" s="1"/>
  <c r="D285" i="8"/>
  <c r="D281" i="8"/>
  <c r="T46" i="18"/>
  <c r="D312" i="18"/>
  <c r="H310" i="18" s="1"/>
  <c r="D294" i="18"/>
  <c r="H292" i="18" s="1"/>
  <c r="D276" i="18"/>
  <c r="H274" i="18" s="1"/>
  <c r="D258" i="18"/>
  <c r="H256" i="18" s="1"/>
  <c r="D240" i="18"/>
  <c r="H238" i="18" s="1"/>
  <c r="D222" i="18"/>
  <c r="H220" i="18" s="1"/>
  <c r="D204" i="18"/>
  <c r="H202" i="18" s="1"/>
  <c r="D155" i="18"/>
  <c r="D115" i="18"/>
  <c r="G303" i="18"/>
  <c r="S303" i="18" s="1"/>
  <c r="G285" i="18"/>
  <c r="S285" i="18" s="1"/>
  <c r="G267" i="18"/>
  <c r="S267" i="18" s="1"/>
  <c r="G249" i="18"/>
  <c r="S249" i="18" s="1"/>
  <c r="G231" i="18"/>
  <c r="S231" i="18" s="1"/>
  <c r="G213" i="18"/>
  <c r="S213" i="18" s="1"/>
  <c r="G195" i="18"/>
  <c r="S195" i="18" s="1"/>
  <c r="K182" i="18"/>
  <c r="D181" i="18"/>
  <c r="D182" i="18" s="1"/>
  <c r="K168" i="18"/>
  <c r="D167" i="18"/>
  <c r="D168" i="18" s="1"/>
  <c r="G154" i="18"/>
  <c r="S154" i="18" s="1"/>
  <c r="D154" i="18"/>
  <c r="G144" i="18"/>
  <c r="S144" i="18" s="1"/>
  <c r="D144" i="18"/>
  <c r="D145" i="18" s="1"/>
  <c r="G134" i="18"/>
  <c r="S134" i="18" s="1"/>
  <c r="D134" i="18"/>
  <c r="D135" i="18" s="1"/>
  <c r="G124" i="18"/>
  <c r="S124" i="18" s="1"/>
  <c r="D124" i="18"/>
  <c r="D125" i="18" s="1"/>
  <c r="G114" i="18"/>
  <c r="S114" i="18" s="1"/>
  <c r="D114" i="18"/>
  <c r="G104" i="18"/>
  <c r="S104" i="18" s="1"/>
  <c r="D104" i="18"/>
  <c r="D105" i="18" s="1"/>
  <c r="G94" i="18"/>
  <c r="S94" i="18" s="1"/>
  <c r="D94" i="18"/>
  <c r="D95" i="18" s="1"/>
  <c r="C86" i="18"/>
  <c r="A86" i="18"/>
  <c r="V22" i="18" a="1"/>
  <c r="V22" i="18" s="1"/>
  <c r="V9" i="18" a="1"/>
  <c r="AC9" i="18" s="1"/>
  <c r="R25" i="18"/>
  <c r="Q25" i="18"/>
  <c r="P25" i="18"/>
  <c r="O25" i="18"/>
  <c r="N25" i="18"/>
  <c r="R24" i="18"/>
  <c r="Q24" i="18"/>
  <c r="P24" i="18"/>
  <c r="O24" i="18"/>
  <c r="N24" i="18"/>
  <c r="R23" i="18"/>
  <c r="Q23" i="18"/>
  <c r="P23" i="18"/>
  <c r="O23" i="18"/>
  <c r="N23" i="18"/>
  <c r="M25" i="18"/>
  <c r="M24" i="18"/>
  <c r="M23" i="18"/>
  <c r="R22" i="18"/>
  <c r="Q22" i="18"/>
  <c r="P22" i="18"/>
  <c r="O22" i="18"/>
  <c r="N22" i="18"/>
  <c r="M22" i="18"/>
  <c r="R21" i="18"/>
  <c r="Q21" i="18"/>
  <c r="P21" i="18"/>
  <c r="O21" i="18"/>
  <c r="N21" i="18"/>
  <c r="M21" i="18"/>
  <c r="R20" i="18"/>
  <c r="Q20" i="18"/>
  <c r="P20" i="18"/>
  <c r="O20" i="18"/>
  <c r="N20" i="18"/>
  <c r="M20" i="18"/>
  <c r="R19" i="18"/>
  <c r="Q19" i="18"/>
  <c r="P19" i="18"/>
  <c r="O19" i="18"/>
  <c r="N19" i="18"/>
  <c r="M19" i="18"/>
  <c r="R18" i="18"/>
  <c r="Q18" i="18"/>
  <c r="P18" i="18"/>
  <c r="O18" i="18"/>
  <c r="N18" i="18"/>
  <c r="M18" i="18"/>
  <c r="R17" i="18"/>
  <c r="Q17" i="18"/>
  <c r="P17" i="18"/>
  <c r="O17" i="18"/>
  <c r="N17" i="18"/>
  <c r="M17" i="18"/>
  <c r="R16" i="18"/>
  <c r="Q16" i="18"/>
  <c r="P16" i="18"/>
  <c r="O16" i="18"/>
  <c r="N16" i="18"/>
  <c r="M16" i="18"/>
  <c r="R15" i="18"/>
  <c r="Q15" i="18"/>
  <c r="P15" i="18"/>
  <c r="O15" i="18"/>
  <c r="N15" i="18"/>
  <c r="M15" i="18"/>
  <c r="R14" i="18"/>
  <c r="Q14" i="18"/>
  <c r="P14" i="18"/>
  <c r="O14" i="18"/>
  <c r="N14" i="18"/>
  <c r="M14" i="18"/>
  <c r="R13" i="18"/>
  <c r="Q13" i="18"/>
  <c r="P13" i="18"/>
  <c r="O13" i="18"/>
  <c r="N13" i="18"/>
  <c r="M13" i="18"/>
  <c r="R12" i="18"/>
  <c r="Q12" i="18"/>
  <c r="P12" i="18"/>
  <c r="O12" i="18"/>
  <c r="N12" i="18"/>
  <c r="M12" i="18"/>
  <c r="R11" i="18"/>
  <c r="Q11" i="18"/>
  <c r="P11" i="18"/>
  <c r="O11" i="18"/>
  <c r="N11" i="18"/>
  <c r="M11" i="18"/>
  <c r="R10" i="18"/>
  <c r="Q10" i="18"/>
  <c r="P10" i="18"/>
  <c r="O10" i="18"/>
  <c r="N10" i="18"/>
  <c r="M10" i="18"/>
  <c r="R9" i="18"/>
  <c r="I170" i="18" s="1"/>
  <c r="Q9" i="18"/>
  <c r="H170" i="18" s="1"/>
  <c r="P9" i="18"/>
  <c r="G170" i="18" s="1"/>
  <c r="O9" i="18"/>
  <c r="F170" i="18" s="1"/>
  <c r="N9" i="18"/>
  <c r="E170" i="18" s="1"/>
  <c r="M9" i="18"/>
  <c r="G184" i="18" s="1"/>
  <c r="C288" i="17"/>
  <c r="D272" i="17"/>
  <c r="H270" i="17"/>
  <c r="G263" i="17"/>
  <c r="D254" i="17"/>
  <c r="H252" i="17" s="1"/>
  <c r="G245" i="17"/>
  <c r="H238" i="17"/>
  <c r="I237" i="17"/>
  <c r="D235" i="17"/>
  <c r="D236" i="17" s="1"/>
  <c r="I227" i="17"/>
  <c r="D226" i="17"/>
  <c r="D225" i="17"/>
  <c r="D217" i="17"/>
  <c r="D216" i="17"/>
  <c r="D209" i="17"/>
  <c r="D210" i="17" s="1"/>
  <c r="C201" i="17"/>
  <c r="C200" i="17"/>
  <c r="B288" i="17" s="1"/>
  <c r="C176" i="17"/>
  <c r="B176" i="17"/>
  <c r="F175" i="17"/>
  <c r="E175" i="17"/>
  <c r="D175" i="17"/>
  <c r="F174" i="17"/>
  <c r="E174" i="17"/>
  <c r="D174" i="17"/>
  <c r="F173" i="17"/>
  <c r="E173" i="17"/>
  <c r="D173" i="17"/>
  <c r="F172" i="17"/>
  <c r="E172" i="17"/>
  <c r="D172" i="17"/>
  <c r="F171" i="17"/>
  <c r="E171" i="17"/>
  <c r="E176" i="17" s="1"/>
  <c r="I178" i="17" s="1"/>
  <c r="D171" i="17"/>
  <c r="F170" i="17"/>
  <c r="E170" i="17"/>
  <c r="D170" i="17"/>
  <c r="F169" i="17"/>
  <c r="E169" i="17"/>
  <c r="D169" i="17"/>
  <c r="L168" i="17"/>
  <c r="F168" i="17"/>
  <c r="E168" i="17"/>
  <c r="D168" i="17"/>
  <c r="L167" i="17"/>
  <c r="F167" i="17"/>
  <c r="E167" i="17"/>
  <c r="D167" i="17"/>
  <c r="L166" i="17"/>
  <c r="F166" i="17"/>
  <c r="E166" i="17"/>
  <c r="D166" i="17"/>
  <c r="F165" i="17"/>
  <c r="E165" i="17"/>
  <c r="D165" i="17"/>
  <c r="F164" i="17"/>
  <c r="E164" i="17"/>
  <c r="D164" i="17"/>
  <c r="F163" i="17"/>
  <c r="E163" i="17"/>
  <c r="D163" i="17"/>
  <c r="F162" i="17"/>
  <c r="F176" i="17" s="1"/>
  <c r="N178" i="17" s="1"/>
  <c r="E162" i="17"/>
  <c r="D162" i="17"/>
  <c r="F161" i="17"/>
  <c r="E161" i="17"/>
  <c r="D161" i="17"/>
  <c r="F160" i="17"/>
  <c r="E160" i="17"/>
  <c r="D160" i="17"/>
  <c r="N159" i="17"/>
  <c r="F159" i="17"/>
  <c r="E159" i="17"/>
  <c r="D159" i="17"/>
  <c r="N158" i="17"/>
  <c r="C145" i="17"/>
  <c r="B145" i="17"/>
  <c r="F144" i="17"/>
  <c r="E144" i="17"/>
  <c r="D144" i="17"/>
  <c r="F143" i="17"/>
  <c r="E143" i="17"/>
  <c r="D143" i="17"/>
  <c r="F142" i="17"/>
  <c r="E142" i="17"/>
  <c r="D142" i="17"/>
  <c r="F141" i="17"/>
  <c r="E141" i="17"/>
  <c r="D141" i="17"/>
  <c r="F140" i="17"/>
  <c r="E140" i="17"/>
  <c r="D140" i="17"/>
  <c r="F139" i="17"/>
  <c r="E139" i="17"/>
  <c r="D139" i="17"/>
  <c r="F138" i="17"/>
  <c r="E138" i="17"/>
  <c r="D138" i="17"/>
  <c r="L137" i="17"/>
  <c r="E194" i="17" s="1"/>
  <c r="F137" i="17"/>
  <c r="E137" i="17"/>
  <c r="D137" i="17"/>
  <c r="L136" i="17"/>
  <c r="E193" i="17" s="1"/>
  <c r="F136" i="17"/>
  <c r="E136" i="17"/>
  <c r="D136" i="17"/>
  <c r="L135" i="17"/>
  <c r="F135" i="17"/>
  <c r="E135" i="17"/>
  <c r="D135" i="17"/>
  <c r="F134" i="17"/>
  <c r="E134" i="17"/>
  <c r="D134" i="17"/>
  <c r="F133" i="17"/>
  <c r="E133" i="17"/>
  <c r="D133" i="17"/>
  <c r="F132" i="17"/>
  <c r="E132" i="17"/>
  <c r="D132" i="17"/>
  <c r="F131" i="17"/>
  <c r="E131" i="17"/>
  <c r="D131" i="17"/>
  <c r="F130" i="17"/>
  <c r="E130" i="17"/>
  <c r="D130" i="17"/>
  <c r="F129" i="17"/>
  <c r="E129" i="17"/>
  <c r="D129" i="17"/>
  <c r="N128" i="17"/>
  <c r="F128" i="17"/>
  <c r="E128" i="17"/>
  <c r="E145" i="17" s="1"/>
  <c r="I147" i="17" s="1"/>
  <c r="E196" i="17" s="1"/>
  <c r="D128" i="17"/>
  <c r="N127" i="17"/>
  <c r="C114" i="17"/>
  <c r="B114" i="17"/>
  <c r="F113" i="17"/>
  <c r="E113" i="17"/>
  <c r="D113" i="17"/>
  <c r="F112" i="17"/>
  <c r="E112" i="17"/>
  <c r="D112" i="17"/>
  <c r="F111" i="17"/>
  <c r="E111" i="17"/>
  <c r="D111" i="17"/>
  <c r="F110" i="17"/>
  <c r="E110" i="17"/>
  <c r="D110" i="17"/>
  <c r="F109" i="17"/>
  <c r="E109" i="17"/>
  <c r="D109" i="17"/>
  <c r="F108" i="17"/>
  <c r="E108" i="17"/>
  <c r="D108" i="17"/>
  <c r="F107" i="17"/>
  <c r="E107" i="17"/>
  <c r="D107" i="17"/>
  <c r="L106" i="17"/>
  <c r="F106" i="17"/>
  <c r="E106" i="17"/>
  <c r="D106" i="17"/>
  <c r="L105" i="17"/>
  <c r="F105" i="17"/>
  <c r="E105" i="17"/>
  <c r="D105" i="17"/>
  <c r="L104" i="17"/>
  <c r="F104" i="17"/>
  <c r="E104" i="17"/>
  <c r="D104" i="17"/>
  <c r="F103" i="17"/>
  <c r="E103" i="17"/>
  <c r="D103" i="17"/>
  <c r="F102" i="17"/>
  <c r="E102" i="17"/>
  <c r="D102" i="17"/>
  <c r="F101" i="17"/>
  <c r="E101" i="17"/>
  <c r="D101" i="17"/>
  <c r="F100" i="17"/>
  <c r="E100" i="17"/>
  <c r="D100" i="17"/>
  <c r="F99" i="17"/>
  <c r="E99" i="17"/>
  <c r="D99" i="17"/>
  <c r="F98" i="17"/>
  <c r="E98" i="17"/>
  <c r="D98" i="17"/>
  <c r="N97" i="17"/>
  <c r="F97" i="17"/>
  <c r="E97" i="17"/>
  <c r="D97" i="17"/>
  <c r="N96" i="17"/>
  <c r="C83" i="17"/>
  <c r="B83" i="17"/>
  <c r="F82" i="17"/>
  <c r="E82" i="17"/>
  <c r="D82" i="17"/>
  <c r="F81" i="17"/>
  <c r="E81" i="17"/>
  <c r="D81" i="17"/>
  <c r="F80" i="17"/>
  <c r="E80" i="17"/>
  <c r="D80" i="17"/>
  <c r="F79" i="17"/>
  <c r="E79" i="17"/>
  <c r="D79" i="17"/>
  <c r="F78" i="17"/>
  <c r="E78" i="17"/>
  <c r="E83" i="17" s="1"/>
  <c r="I85" i="17" s="1"/>
  <c r="D78" i="17"/>
  <c r="F77" i="17"/>
  <c r="E77" i="17"/>
  <c r="D77" i="17"/>
  <c r="F76" i="17"/>
  <c r="E76" i="17"/>
  <c r="D76" i="17"/>
  <c r="L75" i="17"/>
  <c r="F75" i="17"/>
  <c r="E75" i="17"/>
  <c r="D75" i="17"/>
  <c r="L74" i="17"/>
  <c r="F74" i="17"/>
  <c r="E74" i="17"/>
  <c r="D74" i="17"/>
  <c r="L73" i="17"/>
  <c r="F73" i="17"/>
  <c r="E73" i="17"/>
  <c r="D73" i="17"/>
  <c r="F72" i="17"/>
  <c r="E72" i="17"/>
  <c r="D72" i="17"/>
  <c r="F71" i="17"/>
  <c r="E71" i="17"/>
  <c r="D71" i="17"/>
  <c r="F70" i="17"/>
  <c r="E70" i="17"/>
  <c r="D70" i="17"/>
  <c r="F69" i="17"/>
  <c r="E69" i="17"/>
  <c r="D69" i="17"/>
  <c r="F68" i="17"/>
  <c r="E68" i="17"/>
  <c r="D68" i="17"/>
  <c r="F67" i="17"/>
  <c r="E67" i="17"/>
  <c r="D67" i="17"/>
  <c r="N66" i="17"/>
  <c r="F66" i="17"/>
  <c r="E66" i="17"/>
  <c r="D66" i="17"/>
  <c r="D83" i="17" s="1"/>
  <c r="D85" i="17" s="1"/>
  <c r="N65" i="17"/>
  <c r="C52" i="17"/>
  <c r="B52" i="17"/>
  <c r="F51" i="17"/>
  <c r="E51" i="17"/>
  <c r="D51" i="17"/>
  <c r="F50" i="17"/>
  <c r="E50" i="17"/>
  <c r="D50" i="17"/>
  <c r="F49" i="17"/>
  <c r="E49" i="17"/>
  <c r="D49" i="17"/>
  <c r="F48" i="17"/>
  <c r="E48" i="17"/>
  <c r="D48" i="17"/>
  <c r="F47" i="17"/>
  <c r="E47" i="17"/>
  <c r="D47" i="17"/>
  <c r="F46" i="17"/>
  <c r="E46" i="17"/>
  <c r="D46" i="17"/>
  <c r="F45" i="17"/>
  <c r="E45" i="17"/>
  <c r="D45" i="17"/>
  <c r="L44" i="17"/>
  <c r="F44" i="17"/>
  <c r="E44" i="17"/>
  <c r="D44" i="17"/>
  <c r="L43" i="17"/>
  <c r="F43" i="17"/>
  <c r="E43" i="17"/>
  <c r="D43" i="17"/>
  <c r="L42" i="17"/>
  <c r="F42" i="17"/>
  <c r="E42" i="17"/>
  <c r="D42" i="17"/>
  <c r="F41" i="17"/>
  <c r="E41" i="17"/>
  <c r="D41" i="17"/>
  <c r="F40" i="17"/>
  <c r="E40" i="17"/>
  <c r="D40" i="17"/>
  <c r="F39" i="17"/>
  <c r="E39" i="17"/>
  <c r="D39" i="17"/>
  <c r="F38" i="17"/>
  <c r="E38" i="17"/>
  <c r="D38" i="17"/>
  <c r="F37" i="17"/>
  <c r="E37" i="17"/>
  <c r="D37" i="17"/>
  <c r="F36" i="17"/>
  <c r="E36" i="17"/>
  <c r="D36" i="17"/>
  <c r="N35" i="17"/>
  <c r="F35" i="17"/>
  <c r="E35" i="17"/>
  <c r="D35" i="17"/>
  <c r="N34" i="17"/>
  <c r="C21" i="17"/>
  <c r="B21" i="17"/>
  <c r="F20" i="17"/>
  <c r="E20" i="17"/>
  <c r="D20" i="17"/>
  <c r="F19" i="17"/>
  <c r="E19" i="17"/>
  <c r="D19" i="17"/>
  <c r="F18" i="17"/>
  <c r="E18" i="17"/>
  <c r="D18" i="17"/>
  <c r="F17" i="17"/>
  <c r="E17" i="17"/>
  <c r="D17" i="17"/>
  <c r="F16" i="17"/>
  <c r="E16" i="17"/>
  <c r="D16" i="17"/>
  <c r="F15" i="17"/>
  <c r="E15" i="17"/>
  <c r="D15" i="17"/>
  <c r="F14" i="17"/>
  <c r="E14" i="17"/>
  <c r="D14" i="17"/>
  <c r="L13" i="17"/>
  <c r="F13" i="17"/>
  <c r="E13" i="17"/>
  <c r="D13" i="17"/>
  <c r="L12" i="17"/>
  <c r="F12" i="17"/>
  <c r="E12" i="17"/>
  <c r="D12" i="17"/>
  <c r="L11" i="17"/>
  <c r="F11" i="17"/>
  <c r="E11" i="17"/>
  <c r="D11" i="17"/>
  <c r="F10" i="17"/>
  <c r="E10" i="17"/>
  <c r="D10" i="17"/>
  <c r="F9" i="17"/>
  <c r="E9" i="17"/>
  <c r="D9" i="17"/>
  <c r="F8" i="17"/>
  <c r="E8" i="17"/>
  <c r="D8" i="17"/>
  <c r="F7" i="17"/>
  <c r="E7" i="17"/>
  <c r="D7" i="17"/>
  <c r="F6" i="17"/>
  <c r="E6" i="17"/>
  <c r="D6" i="17"/>
  <c r="F5" i="17"/>
  <c r="E5" i="17"/>
  <c r="D5" i="17"/>
  <c r="N4" i="17"/>
  <c r="F4" i="17"/>
  <c r="E4" i="17"/>
  <c r="D4" i="17"/>
  <c r="N3" i="17"/>
  <c r="H238" i="16"/>
  <c r="H228" i="16"/>
  <c r="H247" i="16"/>
  <c r="H265" i="16"/>
  <c r="I237" i="16"/>
  <c r="I227" i="16"/>
  <c r="G225" i="16" s="1"/>
  <c r="D272" i="16"/>
  <c r="H270" i="16" s="1"/>
  <c r="D254" i="16"/>
  <c r="H252" i="16" s="1"/>
  <c r="D236" i="16"/>
  <c r="D226" i="16"/>
  <c r="K195" i="16"/>
  <c r="K193" i="16"/>
  <c r="E197" i="16"/>
  <c r="I195" i="16" s="1"/>
  <c r="D201" i="16" s="1"/>
  <c r="E196" i="16"/>
  <c r="I194" i="16" s="1"/>
  <c r="D199" i="16" s="1"/>
  <c r="E199" i="16" s="1"/>
  <c r="E195" i="16"/>
  <c r="E194" i="16"/>
  <c r="E193" i="16"/>
  <c r="C194" i="16"/>
  <c r="C193" i="16"/>
  <c r="H190" i="16"/>
  <c r="G190" i="16"/>
  <c r="F190" i="16"/>
  <c r="E190" i="16"/>
  <c r="D190" i="16"/>
  <c r="H189" i="16"/>
  <c r="G189" i="16"/>
  <c r="F189" i="16"/>
  <c r="C190" i="16"/>
  <c r="E189" i="16"/>
  <c r="D189" i="16"/>
  <c r="C189" i="16"/>
  <c r="G263" i="16"/>
  <c r="G245" i="16"/>
  <c r="D235" i="16"/>
  <c r="D225" i="16"/>
  <c r="D217" i="16"/>
  <c r="D216" i="16"/>
  <c r="D210" i="16"/>
  <c r="D209" i="16"/>
  <c r="C201" i="16"/>
  <c r="C200" i="16"/>
  <c r="C288" i="16" s="1"/>
  <c r="C176" i="16"/>
  <c r="B176" i="16"/>
  <c r="H175" i="16"/>
  <c r="I175" i="16" s="1"/>
  <c r="F175" i="16"/>
  <c r="E175" i="16"/>
  <c r="D175" i="16"/>
  <c r="H174" i="16"/>
  <c r="I174" i="16" s="1"/>
  <c r="F174" i="16"/>
  <c r="E174" i="16"/>
  <c r="D174" i="16"/>
  <c r="H173" i="16"/>
  <c r="I173" i="16" s="1"/>
  <c r="F173" i="16"/>
  <c r="E173" i="16"/>
  <c r="D173" i="16"/>
  <c r="H172" i="16"/>
  <c r="I172" i="16" s="1"/>
  <c r="F172" i="16"/>
  <c r="E172" i="16"/>
  <c r="D172" i="16"/>
  <c r="H171" i="16"/>
  <c r="I171" i="16" s="1"/>
  <c r="F171" i="16"/>
  <c r="E171" i="16"/>
  <c r="D171" i="16"/>
  <c r="H170" i="16"/>
  <c r="I170" i="16" s="1"/>
  <c r="F170" i="16"/>
  <c r="E170" i="16"/>
  <c r="D170" i="16"/>
  <c r="H169" i="16"/>
  <c r="I169" i="16" s="1"/>
  <c r="F169" i="16"/>
  <c r="E169" i="16"/>
  <c r="D169" i="16"/>
  <c r="L168" i="16"/>
  <c r="H168" i="16"/>
  <c r="I168" i="16" s="1"/>
  <c r="F168" i="16"/>
  <c r="E168" i="16"/>
  <c r="D168" i="16"/>
  <c r="L167" i="16"/>
  <c r="H167" i="16"/>
  <c r="I167" i="16" s="1"/>
  <c r="F167" i="16"/>
  <c r="E167" i="16"/>
  <c r="D167" i="16"/>
  <c r="L166" i="16"/>
  <c r="H166" i="16"/>
  <c r="I166" i="16" s="1"/>
  <c r="F166" i="16"/>
  <c r="E166" i="16"/>
  <c r="D166" i="16"/>
  <c r="H165" i="16"/>
  <c r="I165" i="16" s="1"/>
  <c r="F165" i="16"/>
  <c r="E165" i="16"/>
  <c r="D165" i="16"/>
  <c r="H164" i="16"/>
  <c r="I164" i="16" s="1"/>
  <c r="F164" i="16"/>
  <c r="E164" i="16"/>
  <c r="D164" i="16"/>
  <c r="H163" i="16"/>
  <c r="I163" i="16" s="1"/>
  <c r="F163" i="16"/>
  <c r="E163" i="16"/>
  <c r="D163" i="16"/>
  <c r="H162" i="16"/>
  <c r="I162" i="16" s="1"/>
  <c r="F162" i="16"/>
  <c r="E162" i="16"/>
  <c r="D162" i="16"/>
  <c r="H161" i="16"/>
  <c r="I161" i="16" s="1"/>
  <c r="F161" i="16"/>
  <c r="E161" i="16"/>
  <c r="D161" i="16"/>
  <c r="H160" i="16"/>
  <c r="I160" i="16" s="1"/>
  <c r="F160" i="16"/>
  <c r="E160" i="16"/>
  <c r="D160" i="16"/>
  <c r="N159" i="16"/>
  <c r="F159" i="16"/>
  <c r="F176" i="16" s="1"/>
  <c r="N178" i="16" s="1"/>
  <c r="E159" i="16"/>
  <c r="D159" i="16"/>
  <c r="D176" i="16" s="1"/>
  <c r="D178" i="16" s="1"/>
  <c r="N158" i="16"/>
  <c r="C145" i="16"/>
  <c r="B145" i="16"/>
  <c r="H144" i="16"/>
  <c r="I144" i="16" s="1"/>
  <c r="F144" i="16"/>
  <c r="E144" i="16"/>
  <c r="D144" i="16"/>
  <c r="H143" i="16"/>
  <c r="I143" i="16" s="1"/>
  <c r="F143" i="16"/>
  <c r="E143" i="16"/>
  <c r="D143" i="16"/>
  <c r="H142" i="16"/>
  <c r="I142" i="16" s="1"/>
  <c r="F142" i="16"/>
  <c r="E142" i="16"/>
  <c r="D142" i="16"/>
  <c r="H141" i="16"/>
  <c r="I141" i="16" s="1"/>
  <c r="F141" i="16"/>
  <c r="E141" i="16"/>
  <c r="D141" i="16"/>
  <c r="H140" i="16"/>
  <c r="I140" i="16" s="1"/>
  <c r="F140" i="16"/>
  <c r="E140" i="16"/>
  <c r="D140" i="16"/>
  <c r="H139" i="16"/>
  <c r="I139" i="16" s="1"/>
  <c r="F139" i="16"/>
  <c r="E139" i="16"/>
  <c r="D139" i="16"/>
  <c r="H138" i="16"/>
  <c r="I138" i="16" s="1"/>
  <c r="F138" i="16"/>
  <c r="E138" i="16"/>
  <c r="D138" i="16"/>
  <c r="L137" i="16"/>
  <c r="H137" i="16"/>
  <c r="I137" i="16" s="1"/>
  <c r="F137" i="16"/>
  <c r="E137" i="16"/>
  <c r="D137" i="16"/>
  <c r="L136" i="16"/>
  <c r="H136" i="16"/>
  <c r="I136" i="16" s="1"/>
  <c r="F136" i="16"/>
  <c r="E136" i="16"/>
  <c r="D136" i="16"/>
  <c r="L135" i="16"/>
  <c r="H135" i="16"/>
  <c r="I135" i="16" s="1"/>
  <c r="F135" i="16"/>
  <c r="E135" i="16"/>
  <c r="D135" i="16"/>
  <c r="H134" i="16"/>
  <c r="I134" i="16" s="1"/>
  <c r="F134" i="16"/>
  <c r="E134" i="16"/>
  <c r="D134" i="16"/>
  <c r="H133" i="16"/>
  <c r="I133" i="16" s="1"/>
  <c r="F133" i="16"/>
  <c r="E133" i="16"/>
  <c r="D133" i="16"/>
  <c r="H132" i="16"/>
  <c r="I132" i="16" s="1"/>
  <c r="F132" i="16"/>
  <c r="E132" i="16"/>
  <c r="D132" i="16"/>
  <c r="H131" i="16"/>
  <c r="I131" i="16" s="1"/>
  <c r="F131" i="16"/>
  <c r="E131" i="16"/>
  <c r="D131" i="16"/>
  <c r="H130" i="16"/>
  <c r="I130" i="16" s="1"/>
  <c r="F130" i="16"/>
  <c r="E130" i="16"/>
  <c r="D130" i="16"/>
  <c r="H129" i="16"/>
  <c r="I129" i="16" s="1"/>
  <c r="F129" i="16"/>
  <c r="E129" i="16"/>
  <c r="D129" i="16"/>
  <c r="N128" i="16"/>
  <c r="H128" i="16"/>
  <c r="F128" i="16"/>
  <c r="F145" i="16" s="1"/>
  <c r="N147" i="16" s="1"/>
  <c r="E128" i="16"/>
  <c r="D128" i="16"/>
  <c r="N127" i="16"/>
  <c r="C114" i="16"/>
  <c r="B114" i="16"/>
  <c r="H113" i="16"/>
  <c r="I113" i="16" s="1"/>
  <c r="F113" i="16"/>
  <c r="E113" i="16"/>
  <c r="D113" i="16"/>
  <c r="H112" i="16"/>
  <c r="I112" i="16" s="1"/>
  <c r="F112" i="16"/>
  <c r="E112" i="16"/>
  <c r="D112" i="16"/>
  <c r="H111" i="16"/>
  <c r="I111" i="16" s="1"/>
  <c r="F111" i="16"/>
  <c r="E111" i="16"/>
  <c r="D111" i="16"/>
  <c r="H110" i="16"/>
  <c r="I110" i="16" s="1"/>
  <c r="F110" i="16"/>
  <c r="E110" i="16"/>
  <c r="D110" i="16"/>
  <c r="H109" i="16"/>
  <c r="I109" i="16" s="1"/>
  <c r="F109" i="16"/>
  <c r="E109" i="16"/>
  <c r="D109" i="16"/>
  <c r="H108" i="16"/>
  <c r="I108" i="16" s="1"/>
  <c r="F108" i="16"/>
  <c r="E108" i="16"/>
  <c r="D108" i="16"/>
  <c r="H107" i="16"/>
  <c r="I107" i="16" s="1"/>
  <c r="F107" i="16"/>
  <c r="E107" i="16"/>
  <c r="D107" i="16"/>
  <c r="L106" i="16"/>
  <c r="H106" i="16"/>
  <c r="I106" i="16" s="1"/>
  <c r="F106" i="16"/>
  <c r="E106" i="16"/>
  <c r="D106" i="16"/>
  <c r="L105" i="16"/>
  <c r="H105" i="16"/>
  <c r="I105" i="16" s="1"/>
  <c r="F105" i="16"/>
  <c r="E105" i="16"/>
  <c r="D105" i="16"/>
  <c r="L104" i="16"/>
  <c r="H104" i="16"/>
  <c r="I104" i="16" s="1"/>
  <c r="F104" i="16"/>
  <c r="E104" i="16"/>
  <c r="D104" i="16"/>
  <c r="H103" i="16"/>
  <c r="I103" i="16" s="1"/>
  <c r="F103" i="16"/>
  <c r="E103" i="16"/>
  <c r="D103" i="16"/>
  <c r="H102" i="16"/>
  <c r="I102" i="16" s="1"/>
  <c r="F102" i="16"/>
  <c r="E102" i="16"/>
  <c r="D102" i="16"/>
  <c r="H101" i="16"/>
  <c r="I101" i="16" s="1"/>
  <c r="F101" i="16"/>
  <c r="E101" i="16"/>
  <c r="D101" i="16"/>
  <c r="H100" i="16"/>
  <c r="I100" i="16" s="1"/>
  <c r="F100" i="16"/>
  <c r="E100" i="16"/>
  <c r="D100" i="16"/>
  <c r="H99" i="16"/>
  <c r="I99" i="16" s="1"/>
  <c r="F99" i="16"/>
  <c r="E99" i="16"/>
  <c r="D99" i="16"/>
  <c r="H98" i="16"/>
  <c r="I98" i="16" s="1"/>
  <c r="F98" i="16"/>
  <c r="E98" i="16"/>
  <c r="D98" i="16"/>
  <c r="N97" i="16"/>
  <c r="F97" i="16"/>
  <c r="F114" i="16" s="1"/>
  <c r="N116" i="16" s="1"/>
  <c r="E97" i="16"/>
  <c r="E114" i="16" s="1"/>
  <c r="I116" i="16" s="1"/>
  <c r="D97" i="16"/>
  <c r="N96" i="16"/>
  <c r="C83" i="16"/>
  <c r="B83" i="16"/>
  <c r="H82" i="16"/>
  <c r="I82" i="16" s="1"/>
  <c r="F82" i="16"/>
  <c r="E82" i="16"/>
  <c r="D82" i="16"/>
  <c r="H81" i="16"/>
  <c r="I81" i="16" s="1"/>
  <c r="F81" i="16"/>
  <c r="E81" i="16"/>
  <c r="D81" i="16"/>
  <c r="H80" i="16"/>
  <c r="I80" i="16" s="1"/>
  <c r="F80" i="16"/>
  <c r="E80" i="16"/>
  <c r="D80" i="16"/>
  <c r="H79" i="16"/>
  <c r="I79" i="16" s="1"/>
  <c r="F79" i="16"/>
  <c r="E79" i="16"/>
  <c r="D79" i="16"/>
  <c r="H78" i="16"/>
  <c r="I78" i="16" s="1"/>
  <c r="F78" i="16"/>
  <c r="E78" i="16"/>
  <c r="D78" i="16"/>
  <c r="H77" i="16"/>
  <c r="I77" i="16" s="1"/>
  <c r="F77" i="16"/>
  <c r="E77" i="16"/>
  <c r="D77" i="16"/>
  <c r="H76" i="16"/>
  <c r="I76" i="16" s="1"/>
  <c r="F76" i="16"/>
  <c r="E76" i="16"/>
  <c r="D76" i="16"/>
  <c r="L75" i="16"/>
  <c r="H75" i="16"/>
  <c r="I75" i="16" s="1"/>
  <c r="F75" i="16"/>
  <c r="E75" i="16"/>
  <c r="D75" i="16"/>
  <c r="L74" i="16"/>
  <c r="H74" i="16"/>
  <c r="I74" i="16" s="1"/>
  <c r="F74" i="16"/>
  <c r="E74" i="16"/>
  <c r="D74" i="16"/>
  <c r="L73" i="16"/>
  <c r="H73" i="16"/>
  <c r="I73" i="16" s="1"/>
  <c r="F73" i="16"/>
  <c r="E73" i="16"/>
  <c r="D73" i="16"/>
  <c r="H72" i="16"/>
  <c r="I72" i="16" s="1"/>
  <c r="F72" i="16"/>
  <c r="E72" i="16"/>
  <c r="D72" i="16"/>
  <c r="H71" i="16"/>
  <c r="I71" i="16" s="1"/>
  <c r="F71" i="16"/>
  <c r="E71" i="16"/>
  <c r="D71" i="16"/>
  <c r="H70" i="16"/>
  <c r="I70" i="16" s="1"/>
  <c r="F70" i="16"/>
  <c r="E70" i="16"/>
  <c r="D70" i="16"/>
  <c r="H69" i="16"/>
  <c r="I69" i="16" s="1"/>
  <c r="F69" i="16"/>
  <c r="E69" i="16"/>
  <c r="D69" i="16"/>
  <c r="H68" i="16"/>
  <c r="I68" i="16" s="1"/>
  <c r="F68" i="16"/>
  <c r="E68" i="16"/>
  <c r="D68" i="16"/>
  <c r="H67" i="16"/>
  <c r="F67" i="16"/>
  <c r="E67" i="16"/>
  <c r="D67" i="16"/>
  <c r="N66" i="16"/>
  <c r="G83" i="16"/>
  <c r="F66" i="16"/>
  <c r="F83" i="16" s="1"/>
  <c r="E66" i="16"/>
  <c r="D66" i="16"/>
  <c r="N65" i="16"/>
  <c r="C52" i="16"/>
  <c r="B52" i="16"/>
  <c r="H51" i="16"/>
  <c r="I51" i="16" s="1"/>
  <c r="F51" i="16"/>
  <c r="E51" i="16"/>
  <c r="D51" i="16"/>
  <c r="H50" i="16"/>
  <c r="I50" i="16" s="1"/>
  <c r="F50" i="16"/>
  <c r="E50" i="16"/>
  <c r="D50" i="16"/>
  <c r="H49" i="16"/>
  <c r="I49" i="16" s="1"/>
  <c r="F49" i="16"/>
  <c r="E49" i="16"/>
  <c r="D49" i="16"/>
  <c r="H48" i="16"/>
  <c r="I48" i="16" s="1"/>
  <c r="F48" i="16"/>
  <c r="E48" i="16"/>
  <c r="D48" i="16"/>
  <c r="H47" i="16"/>
  <c r="I47" i="16" s="1"/>
  <c r="F47" i="16"/>
  <c r="E47" i="16"/>
  <c r="D47" i="16"/>
  <c r="H46" i="16"/>
  <c r="I46" i="16" s="1"/>
  <c r="F46" i="16"/>
  <c r="E46" i="16"/>
  <c r="D46" i="16"/>
  <c r="H45" i="16"/>
  <c r="I45" i="16" s="1"/>
  <c r="F45" i="16"/>
  <c r="E45" i="16"/>
  <c r="D45" i="16"/>
  <c r="L44" i="16"/>
  <c r="H44" i="16"/>
  <c r="I44" i="16" s="1"/>
  <c r="F44" i="16"/>
  <c r="E44" i="16"/>
  <c r="D44" i="16"/>
  <c r="L43" i="16"/>
  <c r="H43" i="16"/>
  <c r="I43" i="16" s="1"/>
  <c r="F43" i="16"/>
  <c r="E43" i="16"/>
  <c r="D43" i="16"/>
  <c r="L42" i="16"/>
  <c r="H42" i="16"/>
  <c r="I42" i="16" s="1"/>
  <c r="F42" i="16"/>
  <c r="E42" i="16"/>
  <c r="D42" i="16"/>
  <c r="H41" i="16"/>
  <c r="I41" i="16" s="1"/>
  <c r="F41" i="16"/>
  <c r="E41" i="16"/>
  <c r="D41" i="16"/>
  <c r="H40" i="16"/>
  <c r="I40" i="16" s="1"/>
  <c r="F40" i="16"/>
  <c r="E40" i="16"/>
  <c r="D40" i="16"/>
  <c r="H39" i="16"/>
  <c r="I39" i="16" s="1"/>
  <c r="F39" i="16"/>
  <c r="E39" i="16"/>
  <c r="D39" i="16"/>
  <c r="H38" i="16"/>
  <c r="I38" i="16" s="1"/>
  <c r="F38" i="16"/>
  <c r="E38" i="16"/>
  <c r="D38" i="16"/>
  <c r="H37" i="16"/>
  <c r="I37" i="16" s="1"/>
  <c r="F37" i="16"/>
  <c r="E37" i="16"/>
  <c r="D37" i="16"/>
  <c r="H36" i="16"/>
  <c r="I36" i="16" s="1"/>
  <c r="F36" i="16"/>
  <c r="E36" i="16"/>
  <c r="D36" i="16"/>
  <c r="N35" i="16"/>
  <c r="G52" i="16"/>
  <c r="F35" i="16"/>
  <c r="F52" i="16" s="1"/>
  <c r="N54" i="16" s="1"/>
  <c r="E35" i="16"/>
  <c r="D35" i="16"/>
  <c r="N34" i="16"/>
  <c r="L26" i="16"/>
  <c r="I23" i="16"/>
  <c r="K173" i="18" l="1"/>
  <c r="T170" i="18"/>
  <c r="I167" i="18"/>
  <c r="I181" i="18" s="1"/>
  <c r="K174" i="18"/>
  <c r="U170" i="18"/>
  <c r="I168" i="18"/>
  <c r="I182" i="18" s="1"/>
  <c r="S184" i="18"/>
  <c r="W186" i="18" s="1"/>
  <c r="K186" i="18"/>
  <c r="Q170" i="18"/>
  <c r="K170" i="18"/>
  <c r="G167" i="18"/>
  <c r="G181" i="18" s="1"/>
  <c r="K171" i="18"/>
  <c r="R170" i="18"/>
  <c r="G168" i="18"/>
  <c r="G182" i="18" s="1"/>
  <c r="S170" i="18"/>
  <c r="K172" i="18"/>
  <c r="I166" i="18"/>
  <c r="I180" i="18" s="1"/>
  <c r="AC22" i="18"/>
  <c r="D170" i="18"/>
  <c r="H184" i="18"/>
  <c r="I184" i="18"/>
  <c r="D184" i="18"/>
  <c r="P184" i="18" s="1"/>
  <c r="W183" i="18" s="1"/>
  <c r="E184" i="18"/>
  <c r="F184" i="18"/>
  <c r="AF22" i="18"/>
  <c r="T158" i="20"/>
  <c r="W158" i="20" s="1"/>
  <c r="T144" i="20"/>
  <c r="W144" i="20" s="1"/>
  <c r="V252" i="7"/>
  <c r="V266" i="7"/>
  <c r="X287" i="6"/>
  <c r="X301" i="6"/>
  <c r="P241" i="16"/>
  <c r="P231" i="16"/>
  <c r="AH22" i="21"/>
  <c r="AA22" i="21"/>
  <c r="AJ22" i="21"/>
  <c r="AI22" i="21"/>
  <c r="AB22" i="21"/>
  <c r="O44" i="21"/>
  <c r="AF13" i="21"/>
  <c r="X13" i="21"/>
  <c r="AG12" i="21"/>
  <c r="Y12" i="21"/>
  <c r="AH11" i="21"/>
  <c r="Z11" i="21"/>
  <c r="AI10" i="21"/>
  <c r="AA10" i="21"/>
  <c r="AC13" i="21"/>
  <c r="AD12" i="21"/>
  <c r="AF10" i="21"/>
  <c r="AA13" i="21"/>
  <c r="AJ12" i="21"/>
  <c r="AB12" i="21"/>
  <c r="AC11" i="21"/>
  <c r="AL10" i="21"/>
  <c r="V10" i="21"/>
  <c r="Z13" i="21"/>
  <c r="AK10" i="21"/>
  <c r="AG13" i="21"/>
  <c r="Y13" i="21"/>
  <c r="AH12" i="21"/>
  <c r="Z12" i="21"/>
  <c r="AI11" i="21"/>
  <c r="AA11" i="21"/>
  <c r="AJ10" i="21"/>
  <c r="AE13" i="21"/>
  <c r="W13" i="21"/>
  <c r="AF12" i="21"/>
  <c r="X12" i="21"/>
  <c r="AG11" i="21"/>
  <c r="Y11" i="21"/>
  <c r="AH10" i="21"/>
  <c r="Z10" i="21"/>
  <c r="AL12" i="21"/>
  <c r="AE11" i="21"/>
  <c r="W11" i="21"/>
  <c r="X10" i="21"/>
  <c r="AI13" i="21"/>
  <c r="AK11" i="21"/>
  <c r="AD10" i="21"/>
  <c r="AH13" i="21"/>
  <c r="AA12" i="21"/>
  <c r="AB11" i="21"/>
  <c r="AL13" i="21"/>
  <c r="AD13" i="21"/>
  <c r="V13" i="21"/>
  <c r="AE12" i="21"/>
  <c r="W12" i="21"/>
  <c r="AF11" i="21"/>
  <c r="X11" i="21"/>
  <c r="AG10" i="21"/>
  <c r="Y10" i="21"/>
  <c r="AK13" i="21"/>
  <c r="V12" i="21"/>
  <c r="AJ13" i="21"/>
  <c r="AB13" i="21"/>
  <c r="AK12" i="21"/>
  <c r="AC12" i="21"/>
  <c r="AL11" i="21"/>
  <c r="AD11" i="21"/>
  <c r="V11" i="21"/>
  <c r="AE10" i="21"/>
  <c r="W10" i="21"/>
  <c r="AB10" i="21"/>
  <c r="AI12" i="21"/>
  <c r="AJ11" i="21"/>
  <c r="AC10" i="21"/>
  <c r="AC22" i="21"/>
  <c r="AK22" i="21"/>
  <c r="V22" i="21"/>
  <c r="AD22" i="21"/>
  <c r="AL22" i="21"/>
  <c r="W22" i="21"/>
  <c r="X22" i="21"/>
  <c r="AF22" i="21"/>
  <c r="H137" i="21"/>
  <c r="K139" i="21" s="1"/>
  <c r="Y22" i="21"/>
  <c r="AG22" i="21"/>
  <c r="AE22" i="21"/>
  <c r="Z22" i="21"/>
  <c r="G137" i="20"/>
  <c r="K138" i="20" s="1"/>
  <c r="R48" i="20"/>
  <c r="E44" i="20"/>
  <c r="D65" i="20" s="1"/>
  <c r="K137" i="20"/>
  <c r="K151" i="20"/>
  <c r="AI34" i="20"/>
  <c r="AI33" i="20"/>
  <c r="AI32" i="20"/>
  <c r="Z34" i="20"/>
  <c r="Z33" i="20"/>
  <c r="Z32" i="20"/>
  <c r="P34" i="20"/>
  <c r="P32" i="20"/>
  <c r="O34" i="20"/>
  <c r="O32" i="20"/>
  <c r="R33" i="20"/>
  <c r="R31" i="20"/>
  <c r="Q33" i="20"/>
  <c r="Q31" i="20"/>
  <c r="P33" i="20"/>
  <c r="P31" i="20"/>
  <c r="O33" i="20"/>
  <c r="F34" i="20"/>
  <c r="F32" i="20"/>
  <c r="E34" i="20"/>
  <c r="E32" i="20"/>
  <c r="D34" i="20"/>
  <c r="D32" i="20"/>
  <c r="G33" i="20"/>
  <c r="G31" i="20"/>
  <c r="F33" i="20"/>
  <c r="F31" i="20"/>
  <c r="E33" i="20"/>
  <c r="E31" i="20"/>
  <c r="D33" i="20"/>
  <c r="AH13" i="20"/>
  <c r="Z13" i="20"/>
  <c r="AI12" i="20"/>
  <c r="AA12" i="20"/>
  <c r="AJ11" i="20"/>
  <c r="AB11" i="20"/>
  <c r="AK10" i="20"/>
  <c r="AC10" i="20"/>
  <c r="AG13" i="20"/>
  <c r="Y13" i="20"/>
  <c r="AH12" i="20"/>
  <c r="Z12" i="20"/>
  <c r="AI11" i="20"/>
  <c r="AA11" i="20"/>
  <c r="AJ10" i="20"/>
  <c r="AB10" i="20"/>
  <c r="AF13" i="20"/>
  <c r="X13" i="20"/>
  <c r="AG12" i="20"/>
  <c r="Y12" i="20"/>
  <c r="AH11" i="20"/>
  <c r="Z11" i="20"/>
  <c r="AI10" i="20"/>
  <c r="AA10" i="20"/>
  <c r="AE13" i="20"/>
  <c r="W13" i="20"/>
  <c r="AF12" i="20"/>
  <c r="X12" i="20"/>
  <c r="AG11" i="20"/>
  <c r="Y11" i="20"/>
  <c r="AH10" i="20"/>
  <c r="Z10" i="20"/>
  <c r="AL13" i="20"/>
  <c r="AD13" i="20"/>
  <c r="V13" i="20"/>
  <c r="AE12" i="20"/>
  <c r="W12" i="20"/>
  <c r="AF11" i="20"/>
  <c r="X11" i="20"/>
  <c r="AG10" i="20"/>
  <c r="Y10" i="20"/>
  <c r="AK13" i="20"/>
  <c r="AC13" i="20"/>
  <c r="AL12" i="20"/>
  <c r="AD12" i="20"/>
  <c r="V12" i="20"/>
  <c r="AE11" i="20"/>
  <c r="W11" i="20"/>
  <c r="AF10" i="20"/>
  <c r="X10" i="20"/>
  <c r="AJ13" i="20"/>
  <c r="AB13" i="20"/>
  <c r="AK12" i="20"/>
  <c r="AC12" i="20"/>
  <c r="AL11" i="20"/>
  <c r="AD11" i="20"/>
  <c r="V11" i="20"/>
  <c r="AE10" i="20"/>
  <c r="W10" i="20"/>
  <c r="AI13" i="20"/>
  <c r="AA13" i="20"/>
  <c r="AJ12" i="20"/>
  <c r="AB12" i="20"/>
  <c r="AK11" i="20"/>
  <c r="AC11" i="20"/>
  <c r="AL10" i="20"/>
  <c r="AD10" i="20"/>
  <c r="V22" i="20"/>
  <c r="AD22" i="20"/>
  <c r="AL22" i="20"/>
  <c r="W22" i="20"/>
  <c r="AE22" i="20"/>
  <c r="X22" i="20"/>
  <c r="AF22" i="20"/>
  <c r="Y22" i="20"/>
  <c r="AG22" i="20"/>
  <c r="AC22" i="20"/>
  <c r="AK22" i="20"/>
  <c r="Z22" i="20"/>
  <c r="AH22" i="20"/>
  <c r="AA22" i="20"/>
  <c r="AI22" i="20"/>
  <c r="AB22" i="20"/>
  <c r="AG22" i="19"/>
  <c r="AJ22" i="19"/>
  <c r="X22" i="19"/>
  <c r="Y22" i="19"/>
  <c r="Z22" i="19"/>
  <c r="AB22" i="19"/>
  <c r="I168" i="19"/>
  <c r="I182" i="19" s="1"/>
  <c r="K174" i="19"/>
  <c r="G167" i="19"/>
  <c r="G181" i="19" s="1"/>
  <c r="K170" i="19"/>
  <c r="G168" i="19"/>
  <c r="G182" i="19" s="1"/>
  <c r="K171" i="19"/>
  <c r="K172" i="19"/>
  <c r="I166" i="19"/>
  <c r="I180" i="19" s="1"/>
  <c r="AA22" i="19"/>
  <c r="AI22" i="19"/>
  <c r="F184" i="19"/>
  <c r="K185" i="19" s="1"/>
  <c r="D170" i="19"/>
  <c r="G184" i="19"/>
  <c r="K186" i="19" s="1"/>
  <c r="AC22" i="19"/>
  <c r="AK22" i="19"/>
  <c r="H184" i="19"/>
  <c r="K187" i="19" s="1"/>
  <c r="V22" i="19"/>
  <c r="AD22" i="19"/>
  <c r="AL22" i="19"/>
  <c r="I167" i="19"/>
  <c r="I181" i="19" s="1"/>
  <c r="I184" i="19"/>
  <c r="K188" i="19" s="1"/>
  <c r="V9" i="19" a="1"/>
  <c r="W22" i="19"/>
  <c r="AJ22" i="18"/>
  <c r="AB22" i="18"/>
  <c r="AK22" i="18"/>
  <c r="AI22" i="18"/>
  <c r="AA22" i="18"/>
  <c r="AH22" i="18"/>
  <c r="Z22" i="18"/>
  <c r="AG22" i="18"/>
  <c r="Y22" i="18"/>
  <c r="X22" i="18"/>
  <c r="Q46" i="18" s="1"/>
  <c r="D44" i="18" s="1"/>
  <c r="AE22" i="18"/>
  <c r="W22" i="18"/>
  <c r="AL22" i="18"/>
  <c r="AD22" i="18"/>
  <c r="AL15" i="18"/>
  <c r="AD15" i="18"/>
  <c r="V15" i="18"/>
  <c r="AE14" i="18"/>
  <c r="W14" i="18"/>
  <c r="AF13" i="18"/>
  <c r="X13" i="18"/>
  <c r="AG12" i="18"/>
  <c r="Y12" i="18"/>
  <c r="AH11" i="18"/>
  <c r="Z11" i="18"/>
  <c r="AI10" i="18"/>
  <c r="AA10" i="18"/>
  <c r="AJ9" i="18"/>
  <c r="AB9" i="18"/>
  <c r="AK15" i="18"/>
  <c r="AC15" i="18"/>
  <c r="AL14" i="18"/>
  <c r="AD14" i="18"/>
  <c r="V14" i="18"/>
  <c r="AE13" i="18"/>
  <c r="W13" i="18"/>
  <c r="AF12" i="18"/>
  <c r="X12" i="18"/>
  <c r="AG11" i="18"/>
  <c r="Y11" i="18"/>
  <c r="AH10" i="18"/>
  <c r="Z10" i="18"/>
  <c r="AI9" i="18"/>
  <c r="AA9" i="18"/>
  <c r="AJ15" i="18"/>
  <c r="AK14" i="18"/>
  <c r="AD13" i="18"/>
  <c r="V13" i="18"/>
  <c r="W12" i="18"/>
  <c r="AF11" i="18"/>
  <c r="X11" i="18"/>
  <c r="AG10" i="18"/>
  <c r="Y10" i="18"/>
  <c r="AH9" i="18"/>
  <c r="AB15" i="18"/>
  <c r="AC14" i="18"/>
  <c r="AL13" i="18"/>
  <c r="AE12" i="18"/>
  <c r="Z9" i="18"/>
  <c r="AI15" i="18"/>
  <c r="AA15" i="18"/>
  <c r="AJ14" i="18"/>
  <c r="AB14" i="18"/>
  <c r="AK13" i="18"/>
  <c r="AC13" i="18"/>
  <c r="AL12" i="18"/>
  <c r="AD12" i="18"/>
  <c r="V12" i="18"/>
  <c r="AE11" i="18"/>
  <c r="W11" i="18"/>
  <c r="AF10" i="18"/>
  <c r="X10" i="18"/>
  <c r="AG9" i="18"/>
  <c r="Y9" i="18"/>
  <c r="AH15" i="18"/>
  <c r="Z15" i="18"/>
  <c r="AI14" i="18"/>
  <c r="AA14" i="18"/>
  <c r="AJ13" i="18"/>
  <c r="AB13" i="18"/>
  <c r="AK12" i="18"/>
  <c r="AC12" i="18"/>
  <c r="AL11" i="18"/>
  <c r="AD11" i="18"/>
  <c r="V11" i="18"/>
  <c r="AE10" i="18"/>
  <c r="W10" i="18"/>
  <c r="AF9" i="18"/>
  <c r="X9" i="18"/>
  <c r="AG15" i="18"/>
  <c r="Y15" i="18"/>
  <c r="AH14" i="18"/>
  <c r="Z14" i="18"/>
  <c r="AI13" i="18"/>
  <c r="AA13" i="18"/>
  <c r="AJ12" i="18"/>
  <c r="AB12" i="18"/>
  <c r="AK11" i="18"/>
  <c r="AC11" i="18"/>
  <c r="AL10" i="18"/>
  <c r="AD10" i="18"/>
  <c r="V10" i="18"/>
  <c r="AE9" i="18"/>
  <c r="W9" i="18"/>
  <c r="AF15" i="18"/>
  <c r="X15" i="18"/>
  <c r="AG14" i="18"/>
  <c r="Y14" i="18"/>
  <c r="AH13" i="18"/>
  <c r="Z13" i="18"/>
  <c r="AI12" i="18"/>
  <c r="AA12" i="18"/>
  <c r="AJ11" i="18"/>
  <c r="AB11" i="18"/>
  <c r="AK10" i="18"/>
  <c r="AC10" i="18"/>
  <c r="AL9" i="18"/>
  <c r="AD9" i="18"/>
  <c r="V9" i="18"/>
  <c r="AE15" i="18"/>
  <c r="W15" i="18"/>
  <c r="AF14" i="18"/>
  <c r="X14" i="18"/>
  <c r="AG13" i="18"/>
  <c r="Y13" i="18"/>
  <c r="AH12" i="18"/>
  <c r="Z12" i="18"/>
  <c r="AI11" i="18"/>
  <c r="AA11" i="18"/>
  <c r="AJ10" i="18"/>
  <c r="AB10" i="18"/>
  <c r="AK9" i="18"/>
  <c r="D176" i="17"/>
  <c r="D178" i="17" s="1"/>
  <c r="D145" i="17"/>
  <c r="D147" i="17" s="1"/>
  <c r="L150" i="17" s="1"/>
  <c r="K193" i="17" s="1"/>
  <c r="F145" i="17"/>
  <c r="N147" i="17" s="1"/>
  <c r="E197" i="17" s="1"/>
  <c r="D114" i="17"/>
  <c r="D116" i="17" s="1"/>
  <c r="F21" i="17"/>
  <c r="N23" i="17" s="1"/>
  <c r="D21" i="17"/>
  <c r="D23" i="17" s="1"/>
  <c r="D52" i="17"/>
  <c r="D54" i="17" s="1"/>
  <c r="D249" i="17"/>
  <c r="G209" i="17"/>
  <c r="E52" i="17"/>
  <c r="I54" i="17" s="1"/>
  <c r="L88" i="17"/>
  <c r="P88" i="17" s="1"/>
  <c r="L91" i="17" s="1"/>
  <c r="F52" i="17"/>
  <c r="N54" i="17" s="1"/>
  <c r="E21" i="17"/>
  <c r="I23" i="17" s="1"/>
  <c r="C181" i="17"/>
  <c r="L181" i="17"/>
  <c r="P181" i="17" s="1"/>
  <c r="L184" i="17" s="1"/>
  <c r="E114" i="17"/>
  <c r="I116" i="17" s="1"/>
  <c r="G216" i="17"/>
  <c r="D267" i="17"/>
  <c r="F83" i="17"/>
  <c r="N85" i="17" s="1"/>
  <c r="C88" i="17" s="1"/>
  <c r="F114" i="17"/>
  <c r="N116" i="17" s="1"/>
  <c r="I195" i="17"/>
  <c r="D201" i="17" s="1"/>
  <c r="G225" i="17"/>
  <c r="G235" i="17"/>
  <c r="H228" i="17"/>
  <c r="I238" i="16"/>
  <c r="I228" i="16"/>
  <c r="I193" i="16"/>
  <c r="J216" i="16" s="1"/>
  <c r="C219" i="16" s="1"/>
  <c r="G216" i="16"/>
  <c r="D249" i="16"/>
  <c r="K197" i="16"/>
  <c r="G209" i="16"/>
  <c r="G235" i="16"/>
  <c r="D267" i="16"/>
  <c r="B288" i="16"/>
  <c r="E176" i="16"/>
  <c r="I178" i="16" s="1"/>
  <c r="L181" i="16" s="1"/>
  <c r="P181" i="16" s="1"/>
  <c r="L184" i="16" s="1"/>
  <c r="G176" i="16"/>
  <c r="D145" i="16"/>
  <c r="D147" i="16" s="1"/>
  <c r="L150" i="16" s="1"/>
  <c r="P150" i="16" s="1"/>
  <c r="L153" i="16" s="1"/>
  <c r="E145" i="16"/>
  <c r="I147" i="16" s="1"/>
  <c r="G145" i="16"/>
  <c r="G114" i="16"/>
  <c r="D114" i="16"/>
  <c r="D116" i="16" s="1"/>
  <c r="L119" i="16" s="1"/>
  <c r="P119" i="16" s="1"/>
  <c r="L122" i="16" s="1"/>
  <c r="D83" i="16"/>
  <c r="D85" i="16" s="1"/>
  <c r="E83" i="16"/>
  <c r="I85" i="16" s="1"/>
  <c r="N85" i="16"/>
  <c r="H66" i="16"/>
  <c r="I66" i="16" s="1"/>
  <c r="E52" i="16"/>
  <c r="I54" i="16" s="1"/>
  <c r="C57" i="16" s="1"/>
  <c r="H57" i="16" s="1"/>
  <c r="D52" i="16"/>
  <c r="D54" i="16" s="1"/>
  <c r="L57" i="16" s="1"/>
  <c r="P57" i="16" s="1"/>
  <c r="L60" i="16" s="1"/>
  <c r="H159" i="16"/>
  <c r="H145" i="16"/>
  <c r="I128" i="16"/>
  <c r="I145" i="16" s="1"/>
  <c r="H97" i="16"/>
  <c r="L88" i="16"/>
  <c r="P88" i="16" s="1"/>
  <c r="L91" i="16" s="1"/>
  <c r="C88" i="16"/>
  <c r="H88" i="16" s="1"/>
  <c r="I67" i="16"/>
  <c r="H35" i="16"/>
  <c r="P26" i="16"/>
  <c r="U184" i="18" l="1"/>
  <c r="W188" i="18" s="1"/>
  <c r="K188" i="18"/>
  <c r="W171" i="18"/>
  <c r="S168" i="18"/>
  <c r="S182" i="18" s="1"/>
  <c r="K184" i="18"/>
  <c r="Q184" i="18"/>
  <c r="W184" i="18" s="1"/>
  <c r="K187" i="18"/>
  <c r="T184" i="18"/>
  <c r="W187" i="18" s="1"/>
  <c r="U168" i="18"/>
  <c r="U182" i="18" s="1"/>
  <c r="W174" i="18"/>
  <c r="K169" i="18"/>
  <c r="P170" i="18"/>
  <c r="G166" i="18"/>
  <c r="G180" i="18" s="1"/>
  <c r="W170" i="18"/>
  <c r="S167" i="18"/>
  <c r="S181" i="18" s="1"/>
  <c r="U167" i="18"/>
  <c r="U181" i="18" s="1"/>
  <c r="W173" i="18"/>
  <c r="U166" i="18"/>
  <c r="U180" i="18" s="1"/>
  <c r="W172" i="18"/>
  <c r="D30" i="18" a="1"/>
  <c r="Z30" i="18" a="1"/>
  <c r="K183" i="18"/>
  <c r="R184" i="18"/>
  <c r="W185" i="18" s="1"/>
  <c r="K185" i="18"/>
  <c r="O42" i="21"/>
  <c r="Z31" i="21" a="1"/>
  <c r="D31" i="21" a="1"/>
  <c r="Q46" i="19"/>
  <c r="AG15" i="19"/>
  <c r="Y15" i="19"/>
  <c r="AH14" i="19"/>
  <c r="Z14" i="19"/>
  <c r="AI13" i="19"/>
  <c r="AA13" i="19"/>
  <c r="AJ12" i="19"/>
  <c r="AB12" i="19"/>
  <c r="AK11" i="19"/>
  <c r="AC11" i="19"/>
  <c r="AL10" i="19"/>
  <c r="AD10" i="19"/>
  <c r="V10" i="19"/>
  <c r="AE9" i="19"/>
  <c r="W9" i="19"/>
  <c r="AE15" i="19"/>
  <c r="W15" i="19"/>
  <c r="AF14" i="19"/>
  <c r="X14" i="19"/>
  <c r="AG13" i="19"/>
  <c r="Y13" i="19"/>
  <c r="AH12" i="19"/>
  <c r="Z12" i="19"/>
  <c r="AI11" i="19"/>
  <c r="AA11" i="19"/>
  <c r="AJ10" i="19"/>
  <c r="AB10" i="19"/>
  <c r="AK9" i="19"/>
  <c r="AC9" i="19"/>
  <c r="AL15" i="19"/>
  <c r="AD15" i="19"/>
  <c r="V15" i="19"/>
  <c r="AE14" i="19"/>
  <c r="W14" i="19"/>
  <c r="AF13" i="19"/>
  <c r="X13" i="19"/>
  <c r="AG12" i="19"/>
  <c r="Y12" i="19"/>
  <c r="AH11" i="19"/>
  <c r="Z11" i="19"/>
  <c r="AI10" i="19"/>
  <c r="AA10" i="19"/>
  <c r="AJ9" i="19"/>
  <c r="AB9" i="19"/>
  <c r="AH15" i="19"/>
  <c r="AA14" i="19"/>
  <c r="AB13" i="19"/>
  <c r="AC12" i="19"/>
  <c r="AD11" i="19"/>
  <c r="AE10" i="19"/>
  <c r="AF9" i="19"/>
  <c r="X9" i="19"/>
  <c r="AF15" i="19"/>
  <c r="X15" i="19"/>
  <c r="AG14" i="19"/>
  <c r="Y14" i="19"/>
  <c r="AK15" i="19"/>
  <c r="AC15" i="19"/>
  <c r="AL14" i="19"/>
  <c r="AD14" i="19"/>
  <c r="V14" i="19"/>
  <c r="AE13" i="19"/>
  <c r="W13" i="19"/>
  <c r="AF12" i="19"/>
  <c r="X12" i="19"/>
  <c r="AG11" i="19"/>
  <c r="Y11" i="19"/>
  <c r="AH10" i="19"/>
  <c r="Z10" i="19"/>
  <c r="AI9" i="19"/>
  <c r="AA9" i="19"/>
  <c r="AJ15" i="19"/>
  <c r="AB15" i="19"/>
  <c r="AK14" i="19"/>
  <c r="AC14" i="19"/>
  <c r="AL13" i="19"/>
  <c r="AD13" i="19"/>
  <c r="V13" i="19"/>
  <c r="AE12" i="19"/>
  <c r="W12" i="19"/>
  <c r="AF11" i="19"/>
  <c r="X11" i="19"/>
  <c r="AG10" i="19"/>
  <c r="Y10" i="19"/>
  <c r="AH9" i="19"/>
  <c r="Z9" i="19"/>
  <c r="AI15" i="19"/>
  <c r="AA15" i="19"/>
  <c r="AJ14" i="19"/>
  <c r="AB14" i="19"/>
  <c r="AK13" i="19"/>
  <c r="AC13" i="19"/>
  <c r="AL12" i="19"/>
  <c r="AD12" i="19"/>
  <c r="V12" i="19"/>
  <c r="AE11" i="19"/>
  <c r="W11" i="19"/>
  <c r="AF10" i="19"/>
  <c r="X10" i="19"/>
  <c r="AG9" i="19"/>
  <c r="Y9" i="19"/>
  <c r="Z15" i="19"/>
  <c r="AI14" i="19"/>
  <c r="AJ13" i="19"/>
  <c r="AK12" i="19"/>
  <c r="AL11" i="19"/>
  <c r="V11" i="19"/>
  <c r="W10" i="19"/>
  <c r="AB11" i="19"/>
  <c r="AK10" i="19"/>
  <c r="AC10" i="19"/>
  <c r="V9" i="19"/>
  <c r="AJ11" i="19"/>
  <c r="AH13" i="19"/>
  <c r="AL9" i="19"/>
  <c r="Z13" i="19"/>
  <c r="AD9" i="19"/>
  <c r="AI12" i="19"/>
  <c r="AA12" i="19"/>
  <c r="D44" i="19"/>
  <c r="C65" i="19" s="1"/>
  <c r="G166" i="19"/>
  <c r="G180" i="19" s="1"/>
  <c r="K169" i="19"/>
  <c r="E195" i="17"/>
  <c r="I194" i="17" s="1"/>
  <c r="D199" i="17" s="1"/>
  <c r="E199" i="17" s="1"/>
  <c r="C150" i="17"/>
  <c r="H150" i="17" s="1"/>
  <c r="L119" i="17"/>
  <c r="P119" i="17" s="1"/>
  <c r="L122" i="17" s="1"/>
  <c r="L26" i="17"/>
  <c r="P26" i="17" s="1"/>
  <c r="E189" i="17"/>
  <c r="E190" i="17" s="1"/>
  <c r="H88" i="17"/>
  <c r="H169" i="17"/>
  <c r="I169" i="17" s="1"/>
  <c r="G51" i="17"/>
  <c r="H51" i="17" s="1"/>
  <c r="I51" i="17" s="1"/>
  <c r="H76" i="17"/>
  <c r="I76" i="17" s="1"/>
  <c r="H101" i="17"/>
  <c r="I101" i="17" s="1"/>
  <c r="H71" i="17"/>
  <c r="I71" i="17" s="1"/>
  <c r="H161" i="17"/>
  <c r="I161" i="17" s="1"/>
  <c r="G44" i="17"/>
  <c r="H44" i="17" s="1"/>
  <c r="I44" i="17" s="1"/>
  <c r="H69" i="17"/>
  <c r="I69" i="17" s="1"/>
  <c r="H68" i="17"/>
  <c r="I68" i="17" s="1"/>
  <c r="H162" i="17"/>
  <c r="I162" i="17" s="1"/>
  <c r="H98" i="17"/>
  <c r="I98" i="17" s="1"/>
  <c r="H102" i="17"/>
  <c r="I102" i="17" s="1"/>
  <c r="K197" i="17"/>
  <c r="H265" i="17"/>
  <c r="C119" i="17"/>
  <c r="L57" i="17"/>
  <c r="P57" i="17" s="1"/>
  <c r="L60" i="17" s="1"/>
  <c r="C57" i="17"/>
  <c r="H189" i="17"/>
  <c r="H190" i="17" s="1"/>
  <c r="H181" i="17"/>
  <c r="P150" i="17"/>
  <c r="C26" i="17"/>
  <c r="J225" i="16"/>
  <c r="C228" i="16" s="1"/>
  <c r="F229" i="16" s="1"/>
  <c r="J209" i="16"/>
  <c r="C212" i="16" s="1"/>
  <c r="J235" i="16"/>
  <c r="C238" i="16" s="1"/>
  <c r="F239" i="16" s="1"/>
  <c r="D200" i="16"/>
  <c r="E200" i="16" s="1"/>
  <c r="F199" i="16" s="1"/>
  <c r="C285" i="16" s="1"/>
  <c r="B290" i="16" s="1"/>
  <c r="I196" i="16"/>
  <c r="F219" i="16"/>
  <c r="F220" i="16"/>
  <c r="H267" i="16"/>
  <c r="D276" i="16" s="1"/>
  <c r="H249" i="16"/>
  <c r="D258" i="16" s="1"/>
  <c r="C181" i="16"/>
  <c r="H181" i="16" s="1"/>
  <c r="C150" i="16"/>
  <c r="H150" i="16" s="1"/>
  <c r="C119" i="16"/>
  <c r="H119" i="16" s="1"/>
  <c r="H83" i="16"/>
  <c r="I83" i="16"/>
  <c r="H176" i="16"/>
  <c r="I159" i="16"/>
  <c r="I176" i="16" s="1"/>
  <c r="H114" i="16"/>
  <c r="I97" i="16"/>
  <c r="I114" i="16" s="1"/>
  <c r="H52" i="16"/>
  <c r="I35" i="16"/>
  <c r="I52" i="16" s="1"/>
  <c r="Z30" i="18" l="1"/>
  <c r="Z35" i="18"/>
  <c r="Z34" i="18"/>
  <c r="Z36" i="18"/>
  <c r="Z33" i="18"/>
  <c r="Z32" i="18"/>
  <c r="Z31" i="18"/>
  <c r="W169" i="18"/>
  <c r="S166" i="18"/>
  <c r="S180" i="18" s="1"/>
  <c r="D30" i="18"/>
  <c r="F33" i="18"/>
  <c r="J30" i="18"/>
  <c r="J32" i="18"/>
  <c r="H31" i="18"/>
  <c r="F30" i="18"/>
  <c r="I35" i="18"/>
  <c r="H36" i="18"/>
  <c r="F35" i="18"/>
  <c r="F32" i="18"/>
  <c r="D34" i="18"/>
  <c r="G31" i="18"/>
  <c r="E32" i="18"/>
  <c r="G36" i="18"/>
  <c r="I31" i="18"/>
  <c r="G30" i="18"/>
  <c r="J35" i="18"/>
  <c r="H34" i="18"/>
  <c r="D36" i="18"/>
  <c r="G34" i="18"/>
  <c r="D31" i="18"/>
  <c r="D33" i="18"/>
  <c r="H30" i="18"/>
  <c r="E34" i="18"/>
  <c r="I34" i="18"/>
  <c r="G33" i="18"/>
  <c r="I30" i="18"/>
  <c r="H33" i="18"/>
  <c r="G35" i="18"/>
  <c r="J31" i="18"/>
  <c r="E36" i="18"/>
  <c r="J34" i="18"/>
  <c r="G32" i="18"/>
  <c r="E31" i="18"/>
  <c r="E33" i="18"/>
  <c r="E35" i="18"/>
  <c r="J33" i="18"/>
  <c r="H32" i="18"/>
  <c r="E30" i="18"/>
  <c r="J36" i="18"/>
  <c r="I36" i="18"/>
  <c r="F34" i="18"/>
  <c r="F36" i="18"/>
  <c r="D35" i="18"/>
  <c r="I33" i="18"/>
  <c r="F31" i="18"/>
  <c r="H35" i="18"/>
  <c r="D32" i="18"/>
  <c r="I32" i="18"/>
  <c r="E33" i="21"/>
  <c r="E31" i="21"/>
  <c r="G33" i="21"/>
  <c r="F33" i="21"/>
  <c r="F31" i="21"/>
  <c r="D33" i="21"/>
  <c r="D31" i="21"/>
  <c r="G34" i="21"/>
  <c r="G32" i="21"/>
  <c r="F34" i="21"/>
  <c r="F32" i="21"/>
  <c r="E34" i="21"/>
  <c r="E32" i="21"/>
  <c r="D34" i="21"/>
  <c r="D32" i="21"/>
  <c r="G31" i="21"/>
  <c r="Z32" i="21"/>
  <c r="Z31" i="21"/>
  <c r="Z34" i="21"/>
  <c r="Z33" i="21"/>
  <c r="E44" i="21"/>
  <c r="D65" i="21" s="1"/>
  <c r="E46" i="20"/>
  <c r="E48" i="20"/>
  <c r="D30" i="19" a="1"/>
  <c r="Z30" i="19" a="1"/>
  <c r="C65" i="18"/>
  <c r="G189" i="17"/>
  <c r="I193" i="17"/>
  <c r="G8" i="17"/>
  <c r="H8" i="17" s="1"/>
  <c r="I8" i="17" s="1"/>
  <c r="H166" i="17"/>
  <c r="I166" i="17" s="1"/>
  <c r="H73" i="17"/>
  <c r="I73" i="17" s="1"/>
  <c r="H165" i="17"/>
  <c r="I165" i="17" s="1"/>
  <c r="H109" i="17"/>
  <c r="I109" i="17" s="1"/>
  <c r="H80" i="17"/>
  <c r="I80" i="17" s="1"/>
  <c r="H107" i="17"/>
  <c r="I107" i="17" s="1"/>
  <c r="H173" i="17"/>
  <c r="I173" i="17" s="1"/>
  <c r="G18" i="17"/>
  <c r="H18" i="17" s="1"/>
  <c r="I18" i="17" s="1"/>
  <c r="G13" i="17"/>
  <c r="H13" i="17" s="1"/>
  <c r="I13" i="17" s="1"/>
  <c r="H106" i="17"/>
  <c r="I106" i="17" s="1"/>
  <c r="H105" i="17"/>
  <c r="I105" i="17" s="1"/>
  <c r="H172" i="17"/>
  <c r="I172" i="17" s="1"/>
  <c r="H81" i="17"/>
  <c r="I81" i="17" s="1"/>
  <c r="G40" i="17"/>
  <c r="H40" i="17" s="1"/>
  <c r="I40" i="17" s="1"/>
  <c r="H113" i="17"/>
  <c r="I113" i="17" s="1"/>
  <c r="G15" i="17"/>
  <c r="H15" i="17" s="1"/>
  <c r="I15" i="17" s="1"/>
  <c r="H99" i="17"/>
  <c r="I99" i="17" s="1"/>
  <c r="H134" i="17"/>
  <c r="I134" i="17" s="1"/>
  <c r="H75" i="17"/>
  <c r="I75" i="17" s="1"/>
  <c r="H140" i="17"/>
  <c r="I140" i="17" s="1"/>
  <c r="H79" i="17"/>
  <c r="I79" i="17" s="1"/>
  <c r="H72" i="17"/>
  <c r="I72" i="17" s="1"/>
  <c r="H77" i="17"/>
  <c r="I77" i="17" s="1"/>
  <c r="H139" i="17"/>
  <c r="I139" i="17" s="1"/>
  <c r="H70" i="17"/>
  <c r="I70" i="17" s="1"/>
  <c r="G41" i="17"/>
  <c r="H41" i="17" s="1"/>
  <c r="I41" i="17" s="1"/>
  <c r="G50" i="17"/>
  <c r="H50" i="17" s="1"/>
  <c r="I50" i="17" s="1"/>
  <c r="G7" i="17"/>
  <c r="H7" i="17" s="1"/>
  <c r="I7" i="17" s="1"/>
  <c r="H110" i="17"/>
  <c r="I110" i="17" s="1"/>
  <c r="G12" i="17"/>
  <c r="H12" i="17" s="1"/>
  <c r="I12" i="17" s="1"/>
  <c r="H100" i="17"/>
  <c r="I100" i="17" s="1"/>
  <c r="G6" i="17"/>
  <c r="H6" i="17" s="1"/>
  <c r="I6" i="17" s="1"/>
  <c r="H132" i="17"/>
  <c r="I132" i="17" s="1"/>
  <c r="G19" i="17"/>
  <c r="H19" i="17" s="1"/>
  <c r="I19" i="17" s="1"/>
  <c r="H103" i="17"/>
  <c r="I103" i="17" s="1"/>
  <c r="H167" i="17"/>
  <c r="I167" i="17" s="1"/>
  <c r="H108" i="17"/>
  <c r="I108" i="17" s="1"/>
  <c r="H144" i="17"/>
  <c r="I144" i="17" s="1"/>
  <c r="H74" i="17"/>
  <c r="I74" i="17" s="1"/>
  <c r="H129" i="17"/>
  <c r="I129" i="17" s="1"/>
  <c r="H143" i="17"/>
  <c r="I143" i="17" s="1"/>
  <c r="G4" i="17"/>
  <c r="G21" i="17" s="1"/>
  <c r="H130" i="17"/>
  <c r="I130" i="17" s="1"/>
  <c r="G35" i="17"/>
  <c r="H133" i="17"/>
  <c r="I133" i="17" s="1"/>
  <c r="G16" i="17"/>
  <c r="H16" i="17" s="1"/>
  <c r="I16" i="17" s="1"/>
  <c r="G43" i="17"/>
  <c r="H43" i="17" s="1"/>
  <c r="I43" i="17" s="1"/>
  <c r="H170" i="17"/>
  <c r="I170" i="17" s="1"/>
  <c r="G38" i="17"/>
  <c r="H38" i="17" s="1"/>
  <c r="I38" i="17" s="1"/>
  <c r="H141" i="17"/>
  <c r="I141" i="17" s="1"/>
  <c r="G5" i="17"/>
  <c r="H5" i="17" s="1"/>
  <c r="I5" i="17" s="1"/>
  <c r="H131" i="17"/>
  <c r="I131" i="17" s="1"/>
  <c r="H168" i="17"/>
  <c r="I168" i="17" s="1"/>
  <c r="H111" i="17"/>
  <c r="I111" i="17" s="1"/>
  <c r="G11" i="17"/>
  <c r="H11" i="17" s="1"/>
  <c r="I11" i="17" s="1"/>
  <c r="H82" i="17"/>
  <c r="I82" i="17" s="1"/>
  <c r="H104" i="17"/>
  <c r="I104" i="17" s="1"/>
  <c r="G10" i="17"/>
  <c r="H10" i="17" s="1"/>
  <c r="I10" i="17" s="1"/>
  <c r="H137" i="17"/>
  <c r="I137" i="17" s="1"/>
  <c r="L29" i="17"/>
  <c r="H112" i="17"/>
  <c r="I112" i="17" s="1"/>
  <c r="G14" i="17"/>
  <c r="H14" i="17" s="1"/>
  <c r="I14" i="17" s="1"/>
  <c r="G17" i="17"/>
  <c r="H17" i="17" s="1"/>
  <c r="I17" i="17" s="1"/>
  <c r="G45" i="17"/>
  <c r="H45" i="17" s="1"/>
  <c r="I45" i="17" s="1"/>
  <c r="H171" i="17"/>
  <c r="I171" i="17" s="1"/>
  <c r="G20" i="17"/>
  <c r="H20" i="17" s="1"/>
  <c r="I20" i="17" s="1"/>
  <c r="H138" i="17"/>
  <c r="I138" i="17" s="1"/>
  <c r="G48" i="17"/>
  <c r="H48" i="17" s="1"/>
  <c r="I48" i="17" s="1"/>
  <c r="H174" i="17"/>
  <c r="I174" i="17" s="1"/>
  <c r="G42" i="17"/>
  <c r="H42" i="17" s="1"/>
  <c r="I42" i="17" s="1"/>
  <c r="H160" i="17"/>
  <c r="I160" i="17" s="1"/>
  <c r="G9" i="17"/>
  <c r="H9" i="17" s="1"/>
  <c r="I9" i="17" s="1"/>
  <c r="H135" i="17"/>
  <c r="I135" i="17" s="1"/>
  <c r="H136" i="17"/>
  <c r="I136" i="17" s="1"/>
  <c r="H163" i="17"/>
  <c r="I163" i="17" s="1"/>
  <c r="G46" i="17"/>
  <c r="H46" i="17" s="1"/>
  <c r="I46" i="17" s="1"/>
  <c r="G37" i="17"/>
  <c r="H37" i="17" s="1"/>
  <c r="I37" i="17" s="1"/>
  <c r="H78" i="17"/>
  <c r="I78" i="17" s="1"/>
  <c r="G49" i="17"/>
  <c r="H49" i="17" s="1"/>
  <c r="I49" i="17" s="1"/>
  <c r="H175" i="17"/>
  <c r="I175" i="17" s="1"/>
  <c r="G39" i="17"/>
  <c r="H39" i="17" s="1"/>
  <c r="I39" i="17" s="1"/>
  <c r="H142" i="17"/>
  <c r="I142" i="17" s="1"/>
  <c r="H67" i="17"/>
  <c r="I67" i="17" s="1"/>
  <c r="G36" i="17"/>
  <c r="H36" i="17" s="1"/>
  <c r="I36" i="17" s="1"/>
  <c r="H66" i="17"/>
  <c r="H164" i="17"/>
  <c r="I164" i="17" s="1"/>
  <c r="G47" i="17"/>
  <c r="H47" i="17" s="1"/>
  <c r="I47" i="17" s="1"/>
  <c r="C189" i="17"/>
  <c r="C190" i="17" s="1"/>
  <c r="H26" i="17"/>
  <c r="K195" i="17"/>
  <c r="L153" i="17"/>
  <c r="H35" i="17"/>
  <c r="H128" i="17"/>
  <c r="J225" i="17"/>
  <c r="C228" i="17" s="1"/>
  <c r="I196" i="17"/>
  <c r="D200" i="17"/>
  <c r="E200" i="17" s="1"/>
  <c r="F199" i="17" s="1"/>
  <c r="C285" i="17" s="1"/>
  <c r="B290" i="17" s="1"/>
  <c r="J216" i="17"/>
  <c r="C219" i="17" s="1"/>
  <c r="J235" i="17"/>
  <c r="C238" i="17" s="1"/>
  <c r="J209" i="17"/>
  <c r="C212" i="17" s="1"/>
  <c r="D189" i="17"/>
  <c r="D190" i="17" s="1"/>
  <c r="H57" i="17"/>
  <c r="H159" i="17"/>
  <c r="H97" i="17"/>
  <c r="G190" i="17"/>
  <c r="C194" i="17" s="1"/>
  <c r="C193" i="17"/>
  <c r="H119" i="17"/>
  <c r="F189" i="17"/>
  <c r="F190" i="17" s="1"/>
  <c r="F213" i="16"/>
  <c r="F212" i="16"/>
  <c r="F228" i="16"/>
  <c r="F231" i="16" s="1"/>
  <c r="F238" i="16"/>
  <c r="F241" i="16" s="1"/>
  <c r="D259" i="16"/>
  <c r="D277" i="16"/>
  <c r="N23" i="16"/>
  <c r="C26" i="16" s="1"/>
  <c r="H26" i="16" s="1"/>
  <c r="D23" i="16"/>
  <c r="O29" i="5"/>
  <c r="L13" i="16"/>
  <c r="L12" i="16"/>
  <c r="L11" i="16"/>
  <c r="F21" i="16"/>
  <c r="E21" i="16"/>
  <c r="D21" i="16"/>
  <c r="C21" i="16"/>
  <c r="B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D20" i="16"/>
  <c r="D19" i="16"/>
  <c r="D18" i="16"/>
  <c r="D17" i="16"/>
  <c r="D16" i="16"/>
  <c r="D15" i="16"/>
  <c r="D14" i="16"/>
  <c r="D13" i="16"/>
  <c r="D12" i="16"/>
  <c r="D11" i="16"/>
  <c r="D10" i="16"/>
  <c r="D9" i="16"/>
  <c r="D8" i="16"/>
  <c r="D7" i="16"/>
  <c r="D6" i="16"/>
  <c r="D5" i="16"/>
  <c r="D4" i="16"/>
  <c r="O30" i="18" l="1" a="1"/>
  <c r="O31" i="21" a="1"/>
  <c r="E54" i="20"/>
  <c r="D79" i="20"/>
  <c r="D64" i="20"/>
  <c r="D78" i="20"/>
  <c r="E51" i="20"/>
  <c r="D63" i="20"/>
  <c r="Z33" i="19"/>
  <c r="Z31" i="19"/>
  <c r="Z30" i="19"/>
  <c r="Z34" i="19"/>
  <c r="Z32" i="19"/>
  <c r="Z36" i="19"/>
  <c r="Z35" i="19"/>
  <c r="I36" i="19"/>
  <c r="H35" i="19"/>
  <c r="G34" i="19"/>
  <c r="F33" i="19"/>
  <c r="E32" i="19"/>
  <c r="D31" i="19"/>
  <c r="G36" i="19"/>
  <c r="F35" i="19"/>
  <c r="E34" i="19"/>
  <c r="D33" i="19"/>
  <c r="J31" i="19"/>
  <c r="I30" i="19"/>
  <c r="F36" i="19"/>
  <c r="E35" i="19"/>
  <c r="D34" i="19"/>
  <c r="J32" i="19"/>
  <c r="I31" i="19"/>
  <c r="H30" i="19"/>
  <c r="H34" i="19"/>
  <c r="H36" i="19"/>
  <c r="G35" i="19"/>
  <c r="F34" i="19"/>
  <c r="E33" i="19"/>
  <c r="D32" i="19"/>
  <c r="J30" i="19"/>
  <c r="E36" i="19"/>
  <c r="D35" i="19"/>
  <c r="J33" i="19"/>
  <c r="I32" i="19"/>
  <c r="H31" i="19"/>
  <c r="G30" i="19"/>
  <c r="D36" i="19"/>
  <c r="J34" i="19"/>
  <c r="I33" i="19"/>
  <c r="H32" i="19"/>
  <c r="G31" i="19"/>
  <c r="F30" i="19"/>
  <c r="J35" i="19"/>
  <c r="I34" i="19"/>
  <c r="H33" i="19"/>
  <c r="G32" i="19"/>
  <c r="F31" i="19"/>
  <c r="E30" i="19"/>
  <c r="J36" i="19"/>
  <c r="I35" i="19"/>
  <c r="G33" i="19"/>
  <c r="F32" i="19"/>
  <c r="E31" i="19"/>
  <c r="D30" i="19"/>
  <c r="H4" i="17"/>
  <c r="I4" i="17" s="1"/>
  <c r="I21" i="17" s="1"/>
  <c r="G52" i="17"/>
  <c r="F220" i="17"/>
  <c r="F219" i="17"/>
  <c r="H21" i="17"/>
  <c r="I35" i="17"/>
  <c r="I52" i="17" s="1"/>
  <c r="H52" i="17"/>
  <c r="I159" i="17"/>
  <c r="I176" i="17" s="1"/>
  <c r="H176" i="17"/>
  <c r="H114" i="17"/>
  <c r="I97" i="17"/>
  <c r="I114" i="17" s="1"/>
  <c r="H267" i="17"/>
  <c r="D276" i="17" s="1"/>
  <c r="H249" i="17"/>
  <c r="H83" i="17"/>
  <c r="I66" i="17"/>
  <c r="I83" i="17" s="1"/>
  <c r="I128" i="17"/>
  <c r="I145" i="17" s="1"/>
  <c r="H145" i="17"/>
  <c r="I228" i="17"/>
  <c r="F213" i="17"/>
  <c r="H247" i="17"/>
  <c r="D258" i="17" s="1"/>
  <c r="F212" i="17"/>
  <c r="I238" i="17"/>
  <c r="G18" i="16"/>
  <c r="H18" i="16" s="1"/>
  <c r="I18" i="16" s="1"/>
  <c r="G12" i="16"/>
  <c r="H12" i="16" s="1"/>
  <c r="I12" i="16" s="1"/>
  <c r="G11" i="16"/>
  <c r="H11" i="16" s="1"/>
  <c r="I11" i="16" s="1"/>
  <c r="G7" i="16"/>
  <c r="H7" i="16" s="1"/>
  <c r="I7" i="16" s="1"/>
  <c r="G20" i="16"/>
  <c r="H20" i="16" s="1"/>
  <c r="I20" i="16" s="1"/>
  <c r="G6" i="16"/>
  <c r="H6" i="16" s="1"/>
  <c r="I6" i="16" s="1"/>
  <c r="G14" i="16"/>
  <c r="H14" i="16" s="1"/>
  <c r="I14" i="16" s="1"/>
  <c r="G15" i="16"/>
  <c r="H15" i="16" s="1"/>
  <c r="I15" i="16" s="1"/>
  <c r="L29" i="16"/>
  <c r="G8" i="16"/>
  <c r="H8" i="16" s="1"/>
  <c r="I8" i="16" s="1"/>
  <c r="G16" i="16"/>
  <c r="H16" i="16" s="1"/>
  <c r="I16" i="16" s="1"/>
  <c r="G9" i="16"/>
  <c r="H9" i="16" s="1"/>
  <c r="I9" i="16" s="1"/>
  <c r="G17" i="16"/>
  <c r="H17" i="16" s="1"/>
  <c r="I17" i="16" s="1"/>
  <c r="G10" i="16"/>
  <c r="H10" i="16" s="1"/>
  <c r="I10" i="16" s="1"/>
  <c r="N4" i="16"/>
  <c r="N3" i="16"/>
  <c r="D423" i="8"/>
  <c r="H421" i="8" s="1"/>
  <c r="G414" i="8"/>
  <c r="D405" i="8"/>
  <c r="H403" i="8"/>
  <c r="G396" i="8"/>
  <c r="D387" i="8"/>
  <c r="H385" i="8" s="1"/>
  <c r="G378" i="8"/>
  <c r="D369" i="8"/>
  <c r="H367" i="8" s="1"/>
  <c r="G360" i="8"/>
  <c r="D351" i="8"/>
  <c r="H349" i="8" s="1"/>
  <c r="G342" i="8"/>
  <c r="D333" i="8"/>
  <c r="H331" i="8"/>
  <c r="G324" i="8"/>
  <c r="D315" i="8"/>
  <c r="H313" i="8" s="1"/>
  <c r="G306" i="8"/>
  <c r="K293" i="8"/>
  <c r="D293" i="8"/>
  <c r="D292" i="8"/>
  <c r="K279" i="8"/>
  <c r="D278" i="8"/>
  <c r="D279" i="8" s="1"/>
  <c r="N274" i="8"/>
  <c r="N273" i="8"/>
  <c r="N272" i="8"/>
  <c r="N271" i="8"/>
  <c r="N270" i="8"/>
  <c r="N269" i="8"/>
  <c r="N268" i="8"/>
  <c r="N267" i="8"/>
  <c r="N266" i="8"/>
  <c r="N265" i="8"/>
  <c r="G265" i="8"/>
  <c r="D265" i="8"/>
  <c r="D266" i="8" s="1"/>
  <c r="N264" i="8"/>
  <c r="N263" i="8"/>
  <c r="N262" i="8"/>
  <c r="N261" i="8"/>
  <c r="N260" i="8"/>
  <c r="N259" i="8"/>
  <c r="N258" i="8"/>
  <c r="N257" i="8"/>
  <c r="N256" i="8"/>
  <c r="N255" i="8"/>
  <c r="G255" i="8"/>
  <c r="D255" i="8"/>
  <c r="D256" i="8" s="1"/>
  <c r="N254" i="8"/>
  <c r="N253" i="8"/>
  <c r="N252" i="8"/>
  <c r="N251" i="8"/>
  <c r="N250" i="8"/>
  <c r="N249" i="8"/>
  <c r="N248" i="8"/>
  <c r="N247" i="8"/>
  <c r="N246" i="8"/>
  <c r="D246" i="8"/>
  <c r="N245" i="8"/>
  <c r="G245" i="8"/>
  <c r="D245" i="8"/>
  <c r="N244" i="8"/>
  <c r="N243" i="8"/>
  <c r="N242" i="8"/>
  <c r="N241" i="8"/>
  <c r="N240" i="8"/>
  <c r="N239" i="8"/>
  <c r="N238" i="8"/>
  <c r="N237" i="8"/>
  <c r="N236" i="8"/>
  <c r="D236" i="8"/>
  <c r="N235" i="8"/>
  <c r="G235" i="8"/>
  <c r="D235" i="8"/>
  <c r="N234" i="8"/>
  <c r="N233" i="8"/>
  <c r="N232" i="8"/>
  <c r="N231" i="8"/>
  <c r="N230" i="8"/>
  <c r="N229" i="8"/>
  <c r="N228" i="8"/>
  <c r="N227" i="8"/>
  <c r="N226" i="8"/>
  <c r="D226" i="8"/>
  <c r="N225" i="8"/>
  <c r="G225" i="8"/>
  <c r="D225" i="8"/>
  <c r="N224" i="8"/>
  <c r="N223" i="8"/>
  <c r="N222" i="8"/>
  <c r="N221" i="8"/>
  <c r="N220" i="8"/>
  <c r="N219" i="8"/>
  <c r="N218" i="8"/>
  <c r="N217" i="8"/>
  <c r="N216" i="8"/>
  <c r="D216" i="8"/>
  <c r="N215" i="8"/>
  <c r="G215" i="8"/>
  <c r="D215" i="8"/>
  <c r="N214" i="8"/>
  <c r="N213" i="8"/>
  <c r="N212" i="8"/>
  <c r="N211" i="8"/>
  <c r="N210" i="8"/>
  <c r="N209" i="8"/>
  <c r="N208" i="8"/>
  <c r="N207" i="8"/>
  <c r="N206" i="8"/>
  <c r="D206" i="8"/>
  <c r="N205" i="8"/>
  <c r="G205" i="8"/>
  <c r="D205" i="8"/>
  <c r="N204" i="8"/>
  <c r="N203" i="8"/>
  <c r="N202" i="8"/>
  <c r="N201" i="8"/>
  <c r="N200" i="8"/>
  <c r="N199" i="8"/>
  <c r="N198" i="8"/>
  <c r="N197" i="8"/>
  <c r="C197" i="8"/>
  <c r="A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EP135" i="8"/>
  <c r="S135" i="8"/>
  <c r="R135" i="8"/>
  <c r="Q135" i="8"/>
  <c r="P135" i="8"/>
  <c r="O135" i="8"/>
  <c r="N135" i="8"/>
  <c r="EP134" i="8"/>
  <c r="S134" i="8"/>
  <c r="R134" i="8"/>
  <c r="Q134" i="8"/>
  <c r="P134" i="8"/>
  <c r="O134" i="8"/>
  <c r="N134" i="8"/>
  <c r="EP133" i="8"/>
  <c r="S133" i="8"/>
  <c r="R133" i="8"/>
  <c r="Q133" i="8"/>
  <c r="P133" i="8"/>
  <c r="O133" i="8"/>
  <c r="N133" i="8"/>
  <c r="EP132" i="8"/>
  <c r="S132" i="8"/>
  <c r="R132" i="8"/>
  <c r="Q132" i="8"/>
  <c r="P132" i="8"/>
  <c r="O132" i="8"/>
  <c r="N132" i="8"/>
  <c r="EP131" i="8"/>
  <c r="S131" i="8"/>
  <c r="R131" i="8"/>
  <c r="Q131" i="8"/>
  <c r="P131" i="8"/>
  <c r="O131" i="8"/>
  <c r="N131" i="8"/>
  <c r="EP130" i="8"/>
  <c r="S130" i="8"/>
  <c r="R130" i="8"/>
  <c r="Q130" i="8"/>
  <c r="P130" i="8"/>
  <c r="O130" i="8"/>
  <c r="N130" i="8"/>
  <c r="EP129" i="8"/>
  <c r="S129" i="8"/>
  <c r="R129" i="8"/>
  <c r="Q129" i="8"/>
  <c r="P129" i="8"/>
  <c r="O129" i="8"/>
  <c r="N129" i="8"/>
  <c r="EP128" i="8"/>
  <c r="S128" i="8"/>
  <c r="R128" i="8"/>
  <c r="Q128" i="8"/>
  <c r="P128" i="8"/>
  <c r="O128" i="8"/>
  <c r="N128" i="8"/>
  <c r="EP127" i="8"/>
  <c r="S127" i="8"/>
  <c r="R127" i="8"/>
  <c r="Q127" i="8"/>
  <c r="P127" i="8"/>
  <c r="O127" i="8"/>
  <c r="N127" i="8"/>
  <c r="EP126" i="8"/>
  <c r="S126" i="8"/>
  <c r="R126" i="8"/>
  <c r="Q126" i="8"/>
  <c r="P126" i="8"/>
  <c r="O126" i="8"/>
  <c r="N126" i="8"/>
  <c r="EP125" i="8"/>
  <c r="S125" i="8"/>
  <c r="R125" i="8"/>
  <c r="Q125" i="8"/>
  <c r="P125" i="8"/>
  <c r="O125" i="8"/>
  <c r="N125" i="8"/>
  <c r="EP124" i="8"/>
  <c r="S124" i="8"/>
  <c r="R124" i="8"/>
  <c r="Q124" i="8"/>
  <c r="P124" i="8"/>
  <c r="O124" i="8"/>
  <c r="N124" i="8"/>
  <c r="EP123" i="8"/>
  <c r="S123" i="8"/>
  <c r="R123" i="8"/>
  <c r="Q123" i="8"/>
  <c r="P123" i="8"/>
  <c r="O123" i="8"/>
  <c r="N123" i="8"/>
  <c r="EP122" i="8"/>
  <c r="S122" i="8"/>
  <c r="R122" i="8"/>
  <c r="Q122" i="8"/>
  <c r="P122" i="8"/>
  <c r="O122" i="8"/>
  <c r="N122" i="8"/>
  <c r="EP121" i="8"/>
  <c r="S121" i="8"/>
  <c r="R121" i="8"/>
  <c r="Q121" i="8"/>
  <c r="P121" i="8"/>
  <c r="O121" i="8"/>
  <c r="N121" i="8"/>
  <c r="EP120" i="8"/>
  <c r="S120" i="8"/>
  <c r="R120" i="8"/>
  <c r="Q120" i="8"/>
  <c r="P120" i="8"/>
  <c r="O120" i="8"/>
  <c r="N120" i="8"/>
  <c r="EP119" i="8"/>
  <c r="S119" i="8"/>
  <c r="R119" i="8"/>
  <c r="Q119" i="8"/>
  <c r="P119" i="8"/>
  <c r="O119" i="8"/>
  <c r="N119" i="8"/>
  <c r="EP118" i="8"/>
  <c r="S118" i="8"/>
  <c r="R118" i="8"/>
  <c r="Q118" i="8"/>
  <c r="P118" i="8"/>
  <c r="O118" i="8"/>
  <c r="N118" i="8"/>
  <c r="EP117" i="8"/>
  <c r="S117" i="8"/>
  <c r="R117" i="8"/>
  <c r="Q117" i="8"/>
  <c r="P117" i="8"/>
  <c r="O117" i="8"/>
  <c r="N117" i="8"/>
  <c r="EP116" i="8"/>
  <c r="S116" i="8"/>
  <c r="R116" i="8"/>
  <c r="Q116" i="8"/>
  <c r="P116" i="8"/>
  <c r="O116" i="8"/>
  <c r="N116" i="8"/>
  <c r="EP115" i="8"/>
  <c r="S115" i="8"/>
  <c r="R115" i="8"/>
  <c r="Q115" i="8"/>
  <c r="P115" i="8"/>
  <c r="O115" i="8"/>
  <c r="N115" i="8"/>
  <c r="EP114" i="8"/>
  <c r="S114" i="8"/>
  <c r="R114" i="8"/>
  <c r="Q114" i="8"/>
  <c r="P114" i="8"/>
  <c r="O114" i="8"/>
  <c r="N114" i="8"/>
  <c r="EP113" i="8"/>
  <c r="S113" i="8"/>
  <c r="R113" i="8"/>
  <c r="Q113" i="8"/>
  <c r="P113" i="8"/>
  <c r="O113" i="8"/>
  <c r="N113" i="8"/>
  <c r="EP112" i="8"/>
  <c r="S112" i="8"/>
  <c r="R112" i="8"/>
  <c r="Q112" i="8"/>
  <c r="P112" i="8"/>
  <c r="O112" i="8"/>
  <c r="N112" i="8"/>
  <c r="EP111" i="8"/>
  <c r="S111" i="8"/>
  <c r="R111" i="8"/>
  <c r="Q111" i="8"/>
  <c r="P111" i="8"/>
  <c r="O111" i="8"/>
  <c r="N111" i="8"/>
  <c r="EP110" i="8"/>
  <c r="S110" i="8"/>
  <c r="R110" i="8"/>
  <c r="Q110" i="8"/>
  <c r="P110" i="8"/>
  <c r="O110" i="8"/>
  <c r="N110" i="8"/>
  <c r="EP109" i="8"/>
  <c r="S109" i="8"/>
  <c r="R109" i="8"/>
  <c r="Q109" i="8"/>
  <c r="P109" i="8"/>
  <c r="O109" i="8"/>
  <c r="N109" i="8"/>
  <c r="EP108" i="8"/>
  <c r="S108" i="8"/>
  <c r="R108" i="8"/>
  <c r="Q108" i="8"/>
  <c r="P108" i="8"/>
  <c r="O108" i="8"/>
  <c r="N108" i="8"/>
  <c r="EP107" i="8"/>
  <c r="S107" i="8"/>
  <c r="R107" i="8"/>
  <c r="Q107" i="8"/>
  <c r="P107" i="8"/>
  <c r="O107" i="8"/>
  <c r="N107" i="8"/>
  <c r="EP106" i="8"/>
  <c r="S106" i="8"/>
  <c r="R106" i="8"/>
  <c r="Q106" i="8"/>
  <c r="P106" i="8"/>
  <c r="O106" i="8"/>
  <c r="N106" i="8"/>
  <c r="EP105" i="8"/>
  <c r="S105" i="8"/>
  <c r="R105" i="8"/>
  <c r="Q105" i="8"/>
  <c r="P105" i="8"/>
  <c r="O105" i="8"/>
  <c r="N105" i="8"/>
  <c r="EP104" i="8"/>
  <c r="S104" i="8"/>
  <c r="R104" i="8"/>
  <c r="Q104" i="8"/>
  <c r="P104" i="8"/>
  <c r="O104" i="8"/>
  <c r="N104" i="8"/>
  <c r="EP103" i="8"/>
  <c r="S103" i="8"/>
  <c r="R103" i="8"/>
  <c r="Q103" i="8"/>
  <c r="P103" i="8"/>
  <c r="O103" i="8"/>
  <c r="N103" i="8"/>
  <c r="EP102" i="8"/>
  <c r="S102" i="8"/>
  <c r="R102" i="8"/>
  <c r="Q102" i="8"/>
  <c r="P102" i="8"/>
  <c r="O102" i="8"/>
  <c r="N102" i="8"/>
  <c r="EP101" i="8"/>
  <c r="S101" i="8"/>
  <c r="R101" i="8"/>
  <c r="Q101" i="8"/>
  <c r="P101" i="8"/>
  <c r="O101" i="8"/>
  <c r="N101" i="8"/>
  <c r="EP100" i="8"/>
  <c r="S100" i="8"/>
  <c r="R100" i="8"/>
  <c r="Q100" i="8"/>
  <c r="P100" i="8"/>
  <c r="O100" i="8"/>
  <c r="N100" i="8"/>
  <c r="EP99" i="8"/>
  <c r="S99" i="8"/>
  <c r="R99" i="8"/>
  <c r="Q99" i="8"/>
  <c r="P99" i="8"/>
  <c r="O99" i="8"/>
  <c r="N99" i="8"/>
  <c r="EP98" i="8"/>
  <c r="S98" i="8"/>
  <c r="R98" i="8"/>
  <c r="Q98" i="8"/>
  <c r="P98" i="8"/>
  <c r="O98" i="8"/>
  <c r="N98" i="8"/>
  <c r="EP97" i="8"/>
  <c r="S97" i="8"/>
  <c r="R97" i="8"/>
  <c r="Q97" i="8"/>
  <c r="P97" i="8"/>
  <c r="O97" i="8"/>
  <c r="N97" i="8"/>
  <c r="EP96" i="8"/>
  <c r="S96" i="8"/>
  <c r="R96" i="8"/>
  <c r="Q96" i="8"/>
  <c r="P96" i="8"/>
  <c r="O96" i="8"/>
  <c r="N96" i="8"/>
  <c r="EP95" i="8"/>
  <c r="S95" i="8"/>
  <c r="R95" i="8"/>
  <c r="Q95" i="8"/>
  <c r="P95" i="8"/>
  <c r="O95" i="8"/>
  <c r="N95" i="8"/>
  <c r="EP94" i="8"/>
  <c r="S94" i="8"/>
  <c r="R94" i="8"/>
  <c r="Q94" i="8"/>
  <c r="P94" i="8"/>
  <c r="O94" i="8"/>
  <c r="N94" i="8"/>
  <c r="EP93" i="8"/>
  <c r="S93" i="8"/>
  <c r="R93" i="8"/>
  <c r="Q93" i="8"/>
  <c r="P93" i="8"/>
  <c r="O93" i="8"/>
  <c r="N93" i="8"/>
  <c r="EP92" i="8"/>
  <c r="S92" i="8"/>
  <c r="R92" i="8"/>
  <c r="Q92" i="8"/>
  <c r="P92" i="8"/>
  <c r="O92" i="8"/>
  <c r="N92" i="8"/>
  <c r="EP91" i="8"/>
  <c r="S91" i="8"/>
  <c r="R91" i="8"/>
  <c r="Q91" i="8"/>
  <c r="P91" i="8"/>
  <c r="O91" i="8"/>
  <c r="N91" i="8"/>
  <c r="EP90" i="8"/>
  <c r="S90" i="8"/>
  <c r="R90" i="8"/>
  <c r="Q90" i="8"/>
  <c r="P90" i="8"/>
  <c r="O90" i="8"/>
  <c r="N90" i="8"/>
  <c r="EP89" i="8"/>
  <c r="S89" i="8"/>
  <c r="R89" i="8"/>
  <c r="Q89" i="8"/>
  <c r="P89" i="8"/>
  <c r="O89" i="8"/>
  <c r="N89" i="8"/>
  <c r="EP88" i="8"/>
  <c r="S88" i="8"/>
  <c r="R88" i="8"/>
  <c r="Q88" i="8"/>
  <c r="P88" i="8"/>
  <c r="O88" i="8"/>
  <c r="N88" i="8"/>
  <c r="EP87" i="8"/>
  <c r="S87" i="8"/>
  <c r="R87" i="8"/>
  <c r="Q87" i="8"/>
  <c r="P87" i="8"/>
  <c r="O87" i="8"/>
  <c r="N87" i="8"/>
  <c r="EP86" i="8"/>
  <c r="S86" i="8"/>
  <c r="R86" i="8"/>
  <c r="Q86" i="8"/>
  <c r="P86" i="8"/>
  <c r="O86" i="8"/>
  <c r="N86" i="8"/>
  <c r="EP85" i="8"/>
  <c r="S85" i="8"/>
  <c r="R85" i="8"/>
  <c r="Q85" i="8"/>
  <c r="P85" i="8"/>
  <c r="O85" i="8"/>
  <c r="N85" i="8"/>
  <c r="EP84" i="8"/>
  <c r="S84" i="8"/>
  <c r="R84" i="8"/>
  <c r="Q84" i="8"/>
  <c r="P84" i="8"/>
  <c r="O84" i="8"/>
  <c r="N84" i="8"/>
  <c r="EP83" i="8"/>
  <c r="S83" i="8"/>
  <c r="R83" i="8"/>
  <c r="Q83" i="8"/>
  <c r="P83" i="8"/>
  <c r="O83" i="8"/>
  <c r="N83" i="8"/>
  <c r="EP82" i="8"/>
  <c r="S82" i="8"/>
  <c r="R82" i="8"/>
  <c r="Q82" i="8"/>
  <c r="P82" i="8"/>
  <c r="O82" i="8"/>
  <c r="N82" i="8"/>
  <c r="EP81" i="8"/>
  <c r="S81" i="8"/>
  <c r="R81" i="8"/>
  <c r="Q81" i="8"/>
  <c r="P81" i="8"/>
  <c r="O81" i="8"/>
  <c r="N81" i="8"/>
  <c r="EP80" i="8"/>
  <c r="S80" i="8"/>
  <c r="R80" i="8"/>
  <c r="Q80" i="8"/>
  <c r="P80" i="8"/>
  <c r="O80" i="8"/>
  <c r="N80" i="8"/>
  <c r="EP79" i="8"/>
  <c r="S79" i="8"/>
  <c r="R79" i="8"/>
  <c r="Q79" i="8"/>
  <c r="P79" i="8"/>
  <c r="O79" i="8"/>
  <c r="N79" i="8"/>
  <c r="EP78" i="8"/>
  <c r="S78" i="8"/>
  <c r="R78" i="8"/>
  <c r="Q78" i="8"/>
  <c r="P78" i="8"/>
  <c r="O78" i="8"/>
  <c r="N78" i="8"/>
  <c r="EP77" i="8"/>
  <c r="S77" i="8"/>
  <c r="R77" i="8"/>
  <c r="Q77" i="8"/>
  <c r="P77" i="8"/>
  <c r="O77" i="8"/>
  <c r="N77" i="8"/>
  <c r="EP76" i="8"/>
  <c r="S76" i="8"/>
  <c r="R76" i="8"/>
  <c r="Q76" i="8"/>
  <c r="P76" i="8"/>
  <c r="O76" i="8"/>
  <c r="N76" i="8"/>
  <c r="EP75" i="8"/>
  <c r="S75" i="8"/>
  <c r="R75" i="8"/>
  <c r="Q75" i="8"/>
  <c r="P75" i="8"/>
  <c r="O75" i="8"/>
  <c r="N75" i="8"/>
  <c r="EP74" i="8"/>
  <c r="S74" i="8"/>
  <c r="R74" i="8"/>
  <c r="Q74" i="8"/>
  <c r="P74" i="8"/>
  <c r="O74" i="8"/>
  <c r="N74" i="8"/>
  <c r="EP73" i="8"/>
  <c r="S73" i="8"/>
  <c r="R73" i="8"/>
  <c r="Q73" i="8"/>
  <c r="P73" i="8"/>
  <c r="O73" i="8"/>
  <c r="N73" i="8"/>
  <c r="EP72" i="8"/>
  <c r="S72" i="8"/>
  <c r="R72" i="8"/>
  <c r="Q72" i="8"/>
  <c r="P72" i="8"/>
  <c r="O72" i="8"/>
  <c r="N72" i="8"/>
  <c r="EP71" i="8"/>
  <c r="S71" i="8"/>
  <c r="R71" i="8"/>
  <c r="Q71" i="8"/>
  <c r="P71" i="8"/>
  <c r="O71" i="8"/>
  <c r="N71" i="8"/>
  <c r="EP70" i="8"/>
  <c r="S70" i="8"/>
  <c r="R70" i="8"/>
  <c r="Q70" i="8"/>
  <c r="P70" i="8"/>
  <c r="O70" i="8"/>
  <c r="N70" i="8"/>
  <c r="EP69" i="8"/>
  <c r="S69" i="8"/>
  <c r="R69" i="8"/>
  <c r="Q69" i="8"/>
  <c r="P69" i="8"/>
  <c r="O69" i="8"/>
  <c r="N69" i="8"/>
  <c r="EP68" i="8"/>
  <c r="S68" i="8"/>
  <c r="R68" i="8"/>
  <c r="Q68" i="8"/>
  <c r="P68" i="8"/>
  <c r="O68" i="8"/>
  <c r="N68" i="8"/>
  <c r="EP67" i="8"/>
  <c r="S67" i="8"/>
  <c r="R67" i="8"/>
  <c r="Q67" i="8"/>
  <c r="P67" i="8"/>
  <c r="O67" i="8"/>
  <c r="N67" i="8"/>
  <c r="EP66" i="8"/>
  <c r="S66" i="8"/>
  <c r="R66" i="8"/>
  <c r="Q66" i="8"/>
  <c r="P66" i="8"/>
  <c r="O66" i="8"/>
  <c r="N66" i="8"/>
  <c r="EP65" i="8"/>
  <c r="S65" i="8"/>
  <c r="R65" i="8"/>
  <c r="Q65" i="8"/>
  <c r="P65" i="8"/>
  <c r="O65" i="8"/>
  <c r="N65" i="8"/>
  <c r="EP64" i="8"/>
  <c r="S64" i="8"/>
  <c r="R64" i="8"/>
  <c r="Q64" i="8"/>
  <c r="P64" i="8"/>
  <c r="O64" i="8"/>
  <c r="N64" i="8"/>
  <c r="EP63" i="8"/>
  <c r="S63" i="8"/>
  <c r="R63" i="8"/>
  <c r="Q63" i="8"/>
  <c r="P63" i="8"/>
  <c r="O63" i="8"/>
  <c r="N63" i="8"/>
  <c r="EP62" i="8"/>
  <c r="S62" i="8"/>
  <c r="R62" i="8"/>
  <c r="Q62" i="8"/>
  <c r="P62" i="8"/>
  <c r="O62" i="8"/>
  <c r="N62" i="8"/>
  <c r="EP61" i="8"/>
  <c r="S61" i="8"/>
  <c r="R61" i="8"/>
  <c r="Q61" i="8"/>
  <c r="P61" i="8"/>
  <c r="O61" i="8"/>
  <c r="N61" i="8"/>
  <c r="EP60" i="8"/>
  <c r="S60" i="8"/>
  <c r="R60" i="8"/>
  <c r="Q60" i="8"/>
  <c r="P60" i="8"/>
  <c r="O60" i="8"/>
  <c r="N60" i="8"/>
  <c r="EP59" i="8"/>
  <c r="S59" i="8"/>
  <c r="R59" i="8"/>
  <c r="Q59" i="8"/>
  <c r="P59" i="8"/>
  <c r="O59" i="8"/>
  <c r="N59" i="8"/>
  <c r="EP58" i="8"/>
  <c r="S58" i="8"/>
  <c r="R58" i="8"/>
  <c r="Q58" i="8"/>
  <c r="P58" i="8"/>
  <c r="O58" i="8"/>
  <c r="N58" i="8"/>
  <c r="EP57" i="8"/>
  <c r="S57" i="8"/>
  <c r="R57" i="8"/>
  <c r="Q57" i="8"/>
  <c r="P57" i="8"/>
  <c r="O57" i="8"/>
  <c r="N57" i="8"/>
  <c r="EP56" i="8"/>
  <c r="S56" i="8"/>
  <c r="R56" i="8"/>
  <c r="Q56" i="8"/>
  <c r="P56" i="8"/>
  <c r="O56" i="8"/>
  <c r="N56" i="8"/>
  <c r="EP55" i="8"/>
  <c r="S55" i="8"/>
  <c r="R55" i="8"/>
  <c r="Q55" i="8"/>
  <c r="P55" i="8"/>
  <c r="O55" i="8"/>
  <c r="N55" i="8"/>
  <c r="EP54" i="8"/>
  <c r="S54" i="8"/>
  <c r="R54" i="8"/>
  <c r="Q54" i="8"/>
  <c r="P54" i="8"/>
  <c r="O54" i="8"/>
  <c r="N54" i="8"/>
  <c r="EP53" i="8"/>
  <c r="S53" i="8"/>
  <c r="R53" i="8"/>
  <c r="Q53" i="8"/>
  <c r="P53" i="8"/>
  <c r="O53" i="8"/>
  <c r="N53" i="8"/>
  <c r="EP52" i="8"/>
  <c r="S52" i="8"/>
  <c r="R52" i="8"/>
  <c r="Q52" i="8"/>
  <c r="P52" i="8"/>
  <c r="O52" i="8"/>
  <c r="N52" i="8"/>
  <c r="EP51" i="8"/>
  <c r="S51" i="8"/>
  <c r="R51" i="8"/>
  <c r="Q51" i="8"/>
  <c r="P51" i="8"/>
  <c r="O51" i="8"/>
  <c r="N51" i="8"/>
  <c r="EP50" i="8"/>
  <c r="S50" i="8"/>
  <c r="R50" i="8"/>
  <c r="Q50" i="8"/>
  <c r="P50" i="8"/>
  <c r="O50" i="8"/>
  <c r="N50" i="8"/>
  <c r="EP49" i="8"/>
  <c r="S49" i="8"/>
  <c r="R49" i="8"/>
  <c r="Q49" i="8"/>
  <c r="P49" i="8"/>
  <c r="O49" i="8"/>
  <c r="N49" i="8"/>
  <c r="EP48" i="8"/>
  <c r="S48" i="8"/>
  <c r="R48" i="8"/>
  <c r="Q48" i="8"/>
  <c r="P48" i="8"/>
  <c r="O48" i="8"/>
  <c r="N48" i="8"/>
  <c r="EP47" i="8"/>
  <c r="S47" i="8"/>
  <c r="R47" i="8"/>
  <c r="Q47" i="8"/>
  <c r="P47" i="8"/>
  <c r="O47" i="8"/>
  <c r="N47" i="8"/>
  <c r="EP46" i="8"/>
  <c r="S46" i="8"/>
  <c r="R46" i="8"/>
  <c r="Q46" i="8"/>
  <c r="P46" i="8"/>
  <c r="O46" i="8"/>
  <c r="N46" i="8"/>
  <c r="EP45" i="8"/>
  <c r="S45" i="8"/>
  <c r="R45" i="8"/>
  <c r="Q45" i="8"/>
  <c r="P45" i="8"/>
  <c r="O45" i="8"/>
  <c r="N45" i="8"/>
  <c r="EP44" i="8"/>
  <c r="S44" i="8"/>
  <c r="R44" i="8"/>
  <c r="Q44" i="8"/>
  <c r="P44" i="8"/>
  <c r="O44" i="8"/>
  <c r="N44" i="8"/>
  <c r="EP43" i="8"/>
  <c r="S43" i="8"/>
  <c r="R43" i="8"/>
  <c r="Q43" i="8"/>
  <c r="P43" i="8"/>
  <c r="O43" i="8"/>
  <c r="N43" i="8"/>
  <c r="EP42" i="8"/>
  <c r="S42" i="8"/>
  <c r="R42" i="8"/>
  <c r="Q42" i="8"/>
  <c r="P42" i="8"/>
  <c r="O42" i="8"/>
  <c r="N42" i="8"/>
  <c r="EP41" i="8"/>
  <c r="S41" i="8"/>
  <c r="R41" i="8"/>
  <c r="Q41" i="8"/>
  <c r="P41" i="8"/>
  <c r="O41" i="8"/>
  <c r="N41" i="8"/>
  <c r="EP40" i="8"/>
  <c r="S40" i="8"/>
  <c r="R40" i="8"/>
  <c r="Q40" i="8"/>
  <c r="P40" i="8"/>
  <c r="O40" i="8"/>
  <c r="N40" i="8"/>
  <c r="EP39" i="8"/>
  <c r="S39" i="8"/>
  <c r="R39" i="8"/>
  <c r="Q39" i="8"/>
  <c r="P39" i="8"/>
  <c r="O39" i="8"/>
  <c r="N39" i="8"/>
  <c r="EP38" i="8"/>
  <c r="S38" i="8"/>
  <c r="R38" i="8"/>
  <c r="Q38" i="8"/>
  <c r="P38" i="8"/>
  <c r="O38" i="8"/>
  <c r="N38" i="8"/>
  <c r="EP37" i="8"/>
  <c r="S37" i="8"/>
  <c r="R37" i="8"/>
  <c r="Q37" i="8"/>
  <c r="P37" i="8"/>
  <c r="O37" i="8"/>
  <c r="N37" i="8"/>
  <c r="EP36" i="8"/>
  <c r="S36" i="8"/>
  <c r="R36" i="8"/>
  <c r="Q36" i="8"/>
  <c r="P36" i="8"/>
  <c r="O36" i="8"/>
  <c r="N36" i="8"/>
  <c r="EP35" i="8"/>
  <c r="S35" i="8"/>
  <c r="R35" i="8"/>
  <c r="Q35" i="8"/>
  <c r="P35" i="8"/>
  <c r="O35" i="8"/>
  <c r="N35" i="8"/>
  <c r="EP34" i="8"/>
  <c r="S34" i="8"/>
  <c r="R34" i="8"/>
  <c r="Q34" i="8"/>
  <c r="P34" i="8"/>
  <c r="O34" i="8"/>
  <c r="N34" i="8"/>
  <c r="EP33" i="8"/>
  <c r="S33" i="8"/>
  <c r="R33" i="8"/>
  <c r="Q33" i="8"/>
  <c r="P33" i="8"/>
  <c r="O33" i="8"/>
  <c r="N33" i="8"/>
  <c r="EP32" i="8"/>
  <c r="S32" i="8"/>
  <c r="R32" i="8"/>
  <c r="Q32" i="8"/>
  <c r="P32" i="8"/>
  <c r="O32" i="8"/>
  <c r="N32" i="8"/>
  <c r="EP31" i="8"/>
  <c r="S31" i="8"/>
  <c r="R31" i="8"/>
  <c r="Q31" i="8"/>
  <c r="P31" i="8"/>
  <c r="O31" i="8"/>
  <c r="N31" i="8"/>
  <c r="EP30" i="8"/>
  <c r="S30" i="8"/>
  <c r="R30" i="8"/>
  <c r="Q30" i="8"/>
  <c r="P30" i="8"/>
  <c r="O30" i="8"/>
  <c r="N30" i="8"/>
  <c r="EP29" i="8"/>
  <c r="S29" i="8"/>
  <c r="R29" i="8"/>
  <c r="Q29" i="8"/>
  <c r="P29" i="8"/>
  <c r="O29" i="8"/>
  <c r="N29" i="8"/>
  <c r="EP28" i="8"/>
  <c r="S28" i="8"/>
  <c r="R28" i="8"/>
  <c r="Q28" i="8"/>
  <c r="P28" i="8"/>
  <c r="O28" i="8"/>
  <c r="N28" i="8"/>
  <c r="EP27" i="8"/>
  <c r="S27" i="8"/>
  <c r="R27" i="8"/>
  <c r="Q27" i="8"/>
  <c r="P27" i="8"/>
  <c r="O27" i="8"/>
  <c r="N27" i="8"/>
  <c r="EP26" i="8"/>
  <c r="S26" i="8"/>
  <c r="R26" i="8"/>
  <c r="Q26" i="8"/>
  <c r="P26" i="8"/>
  <c r="O26" i="8"/>
  <c r="N26" i="8"/>
  <c r="EP25" i="8"/>
  <c r="S25" i="8"/>
  <c r="R25" i="8"/>
  <c r="Q25" i="8"/>
  <c r="P25" i="8"/>
  <c r="O25" i="8"/>
  <c r="N25" i="8"/>
  <c r="EP24" i="8"/>
  <c r="S24" i="8"/>
  <c r="R24" i="8"/>
  <c r="Q24" i="8"/>
  <c r="P24" i="8"/>
  <c r="O24" i="8"/>
  <c r="N24" i="8"/>
  <c r="EP23" i="8"/>
  <c r="S23" i="8"/>
  <c r="R23" i="8"/>
  <c r="Q23" i="8"/>
  <c r="P23" i="8"/>
  <c r="O23" i="8"/>
  <c r="N23" i="8"/>
  <c r="EP22" i="8"/>
  <c r="S22" i="8"/>
  <c r="R22" i="8"/>
  <c r="Q22" i="8"/>
  <c r="P22" i="8"/>
  <c r="O22" i="8"/>
  <c r="N22" i="8"/>
  <c r="EP21" i="8"/>
  <c r="S21" i="8"/>
  <c r="R21" i="8"/>
  <c r="Q21" i="8"/>
  <c r="P21" i="8"/>
  <c r="O21" i="8"/>
  <c r="N21" i="8"/>
  <c r="EP20" i="8"/>
  <c r="S20" i="8"/>
  <c r="R20" i="8"/>
  <c r="Q20" i="8"/>
  <c r="P20" i="8"/>
  <c r="O20" i="8"/>
  <c r="N20" i="8"/>
  <c r="EP19" i="8"/>
  <c r="S19" i="8"/>
  <c r="R19" i="8"/>
  <c r="Q19" i="8"/>
  <c r="P19" i="8"/>
  <c r="O19" i="8"/>
  <c r="N19" i="8"/>
  <c r="EP18" i="8"/>
  <c r="S18" i="8"/>
  <c r="R18" i="8"/>
  <c r="Q18" i="8"/>
  <c r="P18" i="8"/>
  <c r="O18" i="8"/>
  <c r="N18" i="8"/>
  <c r="EP17" i="8"/>
  <c r="S17" i="8"/>
  <c r="R17" i="8"/>
  <c r="Q17" i="8"/>
  <c r="P17" i="8"/>
  <c r="O17" i="8"/>
  <c r="N17" i="8"/>
  <c r="EP16" i="8"/>
  <c r="S16" i="8"/>
  <c r="R16" i="8"/>
  <c r="Q16" i="8"/>
  <c r="P16" i="8"/>
  <c r="O16" i="8"/>
  <c r="N16" i="8"/>
  <c r="H416" i="6"/>
  <c r="H398" i="6"/>
  <c r="H380" i="6"/>
  <c r="H326" i="6"/>
  <c r="H344" i="6"/>
  <c r="H414" i="6"/>
  <c r="H396" i="6"/>
  <c r="H378" i="6"/>
  <c r="H360" i="6"/>
  <c r="H342" i="6"/>
  <c r="H324" i="6"/>
  <c r="H308" i="6"/>
  <c r="H306" i="6"/>
  <c r="D285" i="6"/>
  <c r="D287" i="6" s="1"/>
  <c r="D299" i="6"/>
  <c r="D301" i="6" s="1"/>
  <c r="D249" i="7"/>
  <c r="D283" i="6"/>
  <c r="D297" i="6"/>
  <c r="K299" i="6"/>
  <c r="K298" i="6"/>
  <c r="K297" i="6"/>
  <c r="K296" i="6"/>
  <c r="K295" i="6"/>
  <c r="K294" i="6"/>
  <c r="K293" i="6"/>
  <c r="I291" i="6"/>
  <c r="I292" i="6"/>
  <c r="I293" i="6"/>
  <c r="G293" i="6"/>
  <c r="G292" i="6"/>
  <c r="G291" i="6"/>
  <c r="I295" i="6"/>
  <c r="H295" i="6"/>
  <c r="G295" i="6"/>
  <c r="F295" i="6"/>
  <c r="E295" i="6"/>
  <c r="D295" i="6"/>
  <c r="I279" i="6"/>
  <c r="I278" i="6"/>
  <c r="I277" i="6"/>
  <c r="G279" i="6"/>
  <c r="G278" i="6"/>
  <c r="G277" i="6"/>
  <c r="K285" i="6"/>
  <c r="K284" i="6"/>
  <c r="K283" i="6"/>
  <c r="K282" i="6"/>
  <c r="K281" i="6"/>
  <c r="K280" i="6"/>
  <c r="K279" i="6"/>
  <c r="I281" i="6"/>
  <c r="H281" i="6"/>
  <c r="G281" i="6"/>
  <c r="F281" i="6"/>
  <c r="E281" i="6"/>
  <c r="D281" i="6"/>
  <c r="G241" i="7"/>
  <c r="K291" i="6"/>
  <c r="K277" i="6"/>
  <c r="C419" i="6"/>
  <c r="C401" i="6"/>
  <c r="C383" i="6"/>
  <c r="C365" i="6"/>
  <c r="C347" i="6"/>
  <c r="C329" i="6"/>
  <c r="C311" i="6"/>
  <c r="D423" i="6"/>
  <c r="H421" i="6" s="1"/>
  <c r="G414" i="6"/>
  <c r="D405" i="6"/>
  <c r="H403" i="6" s="1"/>
  <c r="G396" i="6"/>
  <c r="D387" i="6"/>
  <c r="H385" i="6" s="1"/>
  <c r="G378" i="6"/>
  <c r="D369" i="6"/>
  <c r="H367" i="6" s="1"/>
  <c r="G360" i="6"/>
  <c r="D351" i="6"/>
  <c r="H349" i="6" s="1"/>
  <c r="G342" i="6"/>
  <c r="D333" i="6"/>
  <c r="H331" i="6" s="1"/>
  <c r="G324" i="6"/>
  <c r="D315" i="6"/>
  <c r="H313" i="6" s="1"/>
  <c r="G306" i="6"/>
  <c r="D292" i="6"/>
  <c r="D293" i="6" s="1"/>
  <c r="D279" i="6"/>
  <c r="D278" i="6"/>
  <c r="N140" i="6" a="1"/>
  <c r="Q140" i="6" s="1"/>
  <c r="D848" i="5"/>
  <c r="H846" i="5" s="1"/>
  <c r="D843" i="5"/>
  <c r="H841" i="5"/>
  <c r="G839" i="5"/>
  <c r="D830" i="5"/>
  <c r="H828" i="5" s="1"/>
  <c r="H823" i="5"/>
  <c r="G821" i="5"/>
  <c r="I814" i="5"/>
  <c r="H814" i="5"/>
  <c r="I813" i="5"/>
  <c r="G811" i="5"/>
  <c r="D811" i="5"/>
  <c r="D812" i="5" s="1"/>
  <c r="H804" i="5"/>
  <c r="I803" i="5"/>
  <c r="D802" i="5"/>
  <c r="G801" i="5"/>
  <c r="D801" i="5"/>
  <c r="G792" i="5"/>
  <c r="D792" i="5"/>
  <c r="D793" i="5" s="1"/>
  <c r="G785" i="5"/>
  <c r="D785" i="5"/>
  <c r="D786" i="5" s="1"/>
  <c r="D777" i="5"/>
  <c r="C777" i="5"/>
  <c r="C776" i="5"/>
  <c r="C864" i="5" s="1"/>
  <c r="K773" i="5"/>
  <c r="E773" i="5"/>
  <c r="E772" i="5"/>
  <c r="K771" i="5"/>
  <c r="I804" i="5" s="1"/>
  <c r="I771" i="5"/>
  <c r="E771" i="5"/>
  <c r="I770" i="5" s="1"/>
  <c r="D775" i="5" s="1"/>
  <c r="E775" i="5" s="1"/>
  <c r="E770" i="5"/>
  <c r="K769" i="5"/>
  <c r="E769" i="5"/>
  <c r="D825" i="5" s="1"/>
  <c r="H766" i="5"/>
  <c r="C766" i="5"/>
  <c r="H765" i="5"/>
  <c r="G765" i="5"/>
  <c r="G766" i="5" s="1"/>
  <c r="F765" i="5"/>
  <c r="F766" i="5" s="1"/>
  <c r="E765" i="5"/>
  <c r="E766" i="5" s="1"/>
  <c r="D765" i="5"/>
  <c r="D766" i="5" s="1"/>
  <c r="C765" i="5"/>
  <c r="B866" i="4"/>
  <c r="B864" i="4"/>
  <c r="A194" i="7"/>
  <c r="D825" i="4"/>
  <c r="D834" i="4" s="1"/>
  <c r="D852" i="4"/>
  <c r="D843" i="4"/>
  <c r="H843" i="4"/>
  <c r="H825" i="4"/>
  <c r="H841" i="4"/>
  <c r="H823" i="4"/>
  <c r="G839" i="4"/>
  <c r="G821" i="4"/>
  <c r="D848" i="4"/>
  <c r="H846" i="4" s="1"/>
  <c r="D830" i="4"/>
  <c r="H828" i="4" s="1"/>
  <c r="G811" i="4"/>
  <c r="C814" i="4" s="1"/>
  <c r="I814" i="4"/>
  <c r="I813" i="4"/>
  <c r="J811" i="4"/>
  <c r="H814" i="4"/>
  <c r="D811" i="4"/>
  <c r="D812" i="4" s="1"/>
  <c r="F807" i="4"/>
  <c r="F805" i="4"/>
  <c r="G801" i="4"/>
  <c r="C804" i="4" s="1"/>
  <c r="F804" i="4" s="1"/>
  <c r="I804" i="4"/>
  <c r="H804" i="4"/>
  <c r="I803" i="4"/>
  <c r="O30" i="18" l="1"/>
  <c r="Q34" i="18"/>
  <c r="U31" i="18"/>
  <c r="S30" i="18"/>
  <c r="T36" i="18"/>
  <c r="U35" i="18"/>
  <c r="T35" i="18"/>
  <c r="D149" i="18" s="1"/>
  <c r="U30" i="18"/>
  <c r="O35" i="18"/>
  <c r="R32" i="18"/>
  <c r="O33" i="18"/>
  <c r="U36" i="18"/>
  <c r="D159" i="18" s="1"/>
  <c r="P33" i="18"/>
  <c r="T30" i="18"/>
  <c r="R34" i="18"/>
  <c r="O36" i="18"/>
  <c r="T34" i="18"/>
  <c r="S34" i="18"/>
  <c r="D139" i="18" s="1"/>
  <c r="O32" i="18"/>
  <c r="S35" i="18"/>
  <c r="P36" i="18"/>
  <c r="U34" i="18"/>
  <c r="S33" i="18"/>
  <c r="R33" i="18"/>
  <c r="D129" i="18" s="1"/>
  <c r="Q36" i="18"/>
  <c r="T33" i="18"/>
  <c r="T31" i="18"/>
  <c r="Q32" i="18"/>
  <c r="D119" i="18" s="1"/>
  <c r="R36" i="18"/>
  <c r="P35" i="18"/>
  <c r="U33" i="18"/>
  <c r="S32" i="18"/>
  <c r="Q31" i="18"/>
  <c r="P31" i="18"/>
  <c r="D109" i="18" s="1"/>
  <c r="S36" i="18"/>
  <c r="P34" i="18"/>
  <c r="U32" i="18"/>
  <c r="S31" i="18"/>
  <c r="Q30" i="18"/>
  <c r="P32" i="18"/>
  <c r="R30" i="18"/>
  <c r="Q33" i="18"/>
  <c r="Q35" i="18"/>
  <c r="O34" i="18"/>
  <c r="T32" i="18"/>
  <c r="R31" i="18"/>
  <c r="P30" i="18"/>
  <c r="R35" i="18"/>
  <c r="O31" i="18"/>
  <c r="O33" i="21"/>
  <c r="O31" i="21"/>
  <c r="Q31" i="21"/>
  <c r="P33" i="21"/>
  <c r="P31" i="21"/>
  <c r="R34" i="21"/>
  <c r="R32" i="21"/>
  <c r="P32" i="21"/>
  <c r="Q34" i="21"/>
  <c r="Q32" i="21"/>
  <c r="P34" i="21"/>
  <c r="O34" i="21"/>
  <c r="O32" i="21"/>
  <c r="R33" i="21"/>
  <c r="R31" i="21"/>
  <c r="Q33" i="21"/>
  <c r="E57" i="20"/>
  <c r="E63" i="20"/>
  <c r="D167" i="20"/>
  <c r="E175" i="20" s="1"/>
  <c r="E127" i="20"/>
  <c r="D185" i="20"/>
  <c r="E193" i="20" s="1"/>
  <c r="J133" i="20"/>
  <c r="E143" i="20" s="1"/>
  <c r="E145" i="20" s="1"/>
  <c r="E117" i="20"/>
  <c r="E64" i="20"/>
  <c r="E107" i="20"/>
  <c r="D221" i="20"/>
  <c r="E229" i="20" s="1"/>
  <c r="D203" i="20"/>
  <c r="E211" i="20" s="1"/>
  <c r="J147" i="20"/>
  <c r="E157" i="20" s="1"/>
  <c r="E159" i="20" s="1"/>
  <c r="E97" i="20"/>
  <c r="O30" i="19" a="1"/>
  <c r="F238" i="17"/>
  <c r="F239" i="17"/>
  <c r="D259" i="17"/>
  <c r="D277" i="17"/>
  <c r="F229" i="17"/>
  <c r="F228" i="17"/>
  <c r="F231" i="17" s="1"/>
  <c r="G13" i="16"/>
  <c r="H13" i="16" s="1"/>
  <c r="I13" i="16" s="1"/>
  <c r="G19" i="16"/>
  <c r="H19" i="16" s="1"/>
  <c r="I19" i="16" s="1"/>
  <c r="G4" i="16"/>
  <c r="H4" i="16" s="1"/>
  <c r="I4" i="16" s="1"/>
  <c r="G5" i="16"/>
  <c r="H5" i="16" s="1"/>
  <c r="I5" i="16" s="1"/>
  <c r="G281" i="8"/>
  <c r="K283" i="8" s="1"/>
  <c r="I277" i="8"/>
  <c r="I291" i="8" s="1"/>
  <c r="G295" i="8"/>
  <c r="K297" i="8" s="1"/>
  <c r="I278" i="8"/>
  <c r="I292" i="8" s="1"/>
  <c r="H295" i="8"/>
  <c r="K298" i="8" s="1"/>
  <c r="H281" i="8"/>
  <c r="K284" i="8" s="1"/>
  <c r="F281" i="8"/>
  <c r="K282" i="8" s="1"/>
  <c r="F295" i="8"/>
  <c r="K296" i="8" s="1"/>
  <c r="G279" i="8"/>
  <c r="G293" i="8" s="1"/>
  <c r="I281" i="8"/>
  <c r="K285" i="8" s="1"/>
  <c r="I279" i="8"/>
  <c r="I293" i="8" s="1"/>
  <c r="I295" i="8"/>
  <c r="K299" i="8" s="1"/>
  <c r="D295" i="8"/>
  <c r="K294" i="8" s="1"/>
  <c r="G277" i="8"/>
  <c r="G291" i="8" s="1"/>
  <c r="K280" i="8"/>
  <c r="W72" i="8" a="1"/>
  <c r="E281" i="8"/>
  <c r="K281" i="8" s="1"/>
  <c r="G278" i="8"/>
  <c r="G292" i="8" s="1"/>
  <c r="E295" i="8"/>
  <c r="K295" i="8" s="1"/>
  <c r="Q154" i="8" a="1"/>
  <c r="T157" i="8"/>
  <c r="D427" i="6"/>
  <c r="D428" i="6" s="1"/>
  <c r="D409" i="6"/>
  <c r="D391" i="6"/>
  <c r="D392" i="6" s="1"/>
  <c r="D338" i="6"/>
  <c r="D319" i="6"/>
  <c r="D356" i="6"/>
  <c r="D303" i="6"/>
  <c r="R146" i="6"/>
  <c r="Q145" i="6"/>
  <c r="P144" i="6"/>
  <c r="O143" i="6"/>
  <c r="N142" i="6"/>
  <c r="T140" i="6"/>
  <c r="T144" i="6"/>
  <c r="S143" i="6"/>
  <c r="Q141" i="6"/>
  <c r="S144" i="6"/>
  <c r="R143" i="6"/>
  <c r="O140" i="6"/>
  <c r="S145" i="6"/>
  <c r="Q143" i="6"/>
  <c r="N140" i="6"/>
  <c r="S146" i="6"/>
  <c r="P143" i="6"/>
  <c r="N141" i="6"/>
  <c r="Q146" i="6"/>
  <c r="P145" i="6"/>
  <c r="O144" i="6"/>
  <c r="N143" i="6"/>
  <c r="T141" i="6"/>
  <c r="S140" i="6"/>
  <c r="N146" i="6"/>
  <c r="R142" i="6"/>
  <c r="P140" i="6"/>
  <c r="T145" i="6"/>
  <c r="Q142" i="6"/>
  <c r="P141" i="6"/>
  <c r="T146" i="6"/>
  <c r="R144" i="6"/>
  <c r="P142" i="6"/>
  <c r="O141" i="6"/>
  <c r="R145" i="6"/>
  <c r="Q144" i="6"/>
  <c r="O142" i="6"/>
  <c r="P146" i="6"/>
  <c r="O145" i="6"/>
  <c r="N144" i="6"/>
  <c r="T142" i="6"/>
  <c r="S141" i="6"/>
  <c r="R140" i="6"/>
  <c r="O146" i="6"/>
  <c r="N145" i="6"/>
  <c r="T143" i="6"/>
  <c r="S142" i="6"/>
  <c r="R141" i="6"/>
  <c r="C770" i="5"/>
  <c r="C769" i="5"/>
  <c r="I769" i="5"/>
  <c r="B864" i="5"/>
  <c r="D835" i="4"/>
  <c r="D853" i="4"/>
  <c r="F814" i="4"/>
  <c r="D188" i="18" l="1"/>
  <c r="P188" i="18" s="1"/>
  <c r="D174" i="18"/>
  <c r="P174" i="18" s="1"/>
  <c r="AI30" i="18" a="1"/>
  <c r="D99" i="18"/>
  <c r="P129" i="18"/>
  <c r="H251" i="18"/>
  <c r="T251" i="18" s="1"/>
  <c r="P149" i="18"/>
  <c r="H287" i="18"/>
  <c r="T287" i="18" s="1"/>
  <c r="P109" i="18"/>
  <c r="H215" i="18"/>
  <c r="T215" i="18" s="1"/>
  <c r="P119" i="18"/>
  <c r="H233" i="18"/>
  <c r="T233" i="18" s="1"/>
  <c r="P159" i="18"/>
  <c r="H305" i="18"/>
  <c r="T305" i="18" s="1"/>
  <c r="P139" i="18"/>
  <c r="H269" i="18"/>
  <c r="T269" i="18" s="1"/>
  <c r="E119" i="21"/>
  <c r="I200" i="21"/>
  <c r="I218" i="21"/>
  <c r="E129" i="21"/>
  <c r="I182" i="21"/>
  <c r="E109" i="21"/>
  <c r="AI31" i="21" a="1"/>
  <c r="I164" i="21"/>
  <c r="E155" i="21"/>
  <c r="E141" i="21"/>
  <c r="E99" i="21"/>
  <c r="F63" i="20"/>
  <c r="B88" i="20" s="1"/>
  <c r="E230" i="20"/>
  <c r="I106" i="20"/>
  <c r="E111" i="20"/>
  <c r="I116" i="20"/>
  <c r="E121" i="20"/>
  <c r="E101" i="20"/>
  <c r="E194" i="20"/>
  <c r="H159" i="20"/>
  <c r="H158" i="20"/>
  <c r="I126" i="20"/>
  <c r="E131" i="20"/>
  <c r="H145" i="20"/>
  <c r="H144" i="20"/>
  <c r="K144" i="20" s="1"/>
  <c r="E212" i="20"/>
  <c r="E176" i="20"/>
  <c r="R36" i="19"/>
  <c r="Q35" i="19"/>
  <c r="P34" i="19"/>
  <c r="O33" i="19"/>
  <c r="U31" i="19"/>
  <c r="T30" i="19"/>
  <c r="P36" i="19"/>
  <c r="O35" i="19"/>
  <c r="U33" i="19"/>
  <c r="T32" i="19"/>
  <c r="S31" i="19"/>
  <c r="R30" i="19"/>
  <c r="O36" i="19"/>
  <c r="U34" i="19"/>
  <c r="T33" i="19"/>
  <c r="S32" i="19"/>
  <c r="R31" i="19"/>
  <c r="Q30" i="19"/>
  <c r="Q36" i="19"/>
  <c r="P35" i="19"/>
  <c r="O34" i="19"/>
  <c r="U32" i="19"/>
  <c r="T31" i="19"/>
  <c r="S30" i="19"/>
  <c r="U35" i="19"/>
  <c r="T34" i="19"/>
  <c r="S33" i="19"/>
  <c r="R32" i="19"/>
  <c r="Q31" i="19"/>
  <c r="P30" i="19"/>
  <c r="U36" i="19"/>
  <c r="D159" i="19" s="1"/>
  <c r="H305" i="19" s="1"/>
  <c r="T35" i="19"/>
  <c r="D149" i="19" s="1"/>
  <c r="H287" i="19" s="1"/>
  <c r="S34" i="19"/>
  <c r="D139" i="19" s="1"/>
  <c r="H269" i="19" s="1"/>
  <c r="R33" i="19"/>
  <c r="D129" i="19" s="1"/>
  <c r="H251" i="19" s="1"/>
  <c r="Q32" i="19"/>
  <c r="D119" i="19" s="1"/>
  <c r="H233" i="19" s="1"/>
  <c r="P31" i="19"/>
  <c r="D109" i="19" s="1"/>
  <c r="H215" i="19" s="1"/>
  <c r="O30" i="19"/>
  <c r="T36" i="19"/>
  <c r="S35" i="19"/>
  <c r="R34" i="19"/>
  <c r="Q33" i="19"/>
  <c r="P32" i="19"/>
  <c r="O31" i="19"/>
  <c r="S36" i="19"/>
  <c r="R35" i="19"/>
  <c r="Q34" i="19"/>
  <c r="P33" i="19"/>
  <c r="O32" i="19"/>
  <c r="U30" i="19"/>
  <c r="F241" i="17"/>
  <c r="I21" i="16"/>
  <c r="H21" i="16"/>
  <c r="G21" i="16"/>
  <c r="DZ154" i="8"/>
  <c r="DR154" i="8"/>
  <c r="DJ154" i="8"/>
  <c r="DB154" i="8"/>
  <c r="CT154" i="8"/>
  <c r="CL154" i="8"/>
  <c r="CD154" i="8"/>
  <c r="BV154" i="8"/>
  <c r="BN154" i="8"/>
  <c r="BF154" i="8"/>
  <c r="AX154" i="8"/>
  <c r="AP154" i="8"/>
  <c r="AH154" i="8"/>
  <c r="Z154" i="8"/>
  <c r="R154" i="8"/>
  <c r="EF154" i="8"/>
  <c r="DX154" i="8"/>
  <c r="DP154" i="8"/>
  <c r="DH154" i="8"/>
  <c r="CZ154" i="8"/>
  <c r="CR154" i="8"/>
  <c r="CJ154" i="8"/>
  <c r="CB154" i="8"/>
  <c r="BT154" i="8"/>
  <c r="BL154" i="8"/>
  <c r="BD154" i="8"/>
  <c r="AV154" i="8"/>
  <c r="AN154" i="8"/>
  <c r="AF154" i="8"/>
  <c r="X154" i="8"/>
  <c r="EE154" i="8"/>
  <c r="DU154" i="8"/>
  <c r="DK154" i="8"/>
  <c r="CY154" i="8"/>
  <c r="CO154" i="8"/>
  <c r="CE154" i="8"/>
  <c r="BS154" i="8"/>
  <c r="BI154" i="8"/>
  <c r="AY154" i="8"/>
  <c r="AM154" i="8"/>
  <c r="AC154" i="8"/>
  <c r="S154" i="8"/>
  <c r="ED154" i="8"/>
  <c r="DT154" i="8"/>
  <c r="DI154" i="8"/>
  <c r="CX154" i="8"/>
  <c r="CN154" i="8"/>
  <c r="CC154" i="8"/>
  <c r="BR154" i="8"/>
  <c r="BH154" i="8"/>
  <c r="AW154" i="8"/>
  <c r="AL154" i="8"/>
  <c r="AB154" i="8"/>
  <c r="Q154" i="8"/>
  <c r="EC154" i="8"/>
  <c r="DS154" i="8"/>
  <c r="DG154" i="8"/>
  <c r="CW154" i="8"/>
  <c r="CM154" i="8"/>
  <c r="CA154" i="8"/>
  <c r="BQ154" i="8"/>
  <c r="BG154" i="8"/>
  <c r="AU154" i="8"/>
  <c r="AK154" i="8"/>
  <c r="AA154" i="8"/>
  <c r="EA154" i="8"/>
  <c r="DL154" i="8"/>
  <c r="CS154" i="8"/>
  <c r="BZ154" i="8"/>
  <c r="BK154" i="8"/>
  <c r="AS154" i="8"/>
  <c r="AD154" i="8"/>
  <c r="DY154" i="8"/>
  <c r="DF154" i="8"/>
  <c r="CQ154" i="8"/>
  <c r="BY154" i="8"/>
  <c r="BJ154" i="8"/>
  <c r="AR154" i="8"/>
  <c r="Y154" i="8"/>
  <c r="DN154" i="8"/>
  <c r="CV154" i="8"/>
  <c r="CG154" i="8"/>
  <c r="BO154" i="8"/>
  <c r="AZ154" i="8"/>
  <c r="AG154" i="8"/>
  <c r="EB154" i="8"/>
  <c r="DM154" i="8"/>
  <c r="CU154" i="8"/>
  <c r="CF154" i="8"/>
  <c r="BM154" i="8"/>
  <c r="AT154" i="8"/>
  <c r="AE154" i="8"/>
  <c r="DQ154" i="8"/>
  <c r="CI154" i="8"/>
  <c r="BB154" i="8"/>
  <c r="U154" i="8"/>
  <c r="DO154" i="8"/>
  <c r="CH154" i="8"/>
  <c r="BA154" i="8"/>
  <c r="T154" i="8"/>
  <c r="DE154" i="8"/>
  <c r="BX154" i="8"/>
  <c r="AQ154" i="8"/>
  <c r="DD154" i="8"/>
  <c r="BW154" i="8"/>
  <c r="AO154" i="8"/>
  <c r="DC154" i="8"/>
  <c r="BU154" i="8"/>
  <c r="AJ154" i="8"/>
  <c r="DW154" i="8"/>
  <c r="CP154" i="8"/>
  <c r="BE154" i="8"/>
  <c r="W154" i="8"/>
  <c r="BP154" i="8"/>
  <c r="BC154" i="8"/>
  <c r="AI154" i="8"/>
  <c r="V154" i="8"/>
  <c r="DV154" i="8"/>
  <c r="DA154" i="8"/>
  <c r="CK154" i="8"/>
  <c r="EF78" i="8"/>
  <c r="DX78" i="8"/>
  <c r="DP78" i="8"/>
  <c r="DH78" i="8"/>
  <c r="CZ78" i="8"/>
  <c r="CR78" i="8"/>
  <c r="CJ78" i="8"/>
  <c r="CB78" i="8"/>
  <c r="BT78" i="8"/>
  <c r="BL78" i="8"/>
  <c r="BD78" i="8"/>
  <c r="AV78" i="8"/>
  <c r="AN78" i="8"/>
  <c r="AF78" i="8"/>
  <c r="X78" i="8"/>
  <c r="EF77" i="8"/>
  <c r="DX77" i="8"/>
  <c r="DP77" i="8"/>
  <c r="DH77" i="8"/>
  <c r="CZ77" i="8"/>
  <c r="CR77" i="8"/>
  <c r="CJ77" i="8"/>
  <c r="CB77" i="8"/>
  <c r="BT77" i="8"/>
  <c r="BL77" i="8"/>
  <c r="BD77" i="8"/>
  <c r="AV77" i="8"/>
  <c r="AN77" i="8"/>
  <c r="AF77" i="8"/>
  <c r="X77" i="8"/>
  <c r="EF76" i="8"/>
  <c r="DX76" i="8"/>
  <c r="DP76" i="8"/>
  <c r="EE78" i="8"/>
  <c r="DV78" i="8"/>
  <c r="DM78" i="8"/>
  <c r="DD78" i="8"/>
  <c r="CU78" i="8"/>
  <c r="CL78" i="8"/>
  <c r="CC78" i="8"/>
  <c r="BS78" i="8"/>
  <c r="BJ78" i="8"/>
  <c r="BA78" i="8"/>
  <c r="AR78" i="8"/>
  <c r="AI78" i="8"/>
  <c r="Z78" i="8"/>
  <c r="EG77" i="8"/>
  <c r="DW77" i="8"/>
  <c r="DN77" i="8"/>
  <c r="DE77" i="8"/>
  <c r="CV77" i="8"/>
  <c r="CM77" i="8"/>
  <c r="CD77" i="8"/>
  <c r="BU77" i="8"/>
  <c r="BK77" i="8"/>
  <c r="BB77" i="8"/>
  <c r="AS77" i="8"/>
  <c r="AJ77" i="8"/>
  <c r="AA77" i="8"/>
  <c r="EH76" i="8"/>
  <c r="DY76" i="8"/>
  <c r="DO76" i="8"/>
  <c r="DG76" i="8"/>
  <c r="CY76" i="8"/>
  <c r="CQ76" i="8"/>
  <c r="CI76" i="8"/>
  <c r="CA76" i="8"/>
  <c r="BS76" i="8"/>
  <c r="BK76" i="8"/>
  <c r="BC76" i="8"/>
  <c r="AU76" i="8"/>
  <c r="AM76" i="8"/>
  <c r="AE76" i="8"/>
  <c r="W76" i="8"/>
  <c r="EE75" i="8"/>
  <c r="DW75" i="8"/>
  <c r="DO75" i="8"/>
  <c r="DG75" i="8"/>
  <c r="CY75" i="8"/>
  <c r="CQ75" i="8"/>
  <c r="CI75" i="8"/>
  <c r="CA75" i="8"/>
  <c r="BS75" i="8"/>
  <c r="ED78" i="8"/>
  <c r="DU78" i="8"/>
  <c r="DL78" i="8"/>
  <c r="DC78" i="8"/>
  <c r="CT78" i="8"/>
  <c r="CK78" i="8"/>
  <c r="CA78" i="8"/>
  <c r="BR78" i="8"/>
  <c r="BI78" i="8"/>
  <c r="AZ78" i="8"/>
  <c r="AQ78" i="8"/>
  <c r="AH78" i="8"/>
  <c r="Y78" i="8"/>
  <c r="EH78" i="8"/>
  <c r="DT78" i="8"/>
  <c r="DI78" i="8"/>
  <c r="CW78" i="8"/>
  <c r="CI78" i="8"/>
  <c r="BX78" i="8"/>
  <c r="BM78" i="8"/>
  <c r="AY78" i="8"/>
  <c r="AM78" i="8"/>
  <c r="AB78" i="8"/>
  <c r="EE77" i="8"/>
  <c r="DU77" i="8"/>
  <c r="DK77" i="8"/>
  <c r="DA77" i="8"/>
  <c r="CP77" i="8"/>
  <c r="CF77" i="8"/>
  <c r="BV77" i="8"/>
  <c r="BJ77" i="8"/>
  <c r="AZ77" i="8"/>
  <c r="AP77" i="8"/>
  <c r="EJ78" i="8"/>
  <c r="DY78" i="8"/>
  <c r="DK78" i="8"/>
  <c r="CY78" i="8"/>
  <c r="CN78" i="8"/>
  <c r="BZ78" i="8"/>
  <c r="BO78" i="8"/>
  <c r="BC78" i="8"/>
  <c r="AP78" i="8"/>
  <c r="AD78" i="8"/>
  <c r="EI77" i="8"/>
  <c r="DY77" i="8"/>
  <c r="DM77" i="8"/>
  <c r="DC77" i="8"/>
  <c r="CS77" i="8"/>
  <c r="CH77" i="8"/>
  <c r="BX77" i="8"/>
  <c r="BN77" i="8"/>
  <c r="BC77" i="8"/>
  <c r="AR77" i="8"/>
  <c r="AH77" i="8"/>
  <c r="W77" i="8"/>
  <c r="EC76" i="8"/>
  <c r="DS76" i="8"/>
  <c r="DI76" i="8"/>
  <c r="CZ76" i="8"/>
  <c r="CP76" i="8"/>
  <c r="CG76" i="8"/>
  <c r="BX76" i="8"/>
  <c r="BO76" i="8"/>
  <c r="BF76" i="8"/>
  <c r="AW76" i="8"/>
  <c r="AN76" i="8"/>
  <c r="AD76" i="8"/>
  <c r="EK75" i="8"/>
  <c r="EB75" i="8"/>
  <c r="DS75" i="8"/>
  <c r="DJ75" i="8"/>
  <c r="DA75" i="8"/>
  <c r="CR75" i="8"/>
  <c r="CH75" i="8"/>
  <c r="BY75" i="8"/>
  <c r="BP75" i="8"/>
  <c r="BH75" i="8"/>
  <c r="AZ75" i="8"/>
  <c r="AR75" i="8"/>
  <c r="AJ75" i="8"/>
  <c r="AB75" i="8"/>
  <c r="EJ74" i="8"/>
  <c r="EB74" i="8"/>
  <c r="DT74" i="8"/>
  <c r="DL74" i="8"/>
  <c r="DD74" i="8"/>
  <c r="CV74" i="8"/>
  <c r="CN74" i="8"/>
  <c r="CF74" i="8"/>
  <c r="BX74" i="8"/>
  <c r="BP74" i="8"/>
  <c r="BH74" i="8"/>
  <c r="AZ74" i="8"/>
  <c r="AR74" i="8"/>
  <c r="AJ74" i="8"/>
  <c r="AB74" i="8"/>
  <c r="EJ73" i="8"/>
  <c r="EB73" i="8"/>
  <c r="DT73" i="8"/>
  <c r="EL78" i="8"/>
  <c r="DW78" i="8"/>
  <c r="DF78" i="8"/>
  <c r="CP78" i="8"/>
  <c r="BY78" i="8"/>
  <c r="BH78" i="8"/>
  <c r="AT78" i="8"/>
  <c r="AC78" i="8"/>
  <c r="EC77" i="8"/>
  <c r="DQ77" i="8"/>
  <c r="DB77" i="8"/>
  <c r="CN77" i="8"/>
  <c r="BZ77" i="8"/>
  <c r="BM77" i="8"/>
  <c r="AX77" i="8"/>
  <c r="AK77" i="8"/>
  <c r="Y77" i="8"/>
  <c r="EB76" i="8"/>
  <c r="DQ76" i="8"/>
  <c r="DE76" i="8"/>
  <c r="CU76" i="8"/>
  <c r="CK76" i="8"/>
  <c r="BZ76" i="8"/>
  <c r="BP76" i="8"/>
  <c r="BE76" i="8"/>
  <c r="AT76" i="8"/>
  <c r="AJ76" i="8"/>
  <c r="Z76" i="8"/>
  <c r="EF75" i="8"/>
  <c r="DU75" i="8"/>
  <c r="DK75" i="8"/>
  <c r="CZ75" i="8"/>
  <c r="CO75" i="8"/>
  <c r="CE75" i="8"/>
  <c r="BU75" i="8"/>
  <c r="BK75" i="8"/>
  <c r="BB75" i="8"/>
  <c r="AS75" i="8"/>
  <c r="AI75" i="8"/>
  <c r="Z75" i="8"/>
  <c r="EG74" i="8"/>
  <c r="DX74" i="8"/>
  <c r="DO74" i="8"/>
  <c r="DF74" i="8"/>
  <c r="CW74" i="8"/>
  <c r="CM74" i="8"/>
  <c r="CD74" i="8"/>
  <c r="BU74" i="8"/>
  <c r="BL74" i="8"/>
  <c r="BC74" i="8"/>
  <c r="AT74" i="8"/>
  <c r="AK74" i="8"/>
  <c r="AA74" i="8"/>
  <c r="EH73" i="8"/>
  <c r="DY73" i="8"/>
  <c r="DP73" i="8"/>
  <c r="DH73" i="8"/>
  <c r="CZ73" i="8"/>
  <c r="CR73" i="8"/>
  <c r="CJ73" i="8"/>
  <c r="CB73" i="8"/>
  <c r="BT73" i="8"/>
  <c r="BL73" i="8"/>
  <c r="BD73" i="8"/>
  <c r="AV73" i="8"/>
  <c r="AN73" i="8"/>
  <c r="AF73" i="8"/>
  <c r="X73" i="8"/>
  <c r="EF72" i="8"/>
  <c r="DX72" i="8"/>
  <c r="DP72" i="8"/>
  <c r="DH72" i="8"/>
  <c r="CZ72" i="8"/>
  <c r="CR72" i="8"/>
  <c r="CJ72" i="8"/>
  <c r="CB72" i="8"/>
  <c r="BT72" i="8"/>
  <c r="EK78" i="8"/>
  <c r="DS78" i="8"/>
  <c r="DE78" i="8"/>
  <c r="CO78" i="8"/>
  <c r="BW78" i="8"/>
  <c r="BG78" i="8"/>
  <c r="AS78" i="8"/>
  <c r="AA78" i="8"/>
  <c r="EB77" i="8"/>
  <c r="DO77" i="8"/>
  <c r="CY77" i="8"/>
  <c r="CL77" i="8"/>
  <c r="BY77" i="8"/>
  <c r="BI77" i="8"/>
  <c r="AW77" i="8"/>
  <c r="AI77" i="8"/>
  <c r="EL76" i="8"/>
  <c r="EA76" i="8"/>
  <c r="DN76" i="8"/>
  <c r="DD76" i="8"/>
  <c r="CT76" i="8"/>
  <c r="CJ76" i="8"/>
  <c r="BY76" i="8"/>
  <c r="BN76" i="8"/>
  <c r="BD76" i="8"/>
  <c r="AS76" i="8"/>
  <c r="AI76" i="8"/>
  <c r="Y76" i="8"/>
  <c r="ED75" i="8"/>
  <c r="DT75" i="8"/>
  <c r="DI75" i="8"/>
  <c r="CX75" i="8"/>
  <c r="CN75" i="8"/>
  <c r="CD75" i="8"/>
  <c r="BT75" i="8"/>
  <c r="BJ75" i="8"/>
  <c r="BA75" i="8"/>
  <c r="AQ75" i="8"/>
  <c r="AH75" i="8"/>
  <c r="Y75" i="8"/>
  <c r="EF74" i="8"/>
  <c r="DW74" i="8"/>
  <c r="DN74" i="8"/>
  <c r="DE74" i="8"/>
  <c r="CU74" i="8"/>
  <c r="CL74" i="8"/>
  <c r="CC74" i="8"/>
  <c r="EI78" i="8"/>
  <c r="DR78" i="8"/>
  <c r="DB78" i="8"/>
  <c r="CM78" i="8"/>
  <c r="BV78" i="8"/>
  <c r="BF78" i="8"/>
  <c r="AO78" i="8"/>
  <c r="W78" i="8"/>
  <c r="EA77" i="8"/>
  <c r="DL77" i="8"/>
  <c r="CX77" i="8"/>
  <c r="CK77" i="8"/>
  <c r="BW77" i="8"/>
  <c r="BH77" i="8"/>
  <c r="AU77" i="8"/>
  <c r="AG77" i="8"/>
  <c r="EK76" i="8"/>
  <c r="DZ76" i="8"/>
  <c r="DM76" i="8"/>
  <c r="DC76" i="8"/>
  <c r="CS76" i="8"/>
  <c r="CH76" i="8"/>
  <c r="BW76" i="8"/>
  <c r="BM76" i="8"/>
  <c r="BB76" i="8"/>
  <c r="AR76" i="8"/>
  <c r="AH76" i="8"/>
  <c r="X76" i="8"/>
  <c r="EC75" i="8"/>
  <c r="DR75" i="8"/>
  <c r="DH75" i="8"/>
  <c r="CW75" i="8"/>
  <c r="CM75" i="8"/>
  <c r="CC75" i="8"/>
  <c r="BR75" i="8"/>
  <c r="BI75" i="8"/>
  <c r="AY75" i="8"/>
  <c r="AP75" i="8"/>
  <c r="AG75" i="8"/>
  <c r="X75" i="8"/>
  <c r="EE74" i="8"/>
  <c r="DV74" i="8"/>
  <c r="DM74" i="8"/>
  <c r="DC74" i="8"/>
  <c r="CT74" i="8"/>
  <c r="CK74" i="8"/>
  <c r="CB74" i="8"/>
  <c r="BS74" i="8"/>
  <c r="BJ74" i="8"/>
  <c r="BA74" i="8"/>
  <c r="AQ74" i="8"/>
  <c r="AH74" i="8"/>
  <c r="Y74" i="8"/>
  <c r="EF73" i="8"/>
  <c r="DW73" i="8"/>
  <c r="DN73" i="8"/>
  <c r="DF73" i="8"/>
  <c r="CX73" i="8"/>
  <c r="CP73" i="8"/>
  <c r="CH73" i="8"/>
  <c r="BZ73" i="8"/>
  <c r="BR73" i="8"/>
  <c r="BJ73" i="8"/>
  <c r="BB73" i="8"/>
  <c r="AT73" i="8"/>
  <c r="AL73" i="8"/>
  <c r="AD73" i="8"/>
  <c r="EL72" i="8"/>
  <c r="ED72" i="8"/>
  <c r="DV72" i="8"/>
  <c r="DN72" i="8"/>
  <c r="DF72" i="8"/>
  <c r="CX72" i="8"/>
  <c r="CP72" i="8"/>
  <c r="CH72" i="8"/>
  <c r="BZ72" i="8"/>
  <c r="BR72" i="8"/>
  <c r="BJ72" i="8"/>
  <c r="BB72" i="8"/>
  <c r="AT72" i="8"/>
  <c r="AL72" i="8"/>
  <c r="AD72" i="8"/>
  <c r="EG78" i="8"/>
  <c r="DQ78" i="8"/>
  <c r="DA78" i="8"/>
  <c r="CH78" i="8"/>
  <c r="BU78" i="8"/>
  <c r="BE78" i="8"/>
  <c r="AL78" i="8"/>
  <c r="EL77" i="8"/>
  <c r="DZ77" i="8"/>
  <c r="DJ77" i="8"/>
  <c r="CW77" i="8"/>
  <c r="CI77" i="8"/>
  <c r="BS77" i="8"/>
  <c r="BG77" i="8"/>
  <c r="AT77" i="8"/>
  <c r="AE77" i="8"/>
  <c r="EJ76" i="8"/>
  <c r="DW76" i="8"/>
  <c r="DL76" i="8"/>
  <c r="DB76" i="8"/>
  <c r="CR76" i="8"/>
  <c r="CF76" i="8"/>
  <c r="BV76" i="8"/>
  <c r="BL76" i="8"/>
  <c r="BA76" i="8"/>
  <c r="AQ76" i="8"/>
  <c r="AG76" i="8"/>
  <c r="EL75" i="8"/>
  <c r="EA75" i="8"/>
  <c r="DQ75" i="8"/>
  <c r="DF75" i="8"/>
  <c r="CV75" i="8"/>
  <c r="CL75" i="8"/>
  <c r="CB75" i="8"/>
  <c r="BQ75" i="8"/>
  <c r="BG75" i="8"/>
  <c r="AX75" i="8"/>
  <c r="AO75" i="8"/>
  <c r="AF75" i="8"/>
  <c r="W75" i="8"/>
  <c r="ED74" i="8"/>
  <c r="DU74" i="8"/>
  <c r="DK74" i="8"/>
  <c r="DB74" i="8"/>
  <c r="CS74" i="8"/>
  <c r="CJ74" i="8"/>
  <c r="CA74" i="8"/>
  <c r="BR74" i="8"/>
  <c r="BI74" i="8"/>
  <c r="AY74" i="8"/>
  <c r="AP74" i="8"/>
  <c r="AG74" i="8"/>
  <c r="X74" i="8"/>
  <c r="EE73" i="8"/>
  <c r="DV73" i="8"/>
  <c r="DM73" i="8"/>
  <c r="DE73" i="8"/>
  <c r="CW73" i="8"/>
  <c r="CO73" i="8"/>
  <c r="CG73" i="8"/>
  <c r="BY73" i="8"/>
  <c r="BQ73" i="8"/>
  <c r="BI73" i="8"/>
  <c r="BA73" i="8"/>
  <c r="AS73" i="8"/>
  <c r="AK73" i="8"/>
  <c r="AC73" i="8"/>
  <c r="EK72" i="8"/>
  <c r="EC72" i="8"/>
  <c r="DU72" i="8"/>
  <c r="DM72" i="8"/>
  <c r="DE72" i="8"/>
  <c r="CW72" i="8"/>
  <c r="CO72" i="8"/>
  <c r="CG72" i="8"/>
  <c r="BY72" i="8"/>
  <c r="BQ72" i="8"/>
  <c r="BI72" i="8"/>
  <c r="BA72" i="8"/>
  <c r="AS72" i="8"/>
  <c r="AK72" i="8"/>
  <c r="AC72" i="8"/>
  <c r="EC78" i="8"/>
  <c r="DO78" i="8"/>
  <c r="CX78" i="8"/>
  <c r="CG78" i="8"/>
  <c r="BQ78" i="8"/>
  <c r="BB78" i="8"/>
  <c r="AK78" i="8"/>
  <c r="EK77" i="8"/>
  <c r="DV77" i="8"/>
  <c r="DI77" i="8"/>
  <c r="CU77" i="8"/>
  <c r="CG77" i="8"/>
  <c r="BR77" i="8"/>
  <c r="BF77" i="8"/>
  <c r="AQ77" i="8"/>
  <c r="AD77" i="8"/>
  <c r="EI76" i="8"/>
  <c r="DV76" i="8"/>
  <c r="DK76" i="8"/>
  <c r="DA76" i="8"/>
  <c r="CO76" i="8"/>
  <c r="CE76" i="8"/>
  <c r="BU76" i="8"/>
  <c r="BJ76" i="8"/>
  <c r="AZ76" i="8"/>
  <c r="AP76" i="8"/>
  <c r="AF76" i="8"/>
  <c r="EA78" i="8"/>
  <c r="DJ78" i="8"/>
  <c r="CS78" i="8"/>
  <c r="CE78" i="8"/>
  <c r="BN78" i="8"/>
  <c r="AW78" i="8"/>
  <c r="AG78" i="8"/>
  <c r="EH77" i="8"/>
  <c r="DS77" i="8"/>
  <c r="DF77" i="8"/>
  <c r="CQ77" i="8"/>
  <c r="CC77" i="8"/>
  <c r="BP77" i="8"/>
  <c r="BA77" i="8"/>
  <c r="AM77" i="8"/>
  <c r="AB77" i="8"/>
  <c r="EE76" i="8"/>
  <c r="DT76" i="8"/>
  <c r="DH76" i="8"/>
  <c r="CW76" i="8"/>
  <c r="CM76" i="8"/>
  <c r="CC76" i="8"/>
  <c r="BR76" i="8"/>
  <c r="BH76" i="8"/>
  <c r="AX76" i="8"/>
  <c r="AL76" i="8"/>
  <c r="AB76" i="8"/>
  <c r="EH75" i="8"/>
  <c r="DX75" i="8"/>
  <c r="DM75" i="8"/>
  <c r="DC75" i="8"/>
  <c r="CS75" i="8"/>
  <c r="CG75" i="8"/>
  <c r="BW75" i="8"/>
  <c r="BM75" i="8"/>
  <c r="BD75" i="8"/>
  <c r="AU75" i="8"/>
  <c r="AL75" i="8"/>
  <c r="AC75" i="8"/>
  <c r="EI74" i="8"/>
  <c r="DZ74" i="8"/>
  <c r="DQ74" i="8"/>
  <c r="DH74" i="8"/>
  <c r="CY74" i="8"/>
  <c r="CP74" i="8"/>
  <c r="CG74" i="8"/>
  <c r="BW74" i="8"/>
  <c r="BN74" i="8"/>
  <c r="BE74" i="8"/>
  <c r="AV74" i="8"/>
  <c r="AM74" i="8"/>
  <c r="AD74" i="8"/>
  <c r="EK73" i="8"/>
  <c r="EA73" i="8"/>
  <c r="DR73" i="8"/>
  <c r="DJ73" i="8"/>
  <c r="DB73" i="8"/>
  <c r="CT73" i="8"/>
  <c r="CL73" i="8"/>
  <c r="CD73" i="8"/>
  <c r="BV73" i="8"/>
  <c r="BN73" i="8"/>
  <c r="BF73" i="8"/>
  <c r="AX73" i="8"/>
  <c r="AP73" i="8"/>
  <c r="AH73" i="8"/>
  <c r="Z73" i="8"/>
  <c r="EH72" i="8"/>
  <c r="DZ72" i="8"/>
  <c r="DR72" i="8"/>
  <c r="DJ72" i="8"/>
  <c r="DB72" i="8"/>
  <c r="CT72" i="8"/>
  <c r="CL72" i="8"/>
  <c r="CD72" i="8"/>
  <c r="BV72" i="8"/>
  <c r="BN72" i="8"/>
  <c r="BF72" i="8"/>
  <c r="AX72" i="8"/>
  <c r="AP72" i="8"/>
  <c r="AH72" i="8"/>
  <c r="Z72" i="8"/>
  <c r="DZ78" i="8"/>
  <c r="BK78" i="8"/>
  <c r="DR77" i="8"/>
  <c r="BO77" i="8"/>
  <c r="ED76" i="8"/>
  <c r="CL76" i="8"/>
  <c r="AV76" i="8"/>
  <c r="DZ75" i="8"/>
  <c r="DB75" i="8"/>
  <c r="BX75" i="8"/>
  <c r="AW75" i="8"/>
  <c r="AA75" i="8"/>
  <c r="DR74" i="8"/>
  <c r="CR74" i="8"/>
  <c r="BV74" i="8"/>
  <c r="BD74" i="8"/>
  <c r="AL74" i="8"/>
  <c r="EI73" i="8"/>
  <c r="DQ73" i="8"/>
  <c r="DA73" i="8"/>
  <c r="CK73" i="8"/>
  <c r="BU73" i="8"/>
  <c r="BE73" i="8"/>
  <c r="AO73" i="8"/>
  <c r="Y73" i="8"/>
  <c r="DY72" i="8"/>
  <c r="DI72" i="8"/>
  <c r="CS72" i="8"/>
  <c r="CC72" i="8"/>
  <c r="BM72" i="8"/>
  <c r="AZ72" i="8"/>
  <c r="AN72" i="8"/>
  <c r="AA72" i="8"/>
  <c r="CM73" i="8"/>
  <c r="DN78" i="8"/>
  <c r="AX78" i="8"/>
  <c r="DG77" i="8"/>
  <c r="BE77" i="8"/>
  <c r="DU76" i="8"/>
  <c r="CD76" i="8"/>
  <c r="AO76" i="8"/>
  <c r="DY75" i="8"/>
  <c r="CU75" i="8"/>
  <c r="BV75" i="8"/>
  <c r="AV75" i="8"/>
  <c r="EL74" i="8"/>
  <c r="DP74" i="8"/>
  <c r="CQ74" i="8"/>
  <c r="BT74" i="8"/>
  <c r="BB74" i="8"/>
  <c r="AI74" i="8"/>
  <c r="EG73" i="8"/>
  <c r="DO73" i="8"/>
  <c r="CY73" i="8"/>
  <c r="CI73" i="8"/>
  <c r="BS73" i="8"/>
  <c r="BC73" i="8"/>
  <c r="AM73" i="8"/>
  <c r="W73" i="8"/>
  <c r="DW72" i="8"/>
  <c r="DG72" i="8"/>
  <c r="CQ72" i="8"/>
  <c r="CA72" i="8"/>
  <c r="BL72" i="8"/>
  <c r="AY72" i="8"/>
  <c r="AM72" i="8"/>
  <c r="Y72" i="8"/>
  <c r="DG78" i="8"/>
  <c r="AU78" i="8"/>
  <c r="DD77" i="8"/>
  <c r="AY77" i="8"/>
  <c r="DR76" i="8"/>
  <c r="CB76" i="8"/>
  <c r="AK76" i="8"/>
  <c r="DV75" i="8"/>
  <c r="CT75" i="8"/>
  <c r="BO75" i="8"/>
  <c r="AT75" i="8"/>
  <c r="EK74" i="8"/>
  <c r="DJ74" i="8"/>
  <c r="CO74" i="8"/>
  <c r="BQ74" i="8"/>
  <c r="AX74" i="8"/>
  <c r="AF74" i="8"/>
  <c r="ED73" i="8"/>
  <c r="DL73" i="8"/>
  <c r="CV73" i="8"/>
  <c r="CF73" i="8"/>
  <c r="BP73" i="8"/>
  <c r="AZ73" i="8"/>
  <c r="AJ73" i="8"/>
  <c r="EJ72" i="8"/>
  <c r="DT72" i="8"/>
  <c r="DD72" i="8"/>
  <c r="CN72" i="8"/>
  <c r="BX72" i="8"/>
  <c r="BK72" i="8"/>
  <c r="AW72" i="8"/>
  <c r="AJ72" i="8"/>
  <c r="X72" i="8"/>
  <c r="DK72" i="8"/>
  <c r="CV78" i="8"/>
  <c r="AJ78" i="8"/>
  <c r="CT77" i="8"/>
  <c r="AO77" i="8"/>
  <c r="DJ76" i="8"/>
  <c r="BT76" i="8"/>
  <c r="AC76" i="8"/>
  <c r="DP75" i="8"/>
  <c r="CP75" i="8"/>
  <c r="BN75" i="8"/>
  <c r="AN75" i="8"/>
  <c r="EH74" i="8"/>
  <c r="DI74" i="8"/>
  <c r="CI74" i="8"/>
  <c r="BO74" i="8"/>
  <c r="AW74" i="8"/>
  <c r="AE74" i="8"/>
  <c r="EC73" i="8"/>
  <c r="DK73" i="8"/>
  <c r="CU73" i="8"/>
  <c r="CE73" i="8"/>
  <c r="BO73" i="8"/>
  <c r="AY73" i="8"/>
  <c r="AI73" i="8"/>
  <c r="EI72" i="8"/>
  <c r="DS72" i="8"/>
  <c r="DC72" i="8"/>
  <c r="CM72" i="8"/>
  <c r="BW72" i="8"/>
  <c r="BH72" i="8"/>
  <c r="AV72" i="8"/>
  <c r="AI72" i="8"/>
  <c r="W72" i="8"/>
  <c r="AY76" i="8"/>
  <c r="CQ78" i="8"/>
  <c r="AE78" i="8"/>
  <c r="CO77" i="8"/>
  <c r="AL77" i="8"/>
  <c r="DF76" i="8"/>
  <c r="BQ76" i="8"/>
  <c r="AA76" i="8"/>
  <c r="DN75" i="8"/>
  <c r="CK75" i="8"/>
  <c r="BL75" i="8"/>
  <c r="AM75" i="8"/>
  <c r="EC74" i="8"/>
  <c r="DG74" i="8"/>
  <c r="CH74" i="8"/>
  <c r="BM74" i="8"/>
  <c r="AU74" i="8"/>
  <c r="AC74" i="8"/>
  <c r="DZ73" i="8"/>
  <c r="DI73" i="8"/>
  <c r="CS73" i="8"/>
  <c r="CC73" i="8"/>
  <c r="BM73" i="8"/>
  <c r="AW73" i="8"/>
  <c r="AG73" i="8"/>
  <c r="EG72" i="8"/>
  <c r="DQ72" i="8"/>
  <c r="DA72" i="8"/>
  <c r="CK72" i="8"/>
  <c r="BU72" i="8"/>
  <c r="BG72" i="8"/>
  <c r="AU72" i="8"/>
  <c r="AG72" i="8"/>
  <c r="CN76" i="8"/>
  <c r="BG73" i="8"/>
  <c r="BC72" i="8"/>
  <c r="CF78" i="8"/>
  <c r="EJ77" i="8"/>
  <c r="CE77" i="8"/>
  <c r="AC77" i="8"/>
  <c r="CX76" i="8"/>
  <c r="BI76" i="8"/>
  <c r="EJ75" i="8"/>
  <c r="DL75" i="8"/>
  <c r="CJ75" i="8"/>
  <c r="BF75" i="8"/>
  <c r="AK75" i="8"/>
  <c r="EA74" i="8"/>
  <c r="DA74" i="8"/>
  <c r="CE74" i="8"/>
  <c r="BK74" i="8"/>
  <c r="AS74" i="8"/>
  <c r="Z74" i="8"/>
  <c r="DX73" i="8"/>
  <c r="DG73" i="8"/>
  <c r="CQ73" i="8"/>
  <c r="CA73" i="8"/>
  <c r="BK73" i="8"/>
  <c r="AU73" i="8"/>
  <c r="AE73" i="8"/>
  <c r="EE72" i="8"/>
  <c r="DO72" i="8"/>
  <c r="CY72" i="8"/>
  <c r="CI72" i="8"/>
  <c r="BS72" i="8"/>
  <c r="BE72" i="8"/>
  <c r="AR72" i="8"/>
  <c r="AF72" i="8"/>
  <c r="EG75" i="8"/>
  <c r="AQ73" i="8"/>
  <c r="AO72" i="8"/>
  <c r="CD78" i="8"/>
  <c r="ED77" i="8"/>
  <c r="CA77" i="8"/>
  <c r="Z77" i="8"/>
  <c r="CV76" i="8"/>
  <c r="BG76" i="8"/>
  <c r="EI75" i="8"/>
  <c r="DE75" i="8"/>
  <c r="CF75" i="8"/>
  <c r="BE75" i="8"/>
  <c r="AE75" i="8"/>
  <c r="DY74" i="8"/>
  <c r="CZ74" i="8"/>
  <c r="BZ74" i="8"/>
  <c r="BG74" i="8"/>
  <c r="AO74" i="8"/>
  <c r="W74" i="8"/>
  <c r="DU73" i="8"/>
  <c r="DD73" i="8"/>
  <c r="CN73" i="8"/>
  <c r="BX73" i="8"/>
  <c r="BH73" i="8"/>
  <c r="AR73" i="8"/>
  <c r="AB73" i="8"/>
  <c r="EB72" i="8"/>
  <c r="DL72" i="8"/>
  <c r="CV72" i="8"/>
  <c r="CF72" i="8"/>
  <c r="BP72" i="8"/>
  <c r="BD72" i="8"/>
  <c r="AQ72" i="8"/>
  <c r="AE72" i="8"/>
  <c r="EB78" i="8"/>
  <c r="BP78" i="8"/>
  <c r="DT77" i="8"/>
  <c r="BQ77" i="8"/>
  <c r="EG76" i="8"/>
  <c r="DD75" i="8"/>
  <c r="BZ75" i="8"/>
  <c r="BC75" i="8"/>
  <c r="AD75" i="8"/>
  <c r="DS74" i="8"/>
  <c r="CX74" i="8"/>
  <c r="BY74" i="8"/>
  <c r="BF74" i="8"/>
  <c r="AN74" i="8"/>
  <c r="EL73" i="8"/>
  <c r="DS73" i="8"/>
  <c r="DC73" i="8"/>
  <c r="BW73" i="8"/>
  <c r="AA73" i="8"/>
  <c r="EA72" i="8"/>
  <c r="CU72" i="8"/>
  <c r="CE72" i="8"/>
  <c r="BO72" i="8"/>
  <c r="AB72" i="8"/>
  <c r="D410" i="6"/>
  <c r="D320" i="6"/>
  <c r="D374" i="6"/>
  <c r="B357" i="6"/>
  <c r="G303" i="6"/>
  <c r="G302" i="6"/>
  <c r="G289" i="6"/>
  <c r="G288" i="6"/>
  <c r="J801" i="5"/>
  <c r="C804" i="5" s="1"/>
  <c r="I772" i="5"/>
  <c r="D776" i="5"/>
  <c r="E776" i="5" s="1"/>
  <c r="F775" i="5" s="1"/>
  <c r="C861" i="5" s="1"/>
  <c r="B866" i="5" s="1"/>
  <c r="J811" i="5"/>
  <c r="C814" i="5" s="1"/>
  <c r="J785" i="5"/>
  <c r="C788" i="5" s="1"/>
  <c r="J792" i="5"/>
  <c r="C795" i="5" s="1"/>
  <c r="F815" i="4"/>
  <c r="F817" i="4" s="1"/>
  <c r="P99" i="18" l="1"/>
  <c r="H197" i="18"/>
  <c r="T197" i="18" s="1"/>
  <c r="AI30" i="18"/>
  <c r="AI34" i="18"/>
  <c r="H134" i="18" s="1"/>
  <c r="AI36" i="18"/>
  <c r="H154" i="18" s="1"/>
  <c r="AI35" i="18"/>
  <c r="H144" i="18" s="1"/>
  <c r="AI33" i="18"/>
  <c r="H124" i="18" s="1"/>
  <c r="AI31" i="18"/>
  <c r="H104" i="18" s="1"/>
  <c r="AI32" i="18"/>
  <c r="H114" i="18" s="1"/>
  <c r="AI33" i="21"/>
  <c r="AI34" i="21"/>
  <c r="AI32" i="21"/>
  <c r="AI31" i="21"/>
  <c r="K158" i="20"/>
  <c r="H100" i="20"/>
  <c r="H101" i="20"/>
  <c r="H121" i="20"/>
  <c r="H120" i="20"/>
  <c r="H130" i="20"/>
  <c r="H131" i="20"/>
  <c r="H111" i="20"/>
  <c r="H110" i="20"/>
  <c r="D174" i="19"/>
  <c r="D99" i="19"/>
  <c r="H197" i="19" s="1"/>
  <c r="AI30" i="19" a="1"/>
  <c r="D188" i="19"/>
  <c r="Q157" i="8"/>
  <c r="Y140" i="8" a="1"/>
  <c r="C140" i="8" a="1"/>
  <c r="J288" i="6"/>
  <c r="J302" i="6"/>
  <c r="F805" i="5"/>
  <c r="F804" i="5"/>
  <c r="F807" i="5" s="1"/>
  <c r="F814" i="5"/>
  <c r="F817" i="5" s="1"/>
  <c r="F815" i="5"/>
  <c r="F789" i="5"/>
  <c r="F788" i="5"/>
  <c r="H843" i="5"/>
  <c r="D852" i="5" s="1"/>
  <c r="H825" i="5"/>
  <c r="D834" i="5" s="1"/>
  <c r="F795" i="5"/>
  <c r="F796" i="5"/>
  <c r="B39" i="18" l="1"/>
  <c r="Q51" i="18" a="1"/>
  <c r="D186" i="18"/>
  <c r="D172" i="18"/>
  <c r="H94" i="18"/>
  <c r="T114" i="18"/>
  <c r="H231" i="18"/>
  <c r="T231" i="18" s="1"/>
  <c r="T104" i="18"/>
  <c r="H213" i="18"/>
  <c r="T213" i="18" s="1"/>
  <c r="T124" i="18"/>
  <c r="H249" i="18"/>
  <c r="T249" i="18" s="1"/>
  <c r="T154" i="18"/>
  <c r="H303" i="18"/>
  <c r="T303" i="18" s="1"/>
  <c r="T144" i="18"/>
  <c r="H285" i="18"/>
  <c r="T285" i="18" s="1"/>
  <c r="T134" i="18"/>
  <c r="H267" i="18"/>
  <c r="T267" i="18" s="1"/>
  <c r="I104" i="21"/>
  <c r="I180" i="21"/>
  <c r="O48" i="21" a="1"/>
  <c r="I94" i="21"/>
  <c r="E139" i="21"/>
  <c r="I162" i="21"/>
  <c r="E153" i="21"/>
  <c r="I216" i="21"/>
  <c r="I124" i="21"/>
  <c r="I198" i="21"/>
  <c r="I114" i="21"/>
  <c r="AI33" i="19"/>
  <c r="H124" i="19" s="1"/>
  <c r="AI31" i="19"/>
  <c r="H104" i="19" s="1"/>
  <c r="AI30" i="19"/>
  <c r="AI32" i="19"/>
  <c r="H114" i="19" s="1"/>
  <c r="AI36" i="19"/>
  <c r="H154" i="19" s="1"/>
  <c r="AI35" i="19"/>
  <c r="H144" i="19" s="1"/>
  <c r="AI34" i="19"/>
  <c r="H134" i="19" s="1"/>
  <c r="G146" i="8"/>
  <c r="F145" i="8"/>
  <c r="E144" i="8"/>
  <c r="D143" i="8"/>
  <c r="C142" i="8"/>
  <c r="I140" i="8"/>
  <c r="D146" i="8"/>
  <c r="I144" i="8"/>
  <c r="G143" i="8"/>
  <c r="E142" i="8"/>
  <c r="C141" i="8"/>
  <c r="C146" i="8"/>
  <c r="H144" i="8"/>
  <c r="F143" i="8"/>
  <c r="D142" i="8"/>
  <c r="H140" i="8"/>
  <c r="I146" i="8"/>
  <c r="D145" i="8"/>
  <c r="E143" i="8"/>
  <c r="G141" i="8"/>
  <c r="C140" i="8"/>
  <c r="N140" i="8" s="1" a="1"/>
  <c r="H146" i="8"/>
  <c r="C145" i="8"/>
  <c r="C143" i="8"/>
  <c r="F141" i="8"/>
  <c r="G145" i="8"/>
  <c r="I143" i="8"/>
  <c r="I141" i="8"/>
  <c r="E140" i="8"/>
  <c r="E145" i="8"/>
  <c r="H143" i="8"/>
  <c r="H141" i="8"/>
  <c r="D140" i="8"/>
  <c r="I145" i="8"/>
  <c r="G142" i="8"/>
  <c r="H145" i="8"/>
  <c r="F142" i="8"/>
  <c r="G144" i="8"/>
  <c r="E141" i="8"/>
  <c r="F144" i="8"/>
  <c r="D141" i="8"/>
  <c r="D144" i="8"/>
  <c r="G140" i="8"/>
  <c r="F146" i="8"/>
  <c r="I142" i="8"/>
  <c r="E146" i="8"/>
  <c r="C144" i="8"/>
  <c r="H142" i="8"/>
  <c r="F140" i="8"/>
  <c r="Y142" i="8"/>
  <c r="Y146" i="8"/>
  <c r="Y141" i="8"/>
  <c r="Y140" i="8"/>
  <c r="Y145" i="8"/>
  <c r="Y144" i="8"/>
  <c r="Y143" i="8"/>
  <c r="D155" i="8"/>
  <c r="C176" i="8" s="1"/>
  <c r="D835" i="5"/>
  <c r="D853" i="5"/>
  <c r="S51" i="18" l="1"/>
  <c r="U51" i="18"/>
  <c r="Q51" i="18"/>
  <c r="R51" i="18"/>
  <c r="V51" i="18"/>
  <c r="W51" i="18"/>
  <c r="T51" i="18"/>
  <c r="T94" i="18"/>
  <c r="H195" i="18"/>
  <c r="T195" i="18" s="1"/>
  <c r="P186" i="18"/>
  <c r="P172" i="18"/>
  <c r="Q48" i="21"/>
  <c r="O48" i="21"/>
  <c r="R48" i="21"/>
  <c r="P48" i="21"/>
  <c r="H267" i="19"/>
  <c r="H249" i="19"/>
  <c r="H303" i="19"/>
  <c r="H285" i="19"/>
  <c r="H231" i="19"/>
  <c r="D186" i="19"/>
  <c r="B39" i="19"/>
  <c r="D172" i="19"/>
  <c r="H94" i="19"/>
  <c r="Q51" i="19" a="1"/>
  <c r="H213" i="19"/>
  <c r="P146" i="8"/>
  <c r="O145" i="8"/>
  <c r="N144" i="8"/>
  <c r="T142" i="8"/>
  <c r="S141" i="8"/>
  <c r="R140" i="8"/>
  <c r="T146" i="8"/>
  <c r="R145" i="8"/>
  <c r="P144" i="8"/>
  <c r="N143" i="8"/>
  <c r="R141" i="8"/>
  <c r="P140" i="8"/>
  <c r="S146" i="8"/>
  <c r="Q145" i="8"/>
  <c r="O144" i="8"/>
  <c r="S142" i="8"/>
  <c r="Q141" i="8"/>
  <c r="O140" i="8"/>
  <c r="R146" i="8"/>
  <c r="T144" i="8"/>
  <c r="P143" i="8"/>
  <c r="P141" i="8"/>
  <c r="Q146" i="8"/>
  <c r="S144" i="8"/>
  <c r="O143" i="8"/>
  <c r="O141" i="8"/>
  <c r="P145" i="8"/>
  <c r="R143" i="8"/>
  <c r="N142" i="8"/>
  <c r="N140" i="8"/>
  <c r="N145" i="8"/>
  <c r="Q143" i="8"/>
  <c r="D240" i="8" s="1"/>
  <c r="T141" i="8"/>
  <c r="T145" i="8"/>
  <c r="P142" i="8"/>
  <c r="S145" i="8"/>
  <c r="O142" i="8"/>
  <c r="R144" i="8"/>
  <c r="N141" i="8"/>
  <c r="Q144" i="8"/>
  <c r="T140" i="8"/>
  <c r="T143" i="8"/>
  <c r="S140" i="8"/>
  <c r="O146" i="8"/>
  <c r="R142" i="8"/>
  <c r="Q140" i="8"/>
  <c r="N146" i="8"/>
  <c r="S143" i="8"/>
  <c r="Q142" i="8"/>
  <c r="J801" i="4"/>
  <c r="D802" i="4"/>
  <c r="D801" i="4"/>
  <c r="S18" i="1"/>
  <c r="S17" i="1"/>
  <c r="S16" i="1"/>
  <c r="S15" i="1"/>
  <c r="S14" i="1"/>
  <c r="Q2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L18" i="1"/>
  <c r="L17" i="1"/>
  <c r="L16" i="1"/>
  <c r="L15" i="1"/>
  <c r="L14" i="1"/>
  <c r="S13" i="1"/>
  <c r="S12" i="1"/>
  <c r="S11" i="1"/>
  <c r="S10" i="1"/>
  <c r="S9" i="1"/>
  <c r="S8" i="1"/>
  <c r="S7" i="1"/>
  <c r="S6" i="1"/>
  <c r="S5" i="1"/>
  <c r="S4" i="1"/>
  <c r="S3" i="1"/>
  <c r="S2" i="1"/>
  <c r="L13" i="1"/>
  <c r="L12" i="1"/>
  <c r="L11" i="1"/>
  <c r="L10" i="1"/>
  <c r="L9" i="1"/>
  <c r="L8" i="1"/>
  <c r="L7" i="1"/>
  <c r="L6" i="1"/>
  <c r="L5" i="1"/>
  <c r="L4" i="1"/>
  <c r="L3" i="1"/>
  <c r="Q53" i="18" l="1"/>
  <c r="O50" i="21" a="1"/>
  <c r="O50" i="21" s="1"/>
  <c r="E48" i="21" s="1"/>
  <c r="U51" i="19"/>
  <c r="T51" i="19"/>
  <c r="S51" i="19"/>
  <c r="R51" i="19"/>
  <c r="Q51" i="19"/>
  <c r="Q53" i="19" s="1"/>
  <c r="W51" i="19"/>
  <c r="V51" i="19"/>
  <c r="H195" i="19"/>
  <c r="H380" i="8"/>
  <c r="D250" i="8"/>
  <c r="H308" i="8"/>
  <c r="D299" i="8"/>
  <c r="AG140" i="8" a="1"/>
  <c r="D210" i="8"/>
  <c r="H416" i="8"/>
  <c r="D270" i="8"/>
  <c r="D260" i="8"/>
  <c r="H398" i="8"/>
  <c r="H344" i="8"/>
  <c r="D230" i="8"/>
  <c r="H326" i="8"/>
  <c r="D220" i="8"/>
  <c r="D46" i="18" l="1"/>
  <c r="D48" i="18"/>
  <c r="E46" i="21"/>
  <c r="D78" i="21" s="1"/>
  <c r="E54" i="21"/>
  <c r="D79" i="21"/>
  <c r="D64" i="21"/>
  <c r="D46" i="19"/>
  <c r="D48" i="19"/>
  <c r="AG142" i="8"/>
  <c r="AG140" i="8"/>
  <c r="AG144" i="8"/>
  <c r="AG143" i="8"/>
  <c r="AG146" i="8"/>
  <c r="AG145" i="8"/>
  <c r="AG141" i="8"/>
  <c r="D54" i="18" l="1"/>
  <c r="C79" i="18"/>
  <c r="C64" i="18"/>
  <c r="C63" i="18"/>
  <c r="D51" i="18"/>
  <c r="C78" i="18"/>
  <c r="D63" i="21"/>
  <c r="E51" i="21"/>
  <c r="E63" i="21" s="1"/>
  <c r="E57" i="21"/>
  <c r="D167" i="21"/>
  <c r="E175" i="21" s="1"/>
  <c r="E127" i="21"/>
  <c r="J133" i="21"/>
  <c r="E143" i="21" s="1"/>
  <c r="E145" i="21" s="1"/>
  <c r="E117" i="21"/>
  <c r="E64" i="21"/>
  <c r="E107" i="21"/>
  <c r="D203" i="21"/>
  <c r="E211" i="21" s="1"/>
  <c r="J147" i="21"/>
  <c r="E157" i="21" s="1"/>
  <c r="E159" i="21" s="1"/>
  <c r="D221" i="21"/>
  <c r="E229" i="21" s="1"/>
  <c r="E97" i="21"/>
  <c r="D185" i="21"/>
  <c r="E193" i="21" s="1"/>
  <c r="C63" i="19"/>
  <c r="C78" i="19"/>
  <c r="D51" i="19"/>
  <c r="C79" i="19"/>
  <c r="D54" i="19"/>
  <c r="C64" i="19"/>
  <c r="H324" i="8"/>
  <c r="H215" i="8"/>
  <c r="H396" i="8"/>
  <c r="H255" i="8"/>
  <c r="H360" i="8"/>
  <c r="H235" i="8"/>
  <c r="H414" i="8"/>
  <c r="H265" i="8"/>
  <c r="H245" i="8"/>
  <c r="H378" i="8"/>
  <c r="D297" i="8"/>
  <c r="Q162" i="8" a="1"/>
  <c r="B152" i="8"/>
  <c r="H306" i="8"/>
  <c r="D283" i="8"/>
  <c r="H205" i="8"/>
  <c r="H342" i="8"/>
  <c r="H225" i="8"/>
  <c r="D333" i="14"/>
  <c r="H331" i="14" s="1"/>
  <c r="G324" i="14"/>
  <c r="D315" i="14"/>
  <c r="H313" i="14" s="1"/>
  <c r="G306" i="14"/>
  <c r="D297" i="14"/>
  <c r="H295" i="14" s="1"/>
  <c r="G288" i="14"/>
  <c r="D279" i="14"/>
  <c r="H277" i="14" s="1"/>
  <c r="G270" i="14"/>
  <c r="G259" i="14"/>
  <c r="J261" i="14" s="1"/>
  <c r="E259" i="14"/>
  <c r="J259" i="14" s="1"/>
  <c r="J258" i="14"/>
  <c r="G257" i="14"/>
  <c r="D257" i="14"/>
  <c r="G256" i="14"/>
  <c r="F259" i="14" s="1"/>
  <c r="J260" i="14" s="1"/>
  <c r="D256" i="14"/>
  <c r="G255" i="14"/>
  <c r="J247" i="14"/>
  <c r="J246" i="14"/>
  <c r="J244" i="14"/>
  <c r="G243" i="14"/>
  <c r="G245" i="14" s="1"/>
  <c r="G242" i="14"/>
  <c r="F245" i="14" s="1"/>
  <c r="D242" i="14"/>
  <c r="D243" i="14" s="1"/>
  <c r="G241" i="14"/>
  <c r="E245" i="14" s="1"/>
  <c r="J245" i="14" s="1"/>
  <c r="G232" i="14"/>
  <c r="D232" i="14"/>
  <c r="D233" i="14" s="1"/>
  <c r="D223" i="14"/>
  <c r="G222" i="14"/>
  <c r="D222" i="14"/>
  <c r="D213" i="14"/>
  <c r="G212" i="14"/>
  <c r="D212" i="14"/>
  <c r="G202" i="14"/>
  <c r="D202" i="14"/>
  <c r="D203" i="14" s="1"/>
  <c r="C194" i="14"/>
  <c r="A194" i="14"/>
  <c r="N152" i="14"/>
  <c r="P130" i="14"/>
  <c r="O130" i="14"/>
  <c r="N130" i="14"/>
  <c r="P129" i="14"/>
  <c r="O129" i="14"/>
  <c r="N129" i="14"/>
  <c r="P128" i="14"/>
  <c r="O128" i="14"/>
  <c r="N128" i="14"/>
  <c r="P127" i="14"/>
  <c r="O127" i="14"/>
  <c r="N127" i="14"/>
  <c r="P126" i="14"/>
  <c r="O126" i="14"/>
  <c r="N126" i="14"/>
  <c r="P125" i="14"/>
  <c r="O125" i="14"/>
  <c r="N125" i="14"/>
  <c r="P124" i="14"/>
  <c r="O124" i="14"/>
  <c r="N124" i="14"/>
  <c r="P123" i="14"/>
  <c r="O123" i="14"/>
  <c r="N123" i="14"/>
  <c r="P122" i="14"/>
  <c r="O122" i="14"/>
  <c r="N122" i="14"/>
  <c r="P121" i="14"/>
  <c r="O121" i="14"/>
  <c r="N121" i="14"/>
  <c r="P120" i="14"/>
  <c r="O120" i="14"/>
  <c r="N120" i="14"/>
  <c r="P119" i="14"/>
  <c r="O119" i="14"/>
  <c r="N119" i="14"/>
  <c r="P118" i="14"/>
  <c r="O118" i="14"/>
  <c r="N118" i="14"/>
  <c r="P117" i="14"/>
  <c r="O117" i="14"/>
  <c r="N117" i="14"/>
  <c r="P116" i="14"/>
  <c r="O116" i="14"/>
  <c r="N116" i="14"/>
  <c r="P115" i="14"/>
  <c r="O115" i="14"/>
  <c r="N115" i="14"/>
  <c r="P114" i="14"/>
  <c r="O114" i="14"/>
  <c r="N114" i="14"/>
  <c r="P113" i="14"/>
  <c r="O113" i="14"/>
  <c r="N113" i="14"/>
  <c r="P112" i="14"/>
  <c r="O112" i="14"/>
  <c r="N112" i="14"/>
  <c r="P111" i="14"/>
  <c r="O111" i="14"/>
  <c r="N111" i="14"/>
  <c r="P110" i="14"/>
  <c r="O110" i="14"/>
  <c r="N110" i="14"/>
  <c r="P109" i="14"/>
  <c r="O109" i="14"/>
  <c r="N109" i="14"/>
  <c r="P108" i="14"/>
  <c r="O108" i="14"/>
  <c r="N108" i="14"/>
  <c r="P107" i="14"/>
  <c r="O107" i="14"/>
  <c r="N107" i="14"/>
  <c r="P106" i="14"/>
  <c r="O106" i="14"/>
  <c r="N106" i="14"/>
  <c r="P105" i="14"/>
  <c r="O105" i="14"/>
  <c r="N105" i="14"/>
  <c r="P104" i="14"/>
  <c r="O104" i="14"/>
  <c r="N104" i="14"/>
  <c r="P103" i="14"/>
  <c r="O103" i="14"/>
  <c r="N103" i="14"/>
  <c r="P102" i="14"/>
  <c r="O102" i="14"/>
  <c r="N102" i="14"/>
  <c r="P101" i="14"/>
  <c r="O101" i="14"/>
  <c r="N101" i="14"/>
  <c r="P100" i="14"/>
  <c r="O100" i="14"/>
  <c r="N100" i="14"/>
  <c r="P99" i="14"/>
  <c r="O99" i="14"/>
  <c r="N99" i="14"/>
  <c r="P98" i="14"/>
  <c r="O98" i="14"/>
  <c r="N98" i="14"/>
  <c r="P97" i="14"/>
  <c r="O97" i="14"/>
  <c r="N97" i="14"/>
  <c r="P96" i="14"/>
  <c r="O96" i="14"/>
  <c r="N96" i="14"/>
  <c r="P95" i="14"/>
  <c r="O95" i="14"/>
  <c r="N95" i="14"/>
  <c r="P94" i="14"/>
  <c r="O94" i="14"/>
  <c r="N94" i="14"/>
  <c r="P93" i="14"/>
  <c r="O93" i="14"/>
  <c r="N93" i="14"/>
  <c r="P92" i="14"/>
  <c r="O92" i="14"/>
  <c r="N92" i="14"/>
  <c r="P91" i="14"/>
  <c r="O91" i="14"/>
  <c r="N91" i="14"/>
  <c r="P90" i="14"/>
  <c r="O90" i="14"/>
  <c r="N90" i="14"/>
  <c r="P89" i="14"/>
  <c r="O89" i="14"/>
  <c r="N89" i="14"/>
  <c r="P88" i="14"/>
  <c r="O88" i="14"/>
  <c r="N88" i="14"/>
  <c r="P87" i="14"/>
  <c r="O87" i="14"/>
  <c r="N87" i="14"/>
  <c r="P86" i="14"/>
  <c r="O86" i="14"/>
  <c r="N86" i="14"/>
  <c r="P85" i="14"/>
  <c r="O85" i="14"/>
  <c r="N85" i="14"/>
  <c r="P84" i="14"/>
  <c r="O84" i="14"/>
  <c r="N84" i="14"/>
  <c r="P83" i="14"/>
  <c r="O83" i="14"/>
  <c r="N83" i="14"/>
  <c r="P82" i="14"/>
  <c r="O82" i="14"/>
  <c r="N82" i="14"/>
  <c r="P81" i="14"/>
  <c r="O81" i="14"/>
  <c r="N81" i="14"/>
  <c r="P80" i="14"/>
  <c r="O80" i="14"/>
  <c r="N80" i="14"/>
  <c r="P79" i="14"/>
  <c r="O79" i="14"/>
  <c r="N79" i="14"/>
  <c r="P78" i="14"/>
  <c r="O78" i="14"/>
  <c r="N78" i="14"/>
  <c r="P77" i="14"/>
  <c r="O77" i="14"/>
  <c r="N77" i="14"/>
  <c r="P76" i="14"/>
  <c r="O76" i="14"/>
  <c r="N76" i="14"/>
  <c r="P75" i="14"/>
  <c r="O75" i="14"/>
  <c r="N75" i="14"/>
  <c r="P74" i="14"/>
  <c r="O74" i="14"/>
  <c r="N74" i="14"/>
  <c r="P73" i="14"/>
  <c r="O73" i="14"/>
  <c r="N73" i="14"/>
  <c r="P72" i="14"/>
  <c r="O72" i="14"/>
  <c r="N72" i="14"/>
  <c r="P71" i="14"/>
  <c r="O71" i="14"/>
  <c r="N71" i="14"/>
  <c r="P70" i="14"/>
  <c r="O70" i="14"/>
  <c r="N70" i="14"/>
  <c r="P69" i="14"/>
  <c r="O69" i="14"/>
  <c r="N69" i="14"/>
  <c r="U68" i="14" a="1"/>
  <c r="EC68" i="14" s="1"/>
  <c r="P68" i="14"/>
  <c r="O68" i="14"/>
  <c r="N68" i="14"/>
  <c r="P67" i="14"/>
  <c r="O67" i="14"/>
  <c r="N67" i="14"/>
  <c r="P66" i="14"/>
  <c r="O66" i="14"/>
  <c r="N66" i="14"/>
  <c r="P65" i="14"/>
  <c r="O65" i="14"/>
  <c r="N65" i="14"/>
  <c r="P64" i="14"/>
  <c r="O64" i="14"/>
  <c r="N64" i="14"/>
  <c r="P63" i="14"/>
  <c r="O63" i="14"/>
  <c r="N63" i="14"/>
  <c r="P62" i="14"/>
  <c r="O62" i="14"/>
  <c r="N62" i="14"/>
  <c r="P61" i="14"/>
  <c r="O61" i="14"/>
  <c r="N61" i="14"/>
  <c r="P60" i="14"/>
  <c r="O60" i="14"/>
  <c r="N60" i="14"/>
  <c r="P59" i="14"/>
  <c r="O59" i="14"/>
  <c r="N59" i="14"/>
  <c r="P58" i="14"/>
  <c r="O58" i="14"/>
  <c r="N58" i="14"/>
  <c r="P57" i="14"/>
  <c r="O57" i="14"/>
  <c r="N57" i="14"/>
  <c r="P56" i="14"/>
  <c r="O56" i="14"/>
  <c r="N56" i="14"/>
  <c r="P55" i="14"/>
  <c r="O55" i="14"/>
  <c r="N55" i="14"/>
  <c r="P54" i="14"/>
  <c r="O54" i="14"/>
  <c r="N54" i="14"/>
  <c r="P53" i="14"/>
  <c r="O53" i="14"/>
  <c r="N53" i="14"/>
  <c r="P52" i="14"/>
  <c r="O52" i="14"/>
  <c r="N52" i="14"/>
  <c r="P51" i="14"/>
  <c r="O51" i="14"/>
  <c r="N51" i="14"/>
  <c r="P50" i="14"/>
  <c r="O50" i="14"/>
  <c r="N50" i="14"/>
  <c r="P49" i="14"/>
  <c r="O49" i="14"/>
  <c r="N49" i="14"/>
  <c r="P48" i="14"/>
  <c r="O48" i="14"/>
  <c r="N48" i="14"/>
  <c r="P47" i="14"/>
  <c r="O47" i="14"/>
  <c r="N47" i="14"/>
  <c r="P46" i="14"/>
  <c r="O46" i="14"/>
  <c r="N46" i="14"/>
  <c r="P45" i="14"/>
  <c r="O45" i="14"/>
  <c r="N45" i="14"/>
  <c r="P44" i="14"/>
  <c r="O44" i="14"/>
  <c r="N44" i="14"/>
  <c r="P43" i="14"/>
  <c r="O43" i="14"/>
  <c r="N43" i="14"/>
  <c r="P42" i="14"/>
  <c r="O42" i="14"/>
  <c r="N42" i="14"/>
  <c r="P41" i="14"/>
  <c r="O41" i="14"/>
  <c r="N41" i="14"/>
  <c r="P40" i="14"/>
  <c r="O40" i="14"/>
  <c r="N40" i="14"/>
  <c r="P39" i="14"/>
  <c r="O39" i="14"/>
  <c r="N39" i="14"/>
  <c r="P38" i="14"/>
  <c r="O38" i="14"/>
  <c r="N38" i="14"/>
  <c r="P37" i="14"/>
  <c r="O37" i="14"/>
  <c r="N37" i="14"/>
  <c r="P36" i="14"/>
  <c r="O36" i="14"/>
  <c r="N36" i="14"/>
  <c r="P35" i="14"/>
  <c r="O35" i="14"/>
  <c r="N35" i="14"/>
  <c r="P34" i="14"/>
  <c r="O34" i="14"/>
  <c r="N34" i="14"/>
  <c r="P33" i="14"/>
  <c r="O33" i="14"/>
  <c r="N33" i="14"/>
  <c r="P32" i="14"/>
  <c r="O32" i="14"/>
  <c r="N32" i="14"/>
  <c r="P31" i="14"/>
  <c r="O31" i="14"/>
  <c r="N31" i="14"/>
  <c r="P30" i="14"/>
  <c r="O30" i="14"/>
  <c r="N30" i="14"/>
  <c r="P29" i="14"/>
  <c r="O29" i="14"/>
  <c r="N29" i="14"/>
  <c r="P28" i="14"/>
  <c r="O28" i="14"/>
  <c r="N28" i="14"/>
  <c r="P27" i="14"/>
  <c r="O27" i="14"/>
  <c r="N27" i="14"/>
  <c r="P26" i="14"/>
  <c r="O26" i="14"/>
  <c r="N26" i="14"/>
  <c r="P25" i="14"/>
  <c r="O25" i="14"/>
  <c r="N25" i="14"/>
  <c r="P24" i="14"/>
  <c r="O24" i="14"/>
  <c r="N24" i="14"/>
  <c r="P23" i="14"/>
  <c r="O23" i="14"/>
  <c r="N23" i="14"/>
  <c r="P22" i="14"/>
  <c r="O22" i="14"/>
  <c r="N22" i="14"/>
  <c r="P21" i="14"/>
  <c r="O21" i="14"/>
  <c r="N21" i="14"/>
  <c r="P20" i="14"/>
  <c r="O20" i="14"/>
  <c r="N20" i="14"/>
  <c r="P19" i="14"/>
  <c r="O19" i="14"/>
  <c r="N19" i="14"/>
  <c r="P18" i="14"/>
  <c r="O18" i="14"/>
  <c r="N18" i="14"/>
  <c r="P17" i="14"/>
  <c r="O17" i="14"/>
  <c r="N17" i="14"/>
  <c r="P16" i="14"/>
  <c r="O16" i="14"/>
  <c r="N16" i="14"/>
  <c r="P15" i="14"/>
  <c r="O15" i="14"/>
  <c r="N15" i="14"/>
  <c r="P14" i="14"/>
  <c r="O14" i="14"/>
  <c r="N14" i="14"/>
  <c r="P13" i="14"/>
  <c r="O13" i="14"/>
  <c r="N13" i="14"/>
  <c r="P12" i="14"/>
  <c r="O12" i="14"/>
  <c r="N12" i="14"/>
  <c r="P11" i="14"/>
  <c r="U56" i="14" s="1" a="1"/>
  <c r="O11" i="14"/>
  <c r="N11" i="14"/>
  <c r="C329" i="7"/>
  <c r="C311" i="7"/>
  <c r="C293" i="7"/>
  <c r="H326" i="7"/>
  <c r="H290" i="7"/>
  <c r="H308" i="7"/>
  <c r="H324" i="7"/>
  <c r="H306" i="7"/>
  <c r="H288" i="7"/>
  <c r="H331" i="7"/>
  <c r="G324" i="7"/>
  <c r="H313" i="7"/>
  <c r="G306" i="7"/>
  <c r="H295" i="7"/>
  <c r="G288" i="7"/>
  <c r="D63" i="18" l="1"/>
  <c r="E63" i="18" s="1"/>
  <c r="A88" i="18" s="1"/>
  <c r="D57" i="18"/>
  <c r="D137" i="18"/>
  <c r="C290" i="18"/>
  <c r="D147" i="18"/>
  <c r="D64" i="18"/>
  <c r="K166" i="18"/>
  <c r="D176" i="18" s="1"/>
  <c r="C254" i="18"/>
  <c r="C200" i="18"/>
  <c r="D97" i="18"/>
  <c r="D117" i="18"/>
  <c r="D107" i="18"/>
  <c r="C218" i="18"/>
  <c r="C272" i="18"/>
  <c r="D157" i="18"/>
  <c r="K180" i="18"/>
  <c r="D190" i="18" s="1"/>
  <c r="C236" i="18"/>
  <c r="D127" i="18"/>
  <c r="C308" i="18"/>
  <c r="I116" i="21"/>
  <c r="E121" i="21"/>
  <c r="E194" i="21"/>
  <c r="H145" i="21"/>
  <c r="H144" i="21"/>
  <c r="K144" i="21" s="1"/>
  <c r="I96" i="21"/>
  <c r="E101" i="21"/>
  <c r="I126" i="21"/>
  <c r="E131" i="21"/>
  <c r="I106" i="21"/>
  <c r="E111" i="21"/>
  <c r="E230" i="21"/>
  <c r="E176" i="21"/>
  <c r="H158" i="21"/>
  <c r="H159" i="21"/>
  <c r="F63" i="21"/>
  <c r="B88" i="21" s="1"/>
  <c r="E212" i="21"/>
  <c r="C254" i="19"/>
  <c r="D262" i="19" s="1"/>
  <c r="D127" i="19"/>
  <c r="D131" i="19" s="1"/>
  <c r="K180" i="19"/>
  <c r="D190" i="19" s="1"/>
  <c r="D192" i="19" s="1"/>
  <c r="C236" i="19"/>
  <c r="D244" i="19" s="1"/>
  <c r="C218" i="19"/>
  <c r="D226" i="19" s="1"/>
  <c r="D107" i="19"/>
  <c r="D111" i="19" s="1"/>
  <c r="C200" i="19"/>
  <c r="D208" i="19" s="1"/>
  <c r="D97" i="19"/>
  <c r="D101" i="19" s="1"/>
  <c r="C272" i="19"/>
  <c r="D280" i="19" s="1"/>
  <c r="C308" i="19"/>
  <c r="D316" i="19" s="1"/>
  <c r="D157" i="19"/>
  <c r="D161" i="19" s="1"/>
  <c r="C290" i="19"/>
  <c r="D298" i="19" s="1"/>
  <c r="K166" i="19"/>
  <c r="D176" i="19" s="1"/>
  <c r="D178" i="19" s="1"/>
  <c r="D147" i="19"/>
  <c r="D151" i="19" s="1"/>
  <c r="D64" i="19"/>
  <c r="D137" i="19"/>
  <c r="D141" i="19" s="1"/>
  <c r="D117" i="19"/>
  <c r="D121" i="19" s="1"/>
  <c r="D63" i="19"/>
  <c r="D57" i="19"/>
  <c r="S162" i="8"/>
  <c r="Q162" i="8"/>
  <c r="R162" i="8"/>
  <c r="V162" i="8"/>
  <c r="U162" i="8"/>
  <c r="W162" i="8"/>
  <c r="T162" i="8"/>
  <c r="CA68" i="14"/>
  <c r="CY68" i="14"/>
  <c r="Z68" i="14"/>
  <c r="CB68" i="14"/>
  <c r="EE68" i="14"/>
  <c r="AA68" i="14"/>
  <c r="BE68" i="14"/>
  <c r="CD68" i="14"/>
  <c r="DG68" i="14"/>
  <c r="AU68" i="14"/>
  <c r="BT68" i="14"/>
  <c r="CV68" i="14"/>
  <c r="AV68" i="14"/>
  <c r="EB68" i="14"/>
  <c r="AY68" i="14"/>
  <c r="DE68" i="14"/>
  <c r="AC68" i="14"/>
  <c r="BG68" i="14"/>
  <c r="CK68" i="14"/>
  <c r="DJ68" i="14"/>
  <c r="AJ68" i="14"/>
  <c r="BI68" i="14"/>
  <c r="CL68" i="14"/>
  <c r="DP68" i="14"/>
  <c r="AK68" i="14"/>
  <c r="BP68" i="14"/>
  <c r="CN68" i="14"/>
  <c r="DQ68" i="14"/>
  <c r="AO68" i="14"/>
  <c r="BQ68" i="14"/>
  <c r="CU68" i="14"/>
  <c r="DT68" i="14"/>
  <c r="DZ68" i="14"/>
  <c r="EI59" i="14"/>
  <c r="EA59" i="14"/>
  <c r="DS59" i="14"/>
  <c r="DK59" i="14"/>
  <c r="DC59" i="14"/>
  <c r="CU59" i="14"/>
  <c r="CM59" i="14"/>
  <c r="CE59" i="14"/>
  <c r="BW59" i="14"/>
  <c r="BO59" i="14"/>
  <c r="BG59" i="14"/>
  <c r="AY59" i="14"/>
  <c r="AQ59" i="14"/>
  <c r="AI59" i="14"/>
  <c r="AA59" i="14"/>
  <c r="EI58" i="14"/>
  <c r="EA58" i="14"/>
  <c r="DS58" i="14"/>
  <c r="DK58" i="14"/>
  <c r="DC58" i="14"/>
  <c r="CU58" i="14"/>
  <c r="CM58" i="14"/>
  <c r="CE58" i="14"/>
  <c r="BW58" i="14"/>
  <c r="BO58" i="14"/>
  <c r="BG58" i="14"/>
  <c r="AY58" i="14"/>
  <c r="AQ58" i="14"/>
  <c r="AI58" i="14"/>
  <c r="AA58" i="14"/>
  <c r="EI57" i="14"/>
  <c r="EA57" i="14"/>
  <c r="DS57" i="14"/>
  <c r="DK57" i="14"/>
  <c r="DC57" i="14"/>
  <c r="CU57" i="14"/>
  <c r="CM57" i="14"/>
  <c r="CE57" i="14"/>
  <c r="BW57" i="14"/>
  <c r="BO57" i="14"/>
  <c r="BG57" i="14"/>
  <c r="AY57" i="14"/>
  <c r="AQ57" i="14"/>
  <c r="AI57" i="14"/>
  <c r="AA57" i="14"/>
  <c r="EI56" i="14"/>
  <c r="EA56" i="14"/>
  <c r="DS56" i="14"/>
  <c r="DK56" i="14"/>
  <c r="DC56" i="14"/>
  <c r="CU56" i="14"/>
  <c r="EG59" i="14"/>
  <c r="DX59" i="14"/>
  <c r="DO59" i="14"/>
  <c r="DF59" i="14"/>
  <c r="CW59" i="14"/>
  <c r="CN59" i="14"/>
  <c r="CD59" i="14"/>
  <c r="BU59" i="14"/>
  <c r="BL59" i="14"/>
  <c r="BC59" i="14"/>
  <c r="AT59" i="14"/>
  <c r="AK59" i="14"/>
  <c r="AB59" i="14"/>
  <c r="EH58" i="14"/>
  <c r="DY58" i="14"/>
  <c r="DP58" i="14"/>
  <c r="DG58" i="14"/>
  <c r="CX58" i="14"/>
  <c r="CO58" i="14"/>
  <c r="CF58" i="14"/>
  <c r="BV58" i="14"/>
  <c r="BM58" i="14"/>
  <c r="BD58" i="14"/>
  <c r="AU58" i="14"/>
  <c r="AL58" i="14"/>
  <c r="AC58" i="14"/>
  <c r="EJ57" i="14"/>
  <c r="DZ57" i="14"/>
  <c r="DQ57" i="14"/>
  <c r="DH57" i="14"/>
  <c r="CY57" i="14"/>
  <c r="CP57" i="14"/>
  <c r="CG57" i="14"/>
  <c r="BX57" i="14"/>
  <c r="BN57" i="14"/>
  <c r="BE57" i="14"/>
  <c r="AV57" i="14"/>
  <c r="AM57" i="14"/>
  <c r="AD57" i="14"/>
  <c r="U57" i="14"/>
  <c r="EB56" i="14"/>
  <c r="DR56" i="14"/>
  <c r="DI56" i="14"/>
  <c r="CZ56" i="14"/>
  <c r="CQ56" i="14"/>
  <c r="CI56" i="14"/>
  <c r="CA56" i="14"/>
  <c r="BS56" i="14"/>
  <c r="BK56" i="14"/>
  <c r="BC56" i="14"/>
  <c r="AU56" i="14"/>
  <c r="AM56" i="14"/>
  <c r="AE56" i="14"/>
  <c r="W56" i="14"/>
  <c r="EF59" i="14"/>
  <c r="DV59" i="14"/>
  <c r="DL59" i="14"/>
  <c r="DA59" i="14"/>
  <c r="CQ59" i="14"/>
  <c r="CG59" i="14"/>
  <c r="BV59" i="14"/>
  <c r="BK59" i="14"/>
  <c r="BA59" i="14"/>
  <c r="AP59" i="14"/>
  <c r="AF59" i="14"/>
  <c r="V59" i="14"/>
  <c r="EB58" i="14"/>
  <c r="DQ58" i="14"/>
  <c r="DF58" i="14"/>
  <c r="CV58" i="14"/>
  <c r="CK58" i="14"/>
  <c r="CA58" i="14"/>
  <c r="BQ58" i="14"/>
  <c r="BF58" i="14"/>
  <c r="AV58" i="14"/>
  <c r="AK58" i="14"/>
  <c r="Z58" i="14"/>
  <c r="EF57" i="14"/>
  <c r="DV57" i="14"/>
  <c r="DL57" i="14"/>
  <c r="DA57" i="14"/>
  <c r="CQ57" i="14"/>
  <c r="CF57" i="14"/>
  <c r="BU57" i="14"/>
  <c r="BK57" i="14"/>
  <c r="BA57" i="14"/>
  <c r="AP57" i="14"/>
  <c r="AF57" i="14"/>
  <c r="V57" i="14"/>
  <c r="DZ56" i="14"/>
  <c r="DP56" i="14"/>
  <c r="DF56" i="14"/>
  <c r="CV56" i="14"/>
  <c r="CL56" i="14"/>
  <c r="CC56" i="14"/>
  <c r="BT56" i="14"/>
  <c r="BJ56" i="14"/>
  <c r="BA56" i="14"/>
  <c r="AR56" i="14"/>
  <c r="AI56" i="14"/>
  <c r="Z56" i="14"/>
  <c r="DO58" i="14"/>
  <c r="DY56" i="14"/>
  <c r="CK56" i="14"/>
  <c r="BR56" i="14"/>
  <c r="AZ56" i="14"/>
  <c r="AH56" i="14"/>
  <c r="ED59" i="14"/>
  <c r="DI59" i="14"/>
  <c r="CO59" i="14"/>
  <c r="BS59" i="14"/>
  <c r="AN59" i="14"/>
  <c r="EJ58" i="14"/>
  <c r="DD58" i="14"/>
  <c r="EE59" i="14"/>
  <c r="DU59" i="14"/>
  <c r="DJ59" i="14"/>
  <c r="CZ59" i="14"/>
  <c r="CP59" i="14"/>
  <c r="CF59" i="14"/>
  <c r="BT59" i="14"/>
  <c r="BJ59" i="14"/>
  <c r="AZ59" i="14"/>
  <c r="AO59" i="14"/>
  <c r="AE59" i="14"/>
  <c r="U59" i="14"/>
  <c r="DZ58" i="14"/>
  <c r="DE58" i="14"/>
  <c r="CT58" i="14"/>
  <c r="CJ58" i="14"/>
  <c r="BZ58" i="14"/>
  <c r="BP58" i="14"/>
  <c r="BE58" i="14"/>
  <c r="AT58" i="14"/>
  <c r="AJ58" i="14"/>
  <c r="Y58" i="14"/>
  <c r="EE57" i="14"/>
  <c r="DU57" i="14"/>
  <c r="DJ57" i="14"/>
  <c r="CZ57" i="14"/>
  <c r="CO57" i="14"/>
  <c r="CD57" i="14"/>
  <c r="BT57" i="14"/>
  <c r="AZ57" i="14"/>
  <c r="AO57" i="14"/>
  <c r="AE57" i="14"/>
  <c r="EJ56" i="14"/>
  <c r="DO56" i="14"/>
  <c r="DE56" i="14"/>
  <c r="CT56" i="14"/>
  <c r="CB56" i="14"/>
  <c r="BI56" i="14"/>
  <c r="Y56" i="14"/>
  <c r="DT59" i="14"/>
  <c r="CC59" i="14"/>
  <c r="AX59" i="14"/>
  <c r="DX58" i="14"/>
  <c r="CS58" i="14"/>
  <c r="EC59" i="14"/>
  <c r="DR59" i="14"/>
  <c r="DH59" i="14"/>
  <c r="CX59" i="14"/>
  <c r="CL59" i="14"/>
  <c r="CB59" i="14"/>
  <c r="BR59" i="14"/>
  <c r="BH59" i="14"/>
  <c r="AW59" i="14"/>
  <c r="AM59" i="14"/>
  <c r="AC59" i="14"/>
  <c r="EG58" i="14"/>
  <c r="DW58" i="14"/>
  <c r="DM58" i="14"/>
  <c r="DB58" i="14"/>
  <c r="CR58" i="14"/>
  <c r="CH58" i="14"/>
  <c r="BX58" i="14"/>
  <c r="BL58" i="14"/>
  <c r="BB58" i="14"/>
  <c r="AR58" i="14"/>
  <c r="AG58" i="14"/>
  <c r="W58" i="14"/>
  <c r="EC57" i="14"/>
  <c r="DR57" i="14"/>
  <c r="DG57" i="14"/>
  <c r="CW57" i="14"/>
  <c r="CL57" i="14"/>
  <c r="CB57" i="14"/>
  <c r="BR57" i="14"/>
  <c r="BH57" i="14"/>
  <c r="AW57" i="14"/>
  <c r="AL57" i="14"/>
  <c r="AB57" i="14"/>
  <c r="EG56" i="14"/>
  <c r="DW56" i="14"/>
  <c r="DM56" i="14"/>
  <c r="DB56" i="14"/>
  <c r="CR56" i="14"/>
  <c r="CH56" i="14"/>
  <c r="BY56" i="14"/>
  <c r="BP56" i="14"/>
  <c r="BG56" i="14"/>
  <c r="AX56" i="14"/>
  <c r="AO56" i="14"/>
  <c r="AF56" i="14"/>
  <c r="V56" i="14"/>
  <c r="EB59" i="14"/>
  <c r="DQ59" i="14"/>
  <c r="DG59" i="14"/>
  <c r="CV59" i="14"/>
  <c r="CK59" i="14"/>
  <c r="CA59" i="14"/>
  <c r="BQ59" i="14"/>
  <c r="BF59" i="14"/>
  <c r="AV59" i="14"/>
  <c r="AL59" i="14"/>
  <c r="Z59" i="14"/>
  <c r="EF58" i="14"/>
  <c r="DV58" i="14"/>
  <c r="DL58" i="14"/>
  <c r="DA58" i="14"/>
  <c r="CQ58" i="14"/>
  <c r="CG58" i="14"/>
  <c r="BU58" i="14"/>
  <c r="BK58" i="14"/>
  <c r="BA58" i="14"/>
  <c r="AP58" i="14"/>
  <c r="AF58" i="14"/>
  <c r="V58" i="14"/>
  <c r="EB57" i="14"/>
  <c r="DP57" i="14"/>
  <c r="DF57" i="14"/>
  <c r="CV57" i="14"/>
  <c r="CK57" i="14"/>
  <c r="CA57" i="14"/>
  <c r="BQ57" i="14"/>
  <c r="BF57" i="14"/>
  <c r="AU57" i="14"/>
  <c r="AK57" i="14"/>
  <c r="Z57" i="14"/>
  <c r="EF56" i="14"/>
  <c r="DV56" i="14"/>
  <c r="DL56" i="14"/>
  <c r="DA56" i="14"/>
  <c r="CP56" i="14"/>
  <c r="CG56" i="14"/>
  <c r="BX56" i="14"/>
  <c r="EJ59" i="14"/>
  <c r="DY59" i="14"/>
  <c r="DN59" i="14"/>
  <c r="DD59" i="14"/>
  <c r="CS59" i="14"/>
  <c r="CI59" i="14"/>
  <c r="BY59" i="14"/>
  <c r="BN59" i="14"/>
  <c r="BD59" i="14"/>
  <c r="AS59" i="14"/>
  <c r="AH59" i="14"/>
  <c r="X59" i="14"/>
  <c r="ED58" i="14"/>
  <c r="DT58" i="14"/>
  <c r="DI58" i="14"/>
  <c r="CY58" i="14"/>
  <c r="CN58" i="14"/>
  <c r="CC58" i="14"/>
  <c r="BS58" i="14"/>
  <c r="BI58" i="14"/>
  <c r="AX58" i="14"/>
  <c r="AN58" i="14"/>
  <c r="AD58" i="14"/>
  <c r="EH57" i="14"/>
  <c r="DX57" i="14"/>
  <c r="DN57" i="14"/>
  <c r="DD57" i="14"/>
  <c r="CS57" i="14"/>
  <c r="CI57" i="14"/>
  <c r="BY57" i="14"/>
  <c r="BM57" i="14"/>
  <c r="BC57" i="14"/>
  <c r="AS57" i="14"/>
  <c r="AH57" i="14"/>
  <c r="X57" i="14"/>
  <c r="ED56" i="14"/>
  <c r="DT56" i="14"/>
  <c r="DH56" i="14"/>
  <c r="CX56" i="14"/>
  <c r="CN56" i="14"/>
  <c r="CE56" i="14"/>
  <c r="BV56" i="14"/>
  <c r="BM56" i="14"/>
  <c r="BD56" i="14"/>
  <c r="AT56" i="14"/>
  <c r="AK56" i="14"/>
  <c r="AB56" i="14"/>
  <c r="EH59" i="14"/>
  <c r="DW59" i="14"/>
  <c r="DM59" i="14"/>
  <c r="DB59" i="14"/>
  <c r="CR59" i="14"/>
  <c r="CH59" i="14"/>
  <c r="BX59" i="14"/>
  <c r="BM59" i="14"/>
  <c r="BB59" i="14"/>
  <c r="AR59" i="14"/>
  <c r="AG59" i="14"/>
  <c r="W59" i="14"/>
  <c r="EC58" i="14"/>
  <c r="DR58" i="14"/>
  <c r="DH58" i="14"/>
  <c r="CW58" i="14"/>
  <c r="CL58" i="14"/>
  <c r="CB58" i="14"/>
  <c r="BR58" i="14"/>
  <c r="BH58" i="14"/>
  <c r="AW58" i="14"/>
  <c r="AM58" i="14"/>
  <c r="AB58" i="14"/>
  <c r="EG57" i="14"/>
  <c r="DW57" i="14"/>
  <c r="DM57" i="14"/>
  <c r="DB57" i="14"/>
  <c r="CR57" i="14"/>
  <c r="CH57" i="14"/>
  <c r="BV57" i="14"/>
  <c r="BL57" i="14"/>
  <c r="BB57" i="14"/>
  <c r="AR57" i="14"/>
  <c r="AG57" i="14"/>
  <c r="W57" i="14"/>
  <c r="EC56" i="14"/>
  <c r="DQ56" i="14"/>
  <c r="DG56" i="14"/>
  <c r="CW56" i="14"/>
  <c r="CM56" i="14"/>
  <c r="CD56" i="14"/>
  <c r="BU56" i="14"/>
  <c r="BL56" i="14"/>
  <c r="BB56" i="14"/>
  <c r="AS56" i="14"/>
  <c r="AJ56" i="14"/>
  <c r="AA56" i="14"/>
  <c r="BJ57" i="14"/>
  <c r="AQ56" i="14"/>
  <c r="CY59" i="14"/>
  <c r="BI59" i="14"/>
  <c r="AD59" i="14"/>
  <c r="DN58" i="14"/>
  <c r="BP59" i="14"/>
  <c r="CZ58" i="14"/>
  <c r="BC58" i="14"/>
  <c r="ED57" i="14"/>
  <c r="CN57" i="14"/>
  <c r="AX57" i="14"/>
  <c r="DX56" i="14"/>
  <c r="CJ56" i="14"/>
  <c r="BF56" i="14"/>
  <c r="AG56" i="14"/>
  <c r="BE59" i="14"/>
  <c r="CP58" i="14"/>
  <c r="AZ58" i="14"/>
  <c r="DY57" i="14"/>
  <c r="CJ57" i="14"/>
  <c r="AT57" i="14"/>
  <c r="DU56" i="14"/>
  <c r="CF56" i="14"/>
  <c r="BE56" i="14"/>
  <c r="AD56" i="14"/>
  <c r="DZ59" i="14"/>
  <c r="AU59" i="14"/>
  <c r="CI58" i="14"/>
  <c r="AS58" i="14"/>
  <c r="DT57" i="14"/>
  <c r="CC57" i="14"/>
  <c r="AN57" i="14"/>
  <c r="DN56" i="14"/>
  <c r="BZ56" i="14"/>
  <c r="AY56" i="14"/>
  <c r="AC56" i="14"/>
  <c r="CJ59" i="14"/>
  <c r="DU58" i="14"/>
  <c r="BN58" i="14"/>
  <c r="X58" i="14"/>
  <c r="BI57" i="14"/>
  <c r="EH56" i="14"/>
  <c r="CS56" i="14"/>
  <c r="BN56" i="14"/>
  <c r="AN56" i="14"/>
  <c r="DJ58" i="14"/>
  <c r="DP59" i="14"/>
  <c r="AJ59" i="14"/>
  <c r="CD58" i="14"/>
  <c r="AO58" i="14"/>
  <c r="DO57" i="14"/>
  <c r="BZ57" i="14"/>
  <c r="AJ57" i="14"/>
  <c r="DJ56" i="14"/>
  <c r="BW56" i="14"/>
  <c r="AW56" i="14"/>
  <c r="X56" i="14"/>
  <c r="BT58" i="14"/>
  <c r="Y57" i="14"/>
  <c r="AP56" i="14"/>
  <c r="DE59" i="14"/>
  <c r="Y59" i="14"/>
  <c r="BY58" i="14"/>
  <c r="AH58" i="14"/>
  <c r="DI57" i="14"/>
  <c r="BS57" i="14"/>
  <c r="AC57" i="14"/>
  <c r="DD56" i="14"/>
  <c r="BQ56" i="14"/>
  <c r="AV56" i="14"/>
  <c r="U56" i="14"/>
  <c r="CT59" i="14"/>
  <c r="EE58" i="14"/>
  <c r="AE58" i="14"/>
  <c r="DE57" i="14"/>
  <c r="BP57" i="14"/>
  <c r="CY56" i="14"/>
  <c r="BO56" i="14"/>
  <c r="CX57" i="14"/>
  <c r="BZ59" i="14"/>
  <c r="BJ58" i="14"/>
  <c r="U58" i="14"/>
  <c r="CT57" i="14"/>
  <c r="BD57" i="14"/>
  <c r="EE56" i="14"/>
  <c r="CO56" i="14"/>
  <c r="BH56" i="14"/>
  <c r="AL56" i="14"/>
  <c r="X68" i="14"/>
  <c r="AH68" i="14"/>
  <c r="AR68" i="14"/>
  <c r="BC68" i="14"/>
  <c r="BM68" i="14"/>
  <c r="BW68" i="14"/>
  <c r="CI68" i="14"/>
  <c r="CS68" i="14"/>
  <c r="DC68" i="14"/>
  <c r="DM68" i="14"/>
  <c r="DX68" i="14"/>
  <c r="EH68" i="14"/>
  <c r="Y68" i="14"/>
  <c r="AI68" i="14"/>
  <c r="AS68" i="14"/>
  <c r="BD68" i="14"/>
  <c r="BN68" i="14"/>
  <c r="BY68" i="14"/>
  <c r="CJ68" i="14"/>
  <c r="CT68" i="14"/>
  <c r="DD68" i="14"/>
  <c r="DO68" i="14"/>
  <c r="DY68" i="14"/>
  <c r="EI68" i="14"/>
  <c r="AB68" i="14"/>
  <c r="AM68" i="14"/>
  <c r="AX68" i="14"/>
  <c r="BH68" i="14"/>
  <c r="BS68" i="14"/>
  <c r="CC68" i="14"/>
  <c r="CM68" i="14"/>
  <c r="CW68" i="14"/>
  <c r="DH68" i="14"/>
  <c r="DS68" i="14"/>
  <c r="ED68" i="14"/>
  <c r="DV68" i="14"/>
  <c r="DN68" i="14"/>
  <c r="DF68" i="14"/>
  <c r="CX68" i="14"/>
  <c r="CP68" i="14"/>
  <c r="CH68" i="14"/>
  <c r="BZ68" i="14"/>
  <c r="BR68" i="14"/>
  <c r="BJ68" i="14"/>
  <c r="BB68" i="14"/>
  <c r="AT68" i="14"/>
  <c r="AL68" i="14"/>
  <c r="AD68" i="14"/>
  <c r="V68" i="14"/>
  <c r="EJ68" i="14"/>
  <c r="EA68" i="14"/>
  <c r="DR68" i="14"/>
  <c r="DI68" i="14"/>
  <c r="CZ68" i="14"/>
  <c r="CQ68" i="14"/>
  <c r="CG68" i="14"/>
  <c r="BX68" i="14"/>
  <c r="BO68" i="14"/>
  <c r="BF68" i="14"/>
  <c r="AW68" i="14"/>
  <c r="AN68" i="14"/>
  <c r="AE68" i="14"/>
  <c r="U68" i="14"/>
  <c r="AF68" i="14"/>
  <c r="AP68" i="14"/>
  <c r="AZ68" i="14"/>
  <c r="BK68" i="14"/>
  <c r="BU68" i="14"/>
  <c r="CE68" i="14"/>
  <c r="CO68" i="14"/>
  <c r="DA68" i="14"/>
  <c r="DK68" i="14"/>
  <c r="DU68" i="14"/>
  <c r="EF68" i="14"/>
  <c r="W68" i="14"/>
  <c r="AG68" i="14"/>
  <c r="AQ68" i="14"/>
  <c r="BA68" i="14"/>
  <c r="BL68" i="14"/>
  <c r="BV68" i="14"/>
  <c r="CF68" i="14"/>
  <c r="CR68" i="14"/>
  <c r="DB68" i="14"/>
  <c r="DL68" i="14"/>
  <c r="DW68" i="14"/>
  <c r="EG68" i="14"/>
  <c r="D337" i="7"/>
  <c r="D301" i="7"/>
  <c r="D302" i="7" s="1"/>
  <c r="D319" i="7"/>
  <c r="D208" i="18" l="1"/>
  <c r="O200" i="18"/>
  <c r="P208" i="18" s="1"/>
  <c r="D262" i="18"/>
  <c r="O254" i="18"/>
  <c r="P262" i="18" s="1"/>
  <c r="D161" i="18"/>
  <c r="P157" i="18"/>
  <c r="P161" i="18" s="1"/>
  <c r="D178" i="18"/>
  <c r="P176" i="18"/>
  <c r="P178" i="18" s="1"/>
  <c r="D244" i="18"/>
  <c r="O236" i="18"/>
  <c r="P244" i="18" s="1"/>
  <c r="D192" i="18"/>
  <c r="P190" i="18"/>
  <c r="P192" i="18" s="1"/>
  <c r="D280" i="18"/>
  <c r="O272" i="18"/>
  <c r="P280" i="18" s="1"/>
  <c r="D226" i="18"/>
  <c r="O218" i="18"/>
  <c r="P226" i="18" s="1"/>
  <c r="D151" i="18"/>
  <c r="P147" i="18"/>
  <c r="P151" i="18" s="1"/>
  <c r="D111" i="18"/>
  <c r="P107" i="18"/>
  <c r="P111" i="18" s="1"/>
  <c r="D298" i="18"/>
  <c r="O290" i="18"/>
  <c r="P298" i="18" s="1"/>
  <c r="D316" i="18"/>
  <c r="O308" i="18"/>
  <c r="P316" i="18" s="1"/>
  <c r="D121" i="18"/>
  <c r="P117" i="18"/>
  <c r="P121" i="18" s="1"/>
  <c r="D141" i="18"/>
  <c r="P137" i="18"/>
  <c r="P141" i="18" s="1"/>
  <c r="D131" i="18"/>
  <c r="P127" i="18"/>
  <c r="P131" i="18" s="1"/>
  <c r="D101" i="18"/>
  <c r="P97" i="18"/>
  <c r="P101" i="18" s="1"/>
  <c r="H130" i="21"/>
  <c r="H131" i="21"/>
  <c r="H101" i="21"/>
  <c r="H100" i="21"/>
  <c r="H111" i="21"/>
  <c r="H110" i="21"/>
  <c r="H120" i="21"/>
  <c r="H121" i="21"/>
  <c r="K158" i="21"/>
  <c r="G100" i="19"/>
  <c r="G101" i="19"/>
  <c r="D209" i="19"/>
  <c r="G141" i="19"/>
  <c r="G140" i="19"/>
  <c r="G151" i="19"/>
  <c r="G150" i="19"/>
  <c r="G110" i="19"/>
  <c r="G111" i="19"/>
  <c r="G178" i="19"/>
  <c r="G177" i="19"/>
  <c r="J177" i="19" s="1"/>
  <c r="D227" i="19"/>
  <c r="D299" i="19"/>
  <c r="D245" i="19"/>
  <c r="G160" i="19"/>
  <c r="G161" i="19"/>
  <c r="G192" i="19"/>
  <c r="G191" i="19"/>
  <c r="J191" i="19" s="1"/>
  <c r="E63" i="19"/>
  <c r="A88" i="19" s="1"/>
  <c r="D317" i="19"/>
  <c r="G131" i="19"/>
  <c r="G130" i="19"/>
  <c r="G120" i="19"/>
  <c r="G121" i="19"/>
  <c r="D281" i="19"/>
  <c r="D263" i="19"/>
  <c r="Q164" i="8"/>
  <c r="E138" i="14" a="1"/>
  <c r="Y137" i="14" a="1"/>
  <c r="N150" i="14"/>
  <c r="D338" i="7"/>
  <c r="D320" i="7"/>
  <c r="S150" i="18" l="1"/>
  <c r="S151" i="18"/>
  <c r="D245" i="18"/>
  <c r="S177" i="18"/>
  <c r="S178" i="18"/>
  <c r="G100" i="18"/>
  <c r="G101" i="18"/>
  <c r="D317" i="18"/>
  <c r="D227" i="18"/>
  <c r="G177" i="18"/>
  <c r="G178" i="18"/>
  <c r="G121" i="18"/>
  <c r="G120" i="18"/>
  <c r="S101" i="18"/>
  <c r="S100" i="18"/>
  <c r="P227" i="18"/>
  <c r="S130" i="18"/>
  <c r="S131" i="18"/>
  <c r="P299" i="18"/>
  <c r="P281" i="18"/>
  <c r="S160" i="18"/>
  <c r="S161" i="18"/>
  <c r="G160" i="18"/>
  <c r="G161" i="18"/>
  <c r="P245" i="18"/>
  <c r="G151" i="18"/>
  <c r="G150" i="18"/>
  <c r="D299" i="18"/>
  <c r="S110" i="18"/>
  <c r="S111" i="18"/>
  <c r="S192" i="18"/>
  <c r="S191" i="18"/>
  <c r="V191" i="18" s="1"/>
  <c r="P263" i="18"/>
  <c r="P209" i="18"/>
  <c r="P317" i="18"/>
  <c r="G131" i="18"/>
  <c r="G130" i="18"/>
  <c r="D281" i="18"/>
  <c r="S140" i="18"/>
  <c r="S141" i="18"/>
  <c r="G140" i="18"/>
  <c r="G141" i="18"/>
  <c r="G110" i="18"/>
  <c r="G111" i="18"/>
  <c r="G192" i="18"/>
  <c r="G191" i="18"/>
  <c r="D263" i="18"/>
  <c r="S121" i="18"/>
  <c r="S120" i="18"/>
  <c r="D209" i="18"/>
  <c r="D157" i="8"/>
  <c r="D159" i="8"/>
  <c r="E141" i="14"/>
  <c r="E139" i="14"/>
  <c r="H141" i="14"/>
  <c r="H139" i="14"/>
  <c r="G139" i="14"/>
  <c r="F139" i="14"/>
  <c r="G141" i="14"/>
  <c r="H138" i="14"/>
  <c r="G138" i="14"/>
  <c r="F141" i="14"/>
  <c r="F138" i="14"/>
  <c r="H140" i="14"/>
  <c r="E138" i="14"/>
  <c r="F140" i="14"/>
  <c r="E140" i="14"/>
  <c r="G140" i="14"/>
  <c r="D152" i="14"/>
  <c r="C173" i="14" s="1"/>
  <c r="Y138" i="14"/>
  <c r="Y140" i="14"/>
  <c r="Y139" i="14"/>
  <c r="Y137" i="14"/>
  <c r="H277" i="7"/>
  <c r="G270" i="7"/>
  <c r="G202" i="7"/>
  <c r="J258" i="7"/>
  <c r="G255" i="7"/>
  <c r="E259" i="7" s="1"/>
  <c r="J259" i="7" s="1"/>
  <c r="G256" i="7"/>
  <c r="F259" i="7" s="1"/>
  <c r="J260" i="7" s="1"/>
  <c r="G257" i="7"/>
  <c r="G259" i="7" s="1"/>
  <c r="J261" i="7" s="1"/>
  <c r="D256" i="7"/>
  <c r="J244" i="7"/>
  <c r="G245" i="7"/>
  <c r="J247" i="7" s="1"/>
  <c r="F245" i="7"/>
  <c r="J246" i="7" s="1"/>
  <c r="G243" i="7"/>
  <c r="G242" i="7"/>
  <c r="E245" i="7"/>
  <c r="J245" i="7" s="1"/>
  <c r="D242" i="7"/>
  <c r="D270" i="6"/>
  <c r="D260" i="6"/>
  <c r="D250" i="6"/>
  <c r="D240" i="6"/>
  <c r="D230" i="6"/>
  <c r="D220" i="6"/>
  <c r="G265" i="6"/>
  <c r="D265" i="6"/>
  <c r="D266" i="6" s="1"/>
  <c r="G255" i="6"/>
  <c r="D255" i="6"/>
  <c r="D256" i="6" s="1"/>
  <c r="G245" i="6"/>
  <c r="D245" i="6"/>
  <c r="D246" i="6" s="1"/>
  <c r="G235" i="6"/>
  <c r="D235" i="6"/>
  <c r="D236" i="6" s="1"/>
  <c r="G225" i="6"/>
  <c r="D225" i="6"/>
  <c r="D226" i="6" s="1"/>
  <c r="G215" i="6"/>
  <c r="D215" i="6"/>
  <c r="D216" i="6" s="1"/>
  <c r="D232" i="7"/>
  <c r="G232" i="7"/>
  <c r="D222" i="7"/>
  <c r="G222" i="7"/>
  <c r="G212" i="7"/>
  <c r="D212" i="7"/>
  <c r="C194" i="7"/>
  <c r="D202" i="7"/>
  <c r="G205" i="6"/>
  <c r="D206" i="6"/>
  <c r="D210" i="6"/>
  <c r="D205" i="6"/>
  <c r="C197" i="6"/>
  <c r="A197" i="6"/>
  <c r="C176" i="6"/>
  <c r="C140" i="6" a="1"/>
  <c r="E140" i="6" s="1"/>
  <c r="J177" i="18" l="1"/>
  <c r="V177" i="18"/>
  <c r="J191" i="18"/>
  <c r="D165" i="8"/>
  <c r="C190" i="8"/>
  <c r="C175" i="8"/>
  <c r="C189" i="8"/>
  <c r="C174" i="8"/>
  <c r="D162" i="8"/>
  <c r="P138" i="14" a="1"/>
  <c r="I145" i="6"/>
  <c r="F142" i="6"/>
  <c r="D140" i="6"/>
  <c r="I146" i="6"/>
  <c r="H145" i="6"/>
  <c r="G144" i="6"/>
  <c r="F143" i="6"/>
  <c r="E142" i="6"/>
  <c r="D141" i="6"/>
  <c r="C140" i="6"/>
  <c r="H146" i="6"/>
  <c r="G145" i="6"/>
  <c r="F144" i="6"/>
  <c r="E143" i="6"/>
  <c r="D142" i="6"/>
  <c r="C141" i="6"/>
  <c r="G146" i="6"/>
  <c r="F145" i="6"/>
  <c r="E144" i="6"/>
  <c r="D143" i="6"/>
  <c r="C142" i="6"/>
  <c r="I140" i="6"/>
  <c r="H144" i="6"/>
  <c r="F146" i="6"/>
  <c r="D144" i="6"/>
  <c r="I141" i="6"/>
  <c r="E146" i="6"/>
  <c r="C144" i="6"/>
  <c r="D146" i="6"/>
  <c r="H142" i="6"/>
  <c r="G141" i="6"/>
  <c r="F140" i="6"/>
  <c r="G143" i="6"/>
  <c r="E141" i="6"/>
  <c r="E145" i="6"/>
  <c r="C143" i="6"/>
  <c r="H140" i="6"/>
  <c r="D145" i="6"/>
  <c r="I142" i="6"/>
  <c r="H141" i="6"/>
  <c r="G140" i="6"/>
  <c r="C145" i="6"/>
  <c r="I143" i="6"/>
  <c r="C146" i="6"/>
  <c r="I144" i="6"/>
  <c r="H143" i="6"/>
  <c r="G142" i="6"/>
  <c r="F141" i="6"/>
  <c r="N152" i="7"/>
  <c r="U68" i="7" a="1"/>
  <c r="AS68" i="7" s="1"/>
  <c r="P130" i="7"/>
  <c r="O130" i="7"/>
  <c r="N130" i="7"/>
  <c r="P129" i="7"/>
  <c r="O129" i="7"/>
  <c r="N129" i="7"/>
  <c r="P128" i="7"/>
  <c r="O128" i="7"/>
  <c r="N128" i="7"/>
  <c r="P127" i="7"/>
  <c r="O127" i="7"/>
  <c r="N127" i="7"/>
  <c r="P126" i="7"/>
  <c r="O126" i="7"/>
  <c r="N126" i="7"/>
  <c r="P125" i="7"/>
  <c r="O125" i="7"/>
  <c r="N125" i="7"/>
  <c r="P124" i="7"/>
  <c r="O124" i="7"/>
  <c r="N124" i="7"/>
  <c r="P123" i="7"/>
  <c r="O123" i="7"/>
  <c r="N123" i="7"/>
  <c r="P122" i="7"/>
  <c r="O122" i="7"/>
  <c r="N122" i="7"/>
  <c r="P121" i="7"/>
  <c r="O121" i="7"/>
  <c r="N121" i="7"/>
  <c r="P120" i="7"/>
  <c r="O120" i="7"/>
  <c r="N120" i="7"/>
  <c r="P119" i="7"/>
  <c r="O119" i="7"/>
  <c r="N119" i="7"/>
  <c r="P118" i="7"/>
  <c r="O118" i="7"/>
  <c r="N118" i="7"/>
  <c r="P117" i="7"/>
  <c r="O117" i="7"/>
  <c r="N117" i="7"/>
  <c r="P116" i="7"/>
  <c r="O116" i="7"/>
  <c r="N116" i="7"/>
  <c r="P115" i="7"/>
  <c r="O115" i="7"/>
  <c r="N115" i="7"/>
  <c r="P114" i="7"/>
  <c r="O114" i="7"/>
  <c r="N114" i="7"/>
  <c r="P113" i="7"/>
  <c r="O113" i="7"/>
  <c r="N113" i="7"/>
  <c r="P112" i="7"/>
  <c r="O112" i="7"/>
  <c r="N112" i="7"/>
  <c r="P111" i="7"/>
  <c r="O111" i="7"/>
  <c r="N111" i="7"/>
  <c r="P110" i="7"/>
  <c r="O110" i="7"/>
  <c r="N110" i="7"/>
  <c r="P109" i="7"/>
  <c r="O109" i="7"/>
  <c r="N109" i="7"/>
  <c r="P108" i="7"/>
  <c r="O108" i="7"/>
  <c r="N108" i="7"/>
  <c r="P107" i="7"/>
  <c r="O107" i="7"/>
  <c r="N107" i="7"/>
  <c r="P106" i="7"/>
  <c r="O106" i="7"/>
  <c r="N106" i="7"/>
  <c r="P105" i="7"/>
  <c r="O105" i="7"/>
  <c r="N105" i="7"/>
  <c r="P104" i="7"/>
  <c r="O104" i="7"/>
  <c r="N104" i="7"/>
  <c r="P103" i="7"/>
  <c r="O103" i="7"/>
  <c r="N103" i="7"/>
  <c r="P102" i="7"/>
  <c r="O102" i="7"/>
  <c r="N102" i="7"/>
  <c r="P101" i="7"/>
  <c r="O101" i="7"/>
  <c r="N101" i="7"/>
  <c r="P100" i="7"/>
  <c r="O100" i="7"/>
  <c r="N100" i="7"/>
  <c r="P99" i="7"/>
  <c r="O99" i="7"/>
  <c r="N99" i="7"/>
  <c r="P98" i="7"/>
  <c r="O98" i="7"/>
  <c r="N98" i="7"/>
  <c r="P97" i="7"/>
  <c r="O97" i="7"/>
  <c r="N97" i="7"/>
  <c r="P96" i="7"/>
  <c r="O96" i="7"/>
  <c r="N96" i="7"/>
  <c r="P95" i="7"/>
  <c r="O95" i="7"/>
  <c r="N95" i="7"/>
  <c r="P94" i="7"/>
  <c r="O94" i="7"/>
  <c r="N94" i="7"/>
  <c r="P93" i="7"/>
  <c r="O93" i="7"/>
  <c r="N93" i="7"/>
  <c r="P92" i="7"/>
  <c r="O92" i="7"/>
  <c r="N92" i="7"/>
  <c r="P91" i="7"/>
  <c r="O91" i="7"/>
  <c r="N91" i="7"/>
  <c r="P90" i="7"/>
  <c r="O90" i="7"/>
  <c r="N90" i="7"/>
  <c r="P89" i="7"/>
  <c r="O89" i="7"/>
  <c r="N89" i="7"/>
  <c r="P88" i="7"/>
  <c r="O88" i="7"/>
  <c r="N88" i="7"/>
  <c r="P87" i="7"/>
  <c r="O87" i="7"/>
  <c r="N87" i="7"/>
  <c r="P86" i="7"/>
  <c r="O86" i="7"/>
  <c r="N86" i="7"/>
  <c r="P85" i="7"/>
  <c r="O85" i="7"/>
  <c r="N85" i="7"/>
  <c r="P84" i="7"/>
  <c r="O84" i="7"/>
  <c r="N84" i="7"/>
  <c r="P83" i="7"/>
  <c r="O83" i="7"/>
  <c r="N83" i="7"/>
  <c r="P82" i="7"/>
  <c r="O82" i="7"/>
  <c r="N82" i="7"/>
  <c r="P81" i="7"/>
  <c r="O81" i="7"/>
  <c r="N81" i="7"/>
  <c r="P80" i="7"/>
  <c r="O80" i="7"/>
  <c r="N80" i="7"/>
  <c r="P79" i="7"/>
  <c r="O79" i="7"/>
  <c r="N79" i="7"/>
  <c r="P78" i="7"/>
  <c r="O78" i="7"/>
  <c r="N78" i="7"/>
  <c r="P77" i="7"/>
  <c r="O77" i="7"/>
  <c r="N77" i="7"/>
  <c r="P76" i="7"/>
  <c r="O76" i="7"/>
  <c r="N76" i="7"/>
  <c r="P75" i="7"/>
  <c r="O75" i="7"/>
  <c r="N75" i="7"/>
  <c r="P74" i="7"/>
  <c r="O74" i="7"/>
  <c r="N74" i="7"/>
  <c r="P73" i="7"/>
  <c r="O73" i="7"/>
  <c r="N73" i="7"/>
  <c r="P72" i="7"/>
  <c r="O72" i="7"/>
  <c r="N72" i="7"/>
  <c r="P71" i="7"/>
  <c r="O71" i="7"/>
  <c r="N71" i="7"/>
  <c r="P70" i="7"/>
  <c r="O70" i="7"/>
  <c r="N70" i="7"/>
  <c r="P69" i="7"/>
  <c r="O69" i="7"/>
  <c r="N69" i="7"/>
  <c r="P68" i="7"/>
  <c r="O68" i="7"/>
  <c r="N68" i="7"/>
  <c r="P67" i="7"/>
  <c r="O67" i="7"/>
  <c r="N67" i="7"/>
  <c r="P66" i="7"/>
  <c r="O66" i="7"/>
  <c r="N66" i="7"/>
  <c r="P65" i="7"/>
  <c r="O65" i="7"/>
  <c r="N65" i="7"/>
  <c r="P64" i="7"/>
  <c r="O64" i="7"/>
  <c r="N64" i="7"/>
  <c r="P63" i="7"/>
  <c r="O63" i="7"/>
  <c r="N63" i="7"/>
  <c r="P62" i="7"/>
  <c r="O62" i="7"/>
  <c r="N62" i="7"/>
  <c r="P61" i="7"/>
  <c r="O61" i="7"/>
  <c r="N61" i="7"/>
  <c r="P60" i="7"/>
  <c r="O60" i="7"/>
  <c r="N60" i="7"/>
  <c r="P59" i="7"/>
  <c r="O59" i="7"/>
  <c r="N59" i="7"/>
  <c r="P58" i="7"/>
  <c r="O58" i="7"/>
  <c r="N58" i="7"/>
  <c r="P57" i="7"/>
  <c r="O57" i="7"/>
  <c r="N57" i="7"/>
  <c r="P56" i="7"/>
  <c r="O56" i="7"/>
  <c r="N56" i="7"/>
  <c r="P55" i="7"/>
  <c r="O55" i="7"/>
  <c r="N55" i="7"/>
  <c r="P54" i="7"/>
  <c r="O54" i="7"/>
  <c r="N54" i="7"/>
  <c r="P53" i="7"/>
  <c r="O53" i="7"/>
  <c r="N53" i="7"/>
  <c r="P52" i="7"/>
  <c r="O52" i="7"/>
  <c r="N52" i="7"/>
  <c r="P51" i="7"/>
  <c r="O51" i="7"/>
  <c r="N51" i="7"/>
  <c r="P50" i="7"/>
  <c r="O50" i="7"/>
  <c r="N50" i="7"/>
  <c r="P49" i="7"/>
  <c r="O49" i="7"/>
  <c r="N49" i="7"/>
  <c r="P48" i="7"/>
  <c r="O48" i="7"/>
  <c r="N48" i="7"/>
  <c r="P47" i="7"/>
  <c r="O47" i="7"/>
  <c r="N47" i="7"/>
  <c r="P46" i="7"/>
  <c r="O46" i="7"/>
  <c r="N46" i="7"/>
  <c r="P45" i="7"/>
  <c r="O45" i="7"/>
  <c r="N45" i="7"/>
  <c r="P44" i="7"/>
  <c r="O44" i="7"/>
  <c r="N44" i="7"/>
  <c r="P43" i="7"/>
  <c r="O43" i="7"/>
  <c r="N43" i="7"/>
  <c r="P42" i="7"/>
  <c r="O42" i="7"/>
  <c r="N42" i="7"/>
  <c r="P41" i="7"/>
  <c r="O41" i="7"/>
  <c r="N41" i="7"/>
  <c r="P40" i="7"/>
  <c r="O40" i="7"/>
  <c r="N40" i="7"/>
  <c r="P39" i="7"/>
  <c r="O39" i="7"/>
  <c r="N39" i="7"/>
  <c r="P38" i="7"/>
  <c r="O38" i="7"/>
  <c r="N38" i="7"/>
  <c r="P37" i="7"/>
  <c r="O37" i="7"/>
  <c r="N37" i="7"/>
  <c r="P36" i="7"/>
  <c r="O36" i="7"/>
  <c r="N36" i="7"/>
  <c r="P35" i="7"/>
  <c r="O35" i="7"/>
  <c r="N35" i="7"/>
  <c r="P34" i="7"/>
  <c r="O34" i="7"/>
  <c r="N34" i="7"/>
  <c r="P33" i="7"/>
  <c r="O33" i="7"/>
  <c r="N33" i="7"/>
  <c r="P32" i="7"/>
  <c r="O32" i="7"/>
  <c r="N32" i="7"/>
  <c r="P31" i="7"/>
  <c r="O31" i="7"/>
  <c r="N31" i="7"/>
  <c r="P30" i="7"/>
  <c r="O30" i="7"/>
  <c r="N30" i="7"/>
  <c r="P29" i="7"/>
  <c r="O29" i="7"/>
  <c r="N29" i="7"/>
  <c r="P28" i="7"/>
  <c r="O28" i="7"/>
  <c r="N28" i="7"/>
  <c r="P27" i="7"/>
  <c r="O27" i="7"/>
  <c r="N27" i="7"/>
  <c r="P26" i="7"/>
  <c r="O26" i="7"/>
  <c r="N26" i="7"/>
  <c r="P25" i="7"/>
  <c r="O25" i="7"/>
  <c r="N25" i="7"/>
  <c r="P24" i="7"/>
  <c r="O24" i="7"/>
  <c r="N24" i="7"/>
  <c r="P23" i="7"/>
  <c r="O23" i="7"/>
  <c r="N23" i="7"/>
  <c r="P22" i="7"/>
  <c r="O22" i="7"/>
  <c r="N22" i="7"/>
  <c r="P21" i="7"/>
  <c r="O21" i="7"/>
  <c r="N21" i="7"/>
  <c r="P20" i="7"/>
  <c r="O20" i="7"/>
  <c r="N20" i="7"/>
  <c r="P19" i="7"/>
  <c r="O19" i="7"/>
  <c r="N19" i="7"/>
  <c r="P18" i="7"/>
  <c r="O18" i="7"/>
  <c r="N18" i="7"/>
  <c r="P17" i="7"/>
  <c r="O17" i="7"/>
  <c r="N17" i="7"/>
  <c r="P16" i="7"/>
  <c r="O16" i="7"/>
  <c r="N16" i="7"/>
  <c r="P15" i="7"/>
  <c r="O15" i="7"/>
  <c r="N15" i="7"/>
  <c r="P14" i="7"/>
  <c r="O14" i="7"/>
  <c r="N14" i="7"/>
  <c r="P13" i="7"/>
  <c r="O13" i="7"/>
  <c r="N13" i="7"/>
  <c r="P12" i="7"/>
  <c r="O12" i="7"/>
  <c r="N12" i="7"/>
  <c r="P11" i="7"/>
  <c r="O11" i="7"/>
  <c r="N11" i="7"/>
  <c r="U56" i="7" s="1" a="1"/>
  <c r="Q157" i="6"/>
  <c r="D155" i="6" s="1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T157" i="6"/>
  <c r="Q154" i="6" a="1"/>
  <c r="CK154" i="6" s="1"/>
  <c r="D174" i="8" l="1"/>
  <c r="D168" i="8"/>
  <c r="C365" i="8"/>
  <c r="D373" i="8" s="1"/>
  <c r="C329" i="8"/>
  <c r="D337" i="8" s="1"/>
  <c r="D248" i="8"/>
  <c r="D252" i="8" s="1"/>
  <c r="D175" i="8"/>
  <c r="C311" i="8"/>
  <c r="D319" i="8" s="1"/>
  <c r="D268" i="8"/>
  <c r="D272" i="8" s="1"/>
  <c r="C401" i="8"/>
  <c r="D409" i="8" s="1"/>
  <c r="K277" i="8"/>
  <c r="D287" i="8" s="1"/>
  <c r="D289" i="8" s="1"/>
  <c r="C383" i="8"/>
  <c r="D391" i="8" s="1"/>
  <c r="D258" i="8"/>
  <c r="D262" i="8" s="1"/>
  <c r="C347" i="8"/>
  <c r="D355" i="8" s="1"/>
  <c r="C419" i="8"/>
  <c r="D427" i="8" s="1"/>
  <c r="K291" i="8"/>
  <c r="D301" i="8" s="1"/>
  <c r="D303" i="8" s="1"/>
  <c r="D208" i="8"/>
  <c r="D212" i="8" s="1"/>
  <c r="D238" i="8"/>
  <c r="D242" i="8" s="1"/>
  <c r="D228" i="8"/>
  <c r="D232" i="8" s="1"/>
  <c r="D218" i="8"/>
  <c r="D222" i="8" s="1"/>
  <c r="S140" i="14"/>
  <c r="S138" i="14"/>
  <c r="R141" i="14"/>
  <c r="R139" i="14"/>
  <c r="R140" i="14"/>
  <c r="P138" i="14"/>
  <c r="Q141" i="14"/>
  <c r="Q138" i="14"/>
  <c r="Q140" i="14"/>
  <c r="P141" i="14"/>
  <c r="P140" i="14"/>
  <c r="S139" i="14"/>
  <c r="P139" i="14"/>
  <c r="S141" i="14"/>
  <c r="R138" i="14"/>
  <c r="Q139" i="14"/>
  <c r="U56" i="7"/>
  <c r="Y56" i="7"/>
  <c r="BX56" i="7"/>
  <c r="DD56" i="7"/>
  <c r="EJ56" i="7"/>
  <c r="AZ57" i="7"/>
  <c r="CF57" i="7"/>
  <c r="DL57" i="7"/>
  <c r="EG57" i="7"/>
  <c r="AN58" i="7"/>
  <c r="BH58" i="7"/>
  <c r="CC58" i="7"/>
  <c r="CZ58" i="7"/>
  <c r="DT58" i="7"/>
  <c r="Y59" i="7"/>
  <c r="AV59" i="7"/>
  <c r="BP59" i="7"/>
  <c r="CK59" i="7"/>
  <c r="DH59" i="7"/>
  <c r="EB59" i="7"/>
  <c r="BM56" i="7"/>
  <c r="EB57" i="7"/>
  <c r="DP58" i="7"/>
  <c r="DA59" i="7"/>
  <c r="AW57" i="7"/>
  <c r="DI57" i="7"/>
  <c r="BE58" i="7"/>
  <c r="DQ58" i="7"/>
  <c r="DD59" i="7"/>
  <c r="AG56" i="7"/>
  <c r="CC56" i="7"/>
  <c r="DI56" i="7"/>
  <c r="Y57" i="7"/>
  <c r="BE57" i="7"/>
  <c r="CK57" i="7"/>
  <c r="DP57" i="7"/>
  <c r="EJ57" i="7"/>
  <c r="AO58" i="7"/>
  <c r="BL58" i="7"/>
  <c r="CF58" i="7"/>
  <c r="DA58" i="7"/>
  <c r="DX58" i="7"/>
  <c r="AB59" i="7"/>
  <c r="AW59" i="7"/>
  <c r="BT59" i="7"/>
  <c r="CN59" i="7"/>
  <c r="DI59" i="7"/>
  <c r="EF59" i="7"/>
  <c r="BX57" i="7"/>
  <c r="DX59" i="7"/>
  <c r="EG56" i="7"/>
  <c r="AR59" i="7"/>
  <c r="AJ56" i="7"/>
  <c r="CF56" i="7"/>
  <c r="DL56" i="7"/>
  <c r="AB57" i="7"/>
  <c r="BH57" i="7"/>
  <c r="CN57" i="7"/>
  <c r="DQ57" i="7"/>
  <c r="X58" i="7"/>
  <c r="AR58" i="7"/>
  <c r="BM58" i="7"/>
  <c r="CJ58" i="7"/>
  <c r="DD58" i="7"/>
  <c r="DY58" i="7"/>
  <c r="AF59" i="7"/>
  <c r="AZ59" i="7"/>
  <c r="BU59" i="7"/>
  <c r="CR59" i="7"/>
  <c r="DL59" i="7"/>
  <c r="EG59" i="7"/>
  <c r="EB56" i="7"/>
  <c r="DD57" i="7"/>
  <c r="BD58" i="7"/>
  <c r="CS58" i="7"/>
  <c r="AO59" i="7"/>
  <c r="CF59" i="7"/>
  <c r="BU56" i="7"/>
  <c r="AJ58" i="7"/>
  <c r="CV58" i="7"/>
  <c r="CJ59" i="7"/>
  <c r="AO56" i="7"/>
  <c r="CK56" i="7"/>
  <c r="DQ56" i="7"/>
  <c r="AG57" i="7"/>
  <c r="BM57" i="7"/>
  <c r="CS57" i="7"/>
  <c r="DT57" i="7"/>
  <c r="Y58" i="7"/>
  <c r="AV58" i="7"/>
  <c r="BP58" i="7"/>
  <c r="CK58" i="7"/>
  <c r="DH58" i="7"/>
  <c r="EB58" i="7"/>
  <c r="AG59" i="7"/>
  <c r="BD59" i="7"/>
  <c r="BX59" i="7"/>
  <c r="CS59" i="7"/>
  <c r="DP59" i="7"/>
  <c r="EJ59" i="7"/>
  <c r="AR57" i="7"/>
  <c r="CC57" i="7"/>
  <c r="X59" i="7"/>
  <c r="AW56" i="7"/>
  <c r="CN56" i="7"/>
  <c r="DT56" i="7"/>
  <c r="AJ57" i="7"/>
  <c r="BP57" i="7"/>
  <c r="CV57" i="7"/>
  <c r="DX57" i="7"/>
  <c r="AB58" i="7"/>
  <c r="AW58" i="7"/>
  <c r="BT58" i="7"/>
  <c r="CN58" i="7"/>
  <c r="DI58" i="7"/>
  <c r="EF58" i="7"/>
  <c r="AJ59" i="7"/>
  <c r="BE59" i="7"/>
  <c r="CB59" i="7"/>
  <c r="CV59" i="7"/>
  <c r="DQ59" i="7"/>
  <c r="BE56" i="7"/>
  <c r="CS56" i="7"/>
  <c r="DY56" i="7"/>
  <c r="AO57" i="7"/>
  <c r="BU57" i="7"/>
  <c r="DA57" i="7"/>
  <c r="DY57" i="7"/>
  <c r="AF58" i="7"/>
  <c r="AZ58" i="7"/>
  <c r="BU58" i="7"/>
  <c r="CR58" i="7"/>
  <c r="DL58" i="7"/>
  <c r="EG58" i="7"/>
  <c r="AN59" i="7"/>
  <c r="BH59" i="7"/>
  <c r="CC59" i="7"/>
  <c r="CZ59" i="7"/>
  <c r="DT59" i="7"/>
  <c r="CV56" i="7"/>
  <c r="AG58" i="7"/>
  <c r="BX58" i="7"/>
  <c r="EJ58" i="7"/>
  <c r="BL59" i="7"/>
  <c r="DA56" i="7"/>
  <c r="EF57" i="7"/>
  <c r="CB58" i="7"/>
  <c r="BM59" i="7"/>
  <c r="DY59" i="7"/>
  <c r="EC68" i="7"/>
  <c r="DM68" i="7"/>
  <c r="CO68" i="7"/>
  <c r="BY68" i="7"/>
  <c r="BI68" i="7"/>
  <c r="AC68" i="7"/>
  <c r="EJ68" i="7"/>
  <c r="EB68" i="7"/>
  <c r="DL68" i="7"/>
  <c r="DD68" i="7"/>
  <c r="CV68" i="7"/>
  <c r="CN68" i="7"/>
  <c r="CF68" i="7"/>
  <c r="BX68" i="7"/>
  <c r="BP68" i="7"/>
  <c r="BH68" i="7"/>
  <c r="AZ68" i="7"/>
  <c r="AR68" i="7"/>
  <c r="AJ68" i="7"/>
  <c r="AB68" i="7"/>
  <c r="EI68" i="7"/>
  <c r="EA68" i="7"/>
  <c r="DS68" i="7"/>
  <c r="DK68" i="7"/>
  <c r="DC68" i="7"/>
  <c r="CU68" i="7"/>
  <c r="CM68" i="7"/>
  <c r="CE68" i="7"/>
  <c r="BW68" i="7"/>
  <c r="BO68" i="7"/>
  <c r="BG68" i="7"/>
  <c r="AY68" i="7"/>
  <c r="AQ68" i="7"/>
  <c r="AI68" i="7"/>
  <c r="AA68" i="7"/>
  <c r="EH68" i="7"/>
  <c r="DZ68" i="7"/>
  <c r="DR68" i="7"/>
  <c r="DJ68" i="7"/>
  <c r="DB68" i="7"/>
  <c r="CT68" i="7"/>
  <c r="CL68" i="7"/>
  <c r="CD68" i="7"/>
  <c r="BV68" i="7"/>
  <c r="BN68" i="7"/>
  <c r="BF68" i="7"/>
  <c r="AX68" i="7"/>
  <c r="AP68" i="7"/>
  <c r="AH68" i="7"/>
  <c r="Z68" i="7"/>
  <c r="AK68" i="7"/>
  <c r="EG68" i="7"/>
  <c r="DQ68" i="7"/>
  <c r="DI68" i="7"/>
  <c r="CS68" i="7"/>
  <c r="CK68" i="7"/>
  <c r="CC68" i="7"/>
  <c r="BU68" i="7"/>
  <c r="BM68" i="7"/>
  <c r="BE68" i="7"/>
  <c r="AO68" i="7"/>
  <c r="Y68" i="7"/>
  <c r="BA68" i="7"/>
  <c r="AW68" i="7"/>
  <c r="EF68" i="7"/>
  <c r="DX68" i="7"/>
  <c r="DP68" i="7"/>
  <c r="DH68" i="7"/>
  <c r="CZ68" i="7"/>
  <c r="CR68" i="7"/>
  <c r="CJ68" i="7"/>
  <c r="CB68" i="7"/>
  <c r="BT68" i="7"/>
  <c r="BL68" i="7"/>
  <c r="BD68" i="7"/>
  <c r="AV68" i="7"/>
  <c r="AN68" i="7"/>
  <c r="AF68" i="7"/>
  <c r="X68" i="7"/>
  <c r="DU68" i="7"/>
  <c r="DE68" i="7"/>
  <c r="CG68" i="7"/>
  <c r="BQ68" i="7"/>
  <c r="U68" i="7"/>
  <c r="DT68" i="7"/>
  <c r="DY68" i="7"/>
  <c r="DA68" i="7"/>
  <c r="AG68" i="7"/>
  <c r="EE68" i="7"/>
  <c r="DW68" i="7"/>
  <c r="DO68" i="7"/>
  <c r="DG68" i="7"/>
  <c r="CY68" i="7"/>
  <c r="CQ68" i="7"/>
  <c r="CI68" i="7"/>
  <c r="CA68" i="7"/>
  <c r="BS68" i="7"/>
  <c r="BK68" i="7"/>
  <c r="BC68" i="7"/>
  <c r="AU68" i="7"/>
  <c r="AM68" i="7"/>
  <c r="AE68" i="7"/>
  <c r="W68" i="7"/>
  <c r="ED68" i="7"/>
  <c r="DV68" i="7"/>
  <c r="DN68" i="7"/>
  <c r="DF68" i="7"/>
  <c r="CX68" i="7"/>
  <c r="CP68" i="7"/>
  <c r="CH68" i="7"/>
  <c r="BZ68" i="7"/>
  <c r="BR68" i="7"/>
  <c r="BJ68" i="7"/>
  <c r="BB68" i="7"/>
  <c r="AT68" i="7"/>
  <c r="AL68" i="7"/>
  <c r="AD68" i="7"/>
  <c r="V68" i="7"/>
  <c r="CW68" i="7"/>
  <c r="EI59" i="7"/>
  <c r="EA59" i="7"/>
  <c r="DS59" i="7"/>
  <c r="DK59" i="7"/>
  <c r="DC59" i="7"/>
  <c r="CU59" i="7"/>
  <c r="CM59" i="7"/>
  <c r="CE59" i="7"/>
  <c r="BW59" i="7"/>
  <c r="BO59" i="7"/>
  <c r="BG59" i="7"/>
  <c r="AY59" i="7"/>
  <c r="AQ59" i="7"/>
  <c r="AI59" i="7"/>
  <c r="AA59" i="7"/>
  <c r="EI58" i="7"/>
  <c r="EA58" i="7"/>
  <c r="DS58" i="7"/>
  <c r="DK58" i="7"/>
  <c r="DC58" i="7"/>
  <c r="CU58" i="7"/>
  <c r="CM58" i="7"/>
  <c r="CE58" i="7"/>
  <c r="BW58" i="7"/>
  <c r="BO58" i="7"/>
  <c r="BG58" i="7"/>
  <c r="AY58" i="7"/>
  <c r="AQ58" i="7"/>
  <c r="AI58" i="7"/>
  <c r="AA58" i="7"/>
  <c r="EI57" i="7"/>
  <c r="EA57" i="7"/>
  <c r="DS57" i="7"/>
  <c r="DK57" i="7"/>
  <c r="DC57" i="7"/>
  <c r="CU57" i="7"/>
  <c r="CM57" i="7"/>
  <c r="CE57" i="7"/>
  <c r="BW57" i="7"/>
  <c r="BO57" i="7"/>
  <c r="BG57" i="7"/>
  <c r="AY57" i="7"/>
  <c r="AQ57" i="7"/>
  <c r="AI57" i="7"/>
  <c r="AA57" i="7"/>
  <c r="EI56" i="7"/>
  <c r="EA56" i="7"/>
  <c r="DS56" i="7"/>
  <c r="DK56" i="7"/>
  <c r="DC56" i="7"/>
  <c r="CU56" i="7"/>
  <c r="CM56" i="7"/>
  <c r="CE56" i="7"/>
  <c r="BW56" i="7"/>
  <c r="BO56" i="7"/>
  <c r="BG56" i="7"/>
  <c r="AY56" i="7"/>
  <c r="AQ56" i="7"/>
  <c r="AI56" i="7"/>
  <c r="AA56" i="7"/>
  <c r="BP56" i="7"/>
  <c r="BH56" i="7"/>
  <c r="AZ56" i="7"/>
  <c r="AR56" i="7"/>
  <c r="AB56" i="7"/>
  <c r="EH59" i="7"/>
  <c r="DZ59" i="7"/>
  <c r="DR59" i="7"/>
  <c r="DJ59" i="7"/>
  <c r="DB59" i="7"/>
  <c r="CT59" i="7"/>
  <c r="CL59" i="7"/>
  <c r="CD59" i="7"/>
  <c r="BV59" i="7"/>
  <c r="BN59" i="7"/>
  <c r="BF59" i="7"/>
  <c r="AX59" i="7"/>
  <c r="AP59" i="7"/>
  <c r="AH59" i="7"/>
  <c r="Z59" i="7"/>
  <c r="EH58" i="7"/>
  <c r="DZ58" i="7"/>
  <c r="DR58" i="7"/>
  <c r="DJ58" i="7"/>
  <c r="DB58" i="7"/>
  <c r="CT58" i="7"/>
  <c r="CL58" i="7"/>
  <c r="CD58" i="7"/>
  <c r="BV58" i="7"/>
  <c r="BN58" i="7"/>
  <c r="BF58" i="7"/>
  <c r="AX58" i="7"/>
  <c r="AP58" i="7"/>
  <c r="AH58" i="7"/>
  <c r="Z58" i="7"/>
  <c r="EH57" i="7"/>
  <c r="DZ57" i="7"/>
  <c r="DR57" i="7"/>
  <c r="DJ57" i="7"/>
  <c r="DB57" i="7"/>
  <c r="CT57" i="7"/>
  <c r="CL57" i="7"/>
  <c r="CD57" i="7"/>
  <c r="BV57" i="7"/>
  <c r="BN57" i="7"/>
  <c r="BF57" i="7"/>
  <c r="AX57" i="7"/>
  <c r="AP57" i="7"/>
  <c r="AH57" i="7"/>
  <c r="Z57" i="7"/>
  <c r="EH56" i="7"/>
  <c r="DZ56" i="7"/>
  <c r="DR56" i="7"/>
  <c r="DJ56" i="7"/>
  <c r="DB56" i="7"/>
  <c r="CT56" i="7"/>
  <c r="CL56" i="7"/>
  <c r="CD56" i="7"/>
  <c r="BV56" i="7"/>
  <c r="BN56" i="7"/>
  <c r="BF56" i="7"/>
  <c r="AX56" i="7"/>
  <c r="AP56" i="7"/>
  <c r="AH56" i="7"/>
  <c r="Z56" i="7"/>
  <c r="CB57" i="7"/>
  <c r="X56" i="7"/>
  <c r="EE59" i="7"/>
  <c r="DW59" i="7"/>
  <c r="DO59" i="7"/>
  <c r="DG59" i="7"/>
  <c r="CY59" i="7"/>
  <c r="CQ59" i="7"/>
  <c r="CI59" i="7"/>
  <c r="CA59" i="7"/>
  <c r="BS59" i="7"/>
  <c r="BK59" i="7"/>
  <c r="BC59" i="7"/>
  <c r="AU59" i="7"/>
  <c r="AM59" i="7"/>
  <c r="AE59" i="7"/>
  <c r="W59" i="7"/>
  <c r="EE58" i="7"/>
  <c r="DW58" i="7"/>
  <c r="DO58" i="7"/>
  <c r="DG58" i="7"/>
  <c r="CY58" i="7"/>
  <c r="CQ58" i="7"/>
  <c r="CI58" i="7"/>
  <c r="CA58" i="7"/>
  <c r="BS58" i="7"/>
  <c r="BK58" i="7"/>
  <c r="BC58" i="7"/>
  <c r="AU58" i="7"/>
  <c r="AM58" i="7"/>
  <c r="AE58" i="7"/>
  <c r="W58" i="7"/>
  <c r="EE57" i="7"/>
  <c r="DW57" i="7"/>
  <c r="DO57" i="7"/>
  <c r="DG57" i="7"/>
  <c r="CY57" i="7"/>
  <c r="CQ57" i="7"/>
  <c r="CI57" i="7"/>
  <c r="CA57" i="7"/>
  <c r="BS57" i="7"/>
  <c r="BK57" i="7"/>
  <c r="BC57" i="7"/>
  <c r="AU57" i="7"/>
  <c r="AM57" i="7"/>
  <c r="AE57" i="7"/>
  <c r="W57" i="7"/>
  <c r="EE56" i="7"/>
  <c r="DW56" i="7"/>
  <c r="DO56" i="7"/>
  <c r="DG56" i="7"/>
  <c r="CY56" i="7"/>
  <c r="CQ56" i="7"/>
  <c r="CI56" i="7"/>
  <c r="CA56" i="7"/>
  <c r="BS56" i="7"/>
  <c r="BK56" i="7"/>
  <c r="BC56" i="7"/>
  <c r="AU56" i="7"/>
  <c r="AM56" i="7"/>
  <c r="AE56" i="7"/>
  <c r="W56" i="7"/>
  <c r="DH57" i="7"/>
  <c r="CZ57" i="7"/>
  <c r="CR57" i="7"/>
  <c r="CJ57" i="7"/>
  <c r="BT57" i="7"/>
  <c r="BL57" i="7"/>
  <c r="BD57" i="7"/>
  <c r="AV57" i="7"/>
  <c r="AN57" i="7"/>
  <c r="AF57" i="7"/>
  <c r="X57" i="7"/>
  <c r="EF56" i="7"/>
  <c r="DX56" i="7"/>
  <c r="DP56" i="7"/>
  <c r="DH56" i="7"/>
  <c r="CZ56" i="7"/>
  <c r="CR56" i="7"/>
  <c r="CJ56" i="7"/>
  <c r="CB56" i="7"/>
  <c r="BT56" i="7"/>
  <c r="BL56" i="7"/>
  <c r="BD56" i="7"/>
  <c r="AV56" i="7"/>
  <c r="AN56" i="7"/>
  <c r="AF56" i="7"/>
  <c r="ED59" i="7"/>
  <c r="DV59" i="7"/>
  <c r="DN59" i="7"/>
  <c r="DF59" i="7"/>
  <c r="CX59" i="7"/>
  <c r="CP59" i="7"/>
  <c r="CH59" i="7"/>
  <c r="BZ59" i="7"/>
  <c r="BR59" i="7"/>
  <c r="BJ59" i="7"/>
  <c r="BB59" i="7"/>
  <c r="AT59" i="7"/>
  <c r="AL59" i="7"/>
  <c r="AD59" i="7"/>
  <c r="V59" i="7"/>
  <c r="ED58" i="7"/>
  <c r="DV58" i="7"/>
  <c r="DN58" i="7"/>
  <c r="DF58" i="7"/>
  <c r="CX58" i="7"/>
  <c r="CP58" i="7"/>
  <c r="CH58" i="7"/>
  <c r="BZ58" i="7"/>
  <c r="BR58" i="7"/>
  <c r="BJ58" i="7"/>
  <c r="BB58" i="7"/>
  <c r="AT58" i="7"/>
  <c r="AL58" i="7"/>
  <c r="AD58" i="7"/>
  <c r="V58" i="7"/>
  <c r="ED57" i="7"/>
  <c r="DV57" i="7"/>
  <c r="DN57" i="7"/>
  <c r="DF57" i="7"/>
  <c r="CX57" i="7"/>
  <c r="CP57" i="7"/>
  <c r="CH57" i="7"/>
  <c r="BZ57" i="7"/>
  <c r="BR57" i="7"/>
  <c r="BJ57" i="7"/>
  <c r="BB57" i="7"/>
  <c r="AT57" i="7"/>
  <c r="AL57" i="7"/>
  <c r="AD57" i="7"/>
  <c r="V57" i="7"/>
  <c r="ED56" i="7"/>
  <c r="DV56" i="7"/>
  <c r="DN56" i="7"/>
  <c r="DF56" i="7"/>
  <c r="CX56" i="7"/>
  <c r="CP56" i="7"/>
  <c r="CH56" i="7"/>
  <c r="BZ56" i="7"/>
  <c r="BR56" i="7"/>
  <c r="BJ56" i="7"/>
  <c r="BB56" i="7"/>
  <c r="AT56" i="7"/>
  <c r="AL56" i="7"/>
  <c r="AD56" i="7"/>
  <c r="V56" i="7"/>
  <c r="EC59" i="7"/>
  <c r="DU59" i="7"/>
  <c r="DM59" i="7"/>
  <c r="DE59" i="7"/>
  <c r="CW59" i="7"/>
  <c r="CO59" i="7"/>
  <c r="CG59" i="7"/>
  <c r="BY59" i="7"/>
  <c r="BQ59" i="7"/>
  <c r="BI59" i="7"/>
  <c r="BA59" i="7"/>
  <c r="AS59" i="7"/>
  <c r="AK59" i="7"/>
  <c r="AC59" i="7"/>
  <c r="U59" i="7"/>
  <c r="EC58" i="7"/>
  <c r="DU58" i="7"/>
  <c r="DM58" i="7"/>
  <c r="DE58" i="7"/>
  <c r="CW58" i="7"/>
  <c r="CO58" i="7"/>
  <c r="CG58" i="7"/>
  <c r="BY58" i="7"/>
  <c r="BQ58" i="7"/>
  <c r="BI58" i="7"/>
  <c r="BA58" i="7"/>
  <c r="AS58" i="7"/>
  <c r="AK58" i="7"/>
  <c r="AC58" i="7"/>
  <c r="U58" i="7"/>
  <c r="EC57" i="7"/>
  <c r="DU57" i="7"/>
  <c r="DM57" i="7"/>
  <c r="DE57" i="7"/>
  <c r="CW57" i="7"/>
  <c r="CO57" i="7"/>
  <c r="CG57" i="7"/>
  <c r="BY57" i="7"/>
  <c r="BQ57" i="7"/>
  <c r="BI57" i="7"/>
  <c r="BA57" i="7"/>
  <c r="AS57" i="7"/>
  <c r="AK57" i="7"/>
  <c r="AC57" i="7"/>
  <c r="U57" i="7"/>
  <c r="EC56" i="7"/>
  <c r="DU56" i="7"/>
  <c r="DM56" i="7"/>
  <c r="DE56" i="7"/>
  <c r="CW56" i="7"/>
  <c r="CO56" i="7"/>
  <c r="CG56" i="7"/>
  <c r="BY56" i="7"/>
  <c r="BQ56" i="7"/>
  <c r="BI56" i="7"/>
  <c r="BA56" i="7"/>
  <c r="AS56" i="7"/>
  <c r="AK56" i="7"/>
  <c r="AC56" i="7"/>
  <c r="DR154" i="6"/>
  <c r="DJ154" i="6"/>
  <c r="CL154" i="6"/>
  <c r="BN154" i="6"/>
  <c r="DY154" i="6"/>
  <c r="DQ154" i="6"/>
  <c r="DI154" i="6"/>
  <c r="DA154" i="6"/>
  <c r="CS154" i="6"/>
  <c r="CC154" i="6"/>
  <c r="BU154" i="6"/>
  <c r="BM154" i="6"/>
  <c r="BE154" i="6"/>
  <c r="AW154" i="6"/>
  <c r="AO154" i="6"/>
  <c r="AG154" i="6"/>
  <c r="Y154" i="6"/>
  <c r="Q154" i="6"/>
  <c r="EF154" i="6"/>
  <c r="DX154" i="6"/>
  <c r="DP154" i="6"/>
  <c r="DH154" i="6"/>
  <c r="CZ154" i="6"/>
  <c r="CR154" i="6"/>
  <c r="CJ154" i="6"/>
  <c r="CB154" i="6"/>
  <c r="BT154" i="6"/>
  <c r="BL154" i="6"/>
  <c r="BD154" i="6"/>
  <c r="AV154" i="6"/>
  <c r="AN154" i="6"/>
  <c r="AF154" i="6"/>
  <c r="X154" i="6"/>
  <c r="EE154" i="6"/>
  <c r="DO154" i="6"/>
  <c r="DG154" i="6"/>
  <c r="CQ154" i="6"/>
  <c r="CI154" i="6"/>
  <c r="BS154" i="6"/>
  <c r="BK154" i="6"/>
  <c r="AU154" i="6"/>
  <c r="AM154" i="6"/>
  <c r="AE154" i="6"/>
  <c r="W154" i="6"/>
  <c r="ED154" i="6"/>
  <c r="DV154" i="6"/>
  <c r="DN154" i="6"/>
  <c r="DF154" i="6"/>
  <c r="CX154" i="6"/>
  <c r="CP154" i="6"/>
  <c r="CH154" i="6"/>
  <c r="BZ154" i="6"/>
  <c r="BR154" i="6"/>
  <c r="BJ154" i="6"/>
  <c r="BB154" i="6"/>
  <c r="AT154" i="6"/>
  <c r="AL154" i="6"/>
  <c r="AD154" i="6"/>
  <c r="V154" i="6"/>
  <c r="DW154" i="6"/>
  <c r="CY154" i="6"/>
  <c r="CA154" i="6"/>
  <c r="BC154" i="6"/>
  <c r="EC154" i="6"/>
  <c r="DU154" i="6"/>
  <c r="DM154" i="6"/>
  <c r="DE154" i="6"/>
  <c r="CW154" i="6"/>
  <c r="CO154" i="6"/>
  <c r="CG154" i="6"/>
  <c r="BY154" i="6"/>
  <c r="BQ154" i="6"/>
  <c r="BI154" i="6"/>
  <c r="BA154" i="6"/>
  <c r="AS154" i="6"/>
  <c r="AK154" i="6"/>
  <c r="AC154" i="6"/>
  <c r="U154" i="6"/>
  <c r="EB154" i="6"/>
  <c r="DT154" i="6"/>
  <c r="DL154" i="6"/>
  <c r="DD154" i="6"/>
  <c r="CV154" i="6"/>
  <c r="CN154" i="6"/>
  <c r="CF154" i="6"/>
  <c r="BX154" i="6"/>
  <c r="BP154" i="6"/>
  <c r="BH154" i="6"/>
  <c r="AZ154" i="6"/>
  <c r="AR154" i="6"/>
  <c r="AJ154" i="6"/>
  <c r="AB154" i="6"/>
  <c r="T154" i="6"/>
  <c r="EA154" i="6"/>
  <c r="DS154" i="6"/>
  <c r="DK154" i="6"/>
  <c r="DC154" i="6"/>
  <c r="CU154" i="6"/>
  <c r="CM154" i="6"/>
  <c r="CE154" i="6"/>
  <c r="BW154" i="6"/>
  <c r="BO154" i="6"/>
  <c r="BG154" i="6"/>
  <c r="AY154" i="6"/>
  <c r="AQ154" i="6"/>
  <c r="AI154" i="6"/>
  <c r="AA154" i="6"/>
  <c r="S154" i="6"/>
  <c r="DZ154" i="6"/>
  <c r="CT154" i="6"/>
  <c r="CD154" i="6"/>
  <c r="BV154" i="6"/>
  <c r="BF154" i="6"/>
  <c r="AX154" i="6"/>
  <c r="AP154" i="6"/>
  <c r="AH154" i="6"/>
  <c r="Z154" i="6"/>
  <c r="R154" i="6"/>
  <c r="DB154" i="6"/>
  <c r="E174" i="8" l="1"/>
  <c r="A199" i="8" s="1"/>
  <c r="D392" i="8"/>
  <c r="G289" i="8"/>
  <c r="G288" i="8"/>
  <c r="J288" i="8" s="1"/>
  <c r="G241" i="8"/>
  <c r="G242" i="8"/>
  <c r="G212" i="8"/>
  <c r="G211" i="8"/>
  <c r="G272" i="8"/>
  <c r="G271" i="8"/>
  <c r="G221" i="8"/>
  <c r="G222" i="8"/>
  <c r="G302" i="8"/>
  <c r="G303" i="8"/>
  <c r="D320" i="8"/>
  <c r="D428" i="8"/>
  <c r="D356" i="8"/>
  <c r="G252" i="8"/>
  <c r="G251" i="8"/>
  <c r="G262" i="8"/>
  <c r="G261" i="8"/>
  <c r="D338" i="8"/>
  <c r="D374" i="8"/>
  <c r="G231" i="8"/>
  <c r="G232" i="8"/>
  <c r="D410" i="8"/>
  <c r="H326" i="14"/>
  <c r="D237" i="14"/>
  <c r="H308" i="14"/>
  <c r="D227" i="14"/>
  <c r="D217" i="14"/>
  <c r="H290" i="14"/>
  <c r="D249" i="14"/>
  <c r="H272" i="14"/>
  <c r="D207" i="14"/>
  <c r="D263" i="14"/>
  <c r="AH137" i="14" a="1"/>
  <c r="N150" i="7"/>
  <c r="D152" i="7" s="1"/>
  <c r="C173" i="7" s="1"/>
  <c r="E138" i="7" a="1"/>
  <c r="Y137" i="7" a="1"/>
  <c r="K773" i="4"/>
  <c r="F796" i="4"/>
  <c r="F795" i="4"/>
  <c r="C795" i="4"/>
  <c r="J792" i="4"/>
  <c r="G792" i="4"/>
  <c r="D793" i="4"/>
  <c r="D792" i="4"/>
  <c r="F789" i="4"/>
  <c r="C788" i="4"/>
  <c r="J785" i="4"/>
  <c r="G785" i="4"/>
  <c r="I771" i="4"/>
  <c r="I770" i="4"/>
  <c r="I769" i="4"/>
  <c r="K771" i="4"/>
  <c r="K769" i="4"/>
  <c r="D786" i="4"/>
  <c r="D785" i="4"/>
  <c r="J302" i="8" l="1"/>
  <c r="AH138" i="14"/>
  <c r="AH137" i="14"/>
  <c r="AH139" i="14"/>
  <c r="AH140" i="14"/>
  <c r="E139" i="7"/>
  <c r="H138" i="7"/>
  <c r="H139" i="7"/>
  <c r="G140" i="7"/>
  <c r="F141" i="7"/>
  <c r="G138" i="7"/>
  <c r="F139" i="7"/>
  <c r="F140" i="7"/>
  <c r="E141" i="7"/>
  <c r="F138" i="7"/>
  <c r="G141" i="7"/>
  <c r="E140" i="7"/>
  <c r="G139" i="7"/>
  <c r="E138" i="7"/>
  <c r="H140" i="7"/>
  <c r="H141" i="7"/>
  <c r="Y138" i="7"/>
  <c r="Y140" i="7"/>
  <c r="Y139" i="7"/>
  <c r="Y137" i="7"/>
  <c r="C777" i="4"/>
  <c r="C776" i="4"/>
  <c r="H212" i="14" l="1"/>
  <c r="H288" i="14"/>
  <c r="H324" i="14"/>
  <c r="H232" i="14"/>
  <c r="H306" i="14"/>
  <c r="H222" i="14"/>
  <c r="H270" i="14"/>
  <c r="D247" i="14"/>
  <c r="N156" i="14" a="1"/>
  <c r="H202" i="14"/>
  <c r="D261" i="14"/>
  <c r="B147" i="14"/>
  <c r="P138" i="7" a="1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I728" i="5" s="1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I696" i="5" s="1"/>
  <c r="H695" i="5"/>
  <c r="H694" i="5"/>
  <c r="H693" i="5"/>
  <c r="H692" i="5"/>
  <c r="H691" i="5"/>
  <c r="H690" i="5"/>
  <c r="H689" i="5"/>
  <c r="H688" i="5"/>
  <c r="I688" i="5" s="1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I664" i="5" s="1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759" i="5" s="1"/>
  <c r="H631" i="5"/>
  <c r="H630" i="5"/>
  <c r="H629" i="5"/>
  <c r="H628" i="5"/>
  <c r="H627" i="5"/>
  <c r="H626" i="5"/>
  <c r="I626" i="5" s="1"/>
  <c r="H625" i="5"/>
  <c r="H624" i="5"/>
  <c r="H623" i="5"/>
  <c r="H622" i="5"/>
  <c r="H621" i="5"/>
  <c r="H620" i="5"/>
  <c r="H619" i="5"/>
  <c r="H618" i="5"/>
  <c r="I618" i="5" s="1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I562" i="5" s="1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I538" i="5" s="1"/>
  <c r="H537" i="5"/>
  <c r="H536" i="5"/>
  <c r="H535" i="5"/>
  <c r="H534" i="5"/>
  <c r="H533" i="5"/>
  <c r="H532" i="5"/>
  <c r="H531" i="5"/>
  <c r="H530" i="5"/>
  <c r="I530" i="5" s="1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I514" i="5" s="1"/>
  <c r="H513" i="5"/>
  <c r="H512" i="5"/>
  <c r="H632" i="5" s="1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I492" i="5" s="1"/>
  <c r="H491" i="5"/>
  <c r="H490" i="5"/>
  <c r="H489" i="5"/>
  <c r="H488" i="5"/>
  <c r="H487" i="5"/>
  <c r="H486" i="5"/>
  <c r="H485" i="5"/>
  <c r="H484" i="5"/>
  <c r="I484" i="5" s="1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I468" i="5" s="1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I452" i="5" s="1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I420" i="5" s="1"/>
  <c r="H419" i="5"/>
  <c r="H418" i="5"/>
  <c r="H417" i="5"/>
  <c r="H416" i="5"/>
  <c r="H415" i="5"/>
  <c r="H414" i="5"/>
  <c r="H413" i="5"/>
  <c r="H412" i="5"/>
  <c r="I412" i="5" s="1"/>
  <c r="H411" i="5"/>
  <c r="H410" i="5"/>
  <c r="H409" i="5"/>
  <c r="H408" i="5"/>
  <c r="H407" i="5"/>
  <c r="H406" i="5"/>
  <c r="H405" i="5"/>
  <c r="H404" i="5"/>
  <c r="I404" i="5" s="1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I388" i="5" s="1"/>
  <c r="H387" i="5"/>
  <c r="H386" i="5"/>
  <c r="H385" i="5"/>
  <c r="H505" i="5" s="1"/>
  <c r="H377" i="5"/>
  <c r="H376" i="5"/>
  <c r="H375" i="5"/>
  <c r="H374" i="5"/>
  <c r="I374" i="5" s="1"/>
  <c r="H373" i="5"/>
  <c r="H372" i="5"/>
  <c r="H371" i="5"/>
  <c r="H370" i="5"/>
  <c r="H369" i="5"/>
  <c r="H368" i="5"/>
  <c r="H367" i="5"/>
  <c r="H366" i="5"/>
  <c r="I366" i="5" s="1"/>
  <c r="H365" i="5"/>
  <c r="H364" i="5"/>
  <c r="H363" i="5"/>
  <c r="H362" i="5"/>
  <c r="H361" i="5"/>
  <c r="H360" i="5"/>
  <c r="H359" i="5"/>
  <c r="H358" i="5"/>
  <c r="I358" i="5" s="1"/>
  <c r="H357" i="5"/>
  <c r="H356" i="5"/>
  <c r="H355" i="5"/>
  <c r="H354" i="5"/>
  <c r="H353" i="5"/>
  <c r="H352" i="5"/>
  <c r="H351" i="5"/>
  <c r="H350" i="5"/>
  <c r="I350" i="5" s="1"/>
  <c r="H349" i="5"/>
  <c r="H348" i="5"/>
  <c r="H347" i="5"/>
  <c r="H346" i="5"/>
  <c r="H345" i="5"/>
  <c r="H344" i="5"/>
  <c r="H343" i="5"/>
  <c r="H342" i="5"/>
  <c r="I342" i="5" s="1"/>
  <c r="H341" i="5"/>
  <c r="H340" i="5"/>
  <c r="H339" i="5"/>
  <c r="H338" i="5"/>
  <c r="H337" i="5"/>
  <c r="H336" i="5"/>
  <c r="H335" i="5"/>
  <c r="H334" i="5"/>
  <c r="I334" i="5" s="1"/>
  <c r="H333" i="5"/>
  <c r="H332" i="5"/>
  <c r="H331" i="5"/>
  <c r="H330" i="5"/>
  <c r="H329" i="5"/>
  <c r="H328" i="5"/>
  <c r="H327" i="5"/>
  <c r="H326" i="5"/>
  <c r="I326" i="5" s="1"/>
  <c r="H325" i="5"/>
  <c r="H324" i="5"/>
  <c r="H323" i="5"/>
  <c r="H322" i="5"/>
  <c r="H321" i="5"/>
  <c r="H320" i="5"/>
  <c r="H319" i="5"/>
  <c r="H318" i="5"/>
  <c r="I318" i="5" s="1"/>
  <c r="H317" i="5"/>
  <c r="H316" i="5"/>
  <c r="H315" i="5"/>
  <c r="H314" i="5"/>
  <c r="H313" i="5"/>
  <c r="H312" i="5"/>
  <c r="H311" i="5"/>
  <c r="H310" i="5"/>
  <c r="I310" i="5" s="1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I294" i="5" s="1"/>
  <c r="H293" i="5"/>
  <c r="H292" i="5"/>
  <c r="H291" i="5"/>
  <c r="H290" i="5"/>
  <c r="H289" i="5"/>
  <c r="H288" i="5"/>
  <c r="H287" i="5"/>
  <c r="H286" i="5"/>
  <c r="I286" i="5" s="1"/>
  <c r="H285" i="5"/>
  <c r="H284" i="5"/>
  <c r="H283" i="5"/>
  <c r="H282" i="5"/>
  <c r="H281" i="5"/>
  <c r="H280" i="5"/>
  <c r="H279" i="5"/>
  <c r="H278" i="5"/>
  <c r="I278" i="5" s="1"/>
  <c r="H277" i="5"/>
  <c r="H276" i="5"/>
  <c r="H275" i="5"/>
  <c r="H274" i="5"/>
  <c r="H273" i="5"/>
  <c r="H272" i="5"/>
  <c r="H271" i="5"/>
  <c r="H270" i="5"/>
  <c r="I270" i="5" s="1"/>
  <c r="H269" i="5"/>
  <c r="H268" i="5"/>
  <c r="H267" i="5"/>
  <c r="H266" i="5"/>
  <c r="H265" i="5"/>
  <c r="H264" i="5"/>
  <c r="H263" i="5"/>
  <c r="H262" i="5"/>
  <c r="I262" i="5" s="1"/>
  <c r="H261" i="5"/>
  <c r="H260" i="5"/>
  <c r="H259" i="5"/>
  <c r="H258" i="5"/>
  <c r="H378" i="5" s="1"/>
  <c r="H250" i="5"/>
  <c r="H249" i="5"/>
  <c r="H248" i="5"/>
  <c r="I248" i="5" s="1"/>
  <c r="H247" i="5"/>
  <c r="H246" i="5"/>
  <c r="H245" i="5"/>
  <c r="H244" i="5"/>
  <c r="H243" i="5"/>
  <c r="H242" i="5"/>
  <c r="H241" i="5"/>
  <c r="H240" i="5"/>
  <c r="I240" i="5" s="1"/>
  <c r="H239" i="5"/>
  <c r="H238" i="5"/>
  <c r="H237" i="5"/>
  <c r="H236" i="5"/>
  <c r="H235" i="5"/>
  <c r="H234" i="5"/>
  <c r="H233" i="5"/>
  <c r="H232" i="5"/>
  <c r="I232" i="5" s="1"/>
  <c r="H231" i="5"/>
  <c r="H230" i="5"/>
  <c r="H229" i="5"/>
  <c r="H228" i="5"/>
  <c r="H227" i="5"/>
  <c r="H226" i="5"/>
  <c r="H225" i="5"/>
  <c r="H224" i="5"/>
  <c r="I224" i="5" s="1"/>
  <c r="H223" i="5"/>
  <c r="H222" i="5"/>
  <c r="H221" i="5"/>
  <c r="H220" i="5"/>
  <c r="H219" i="5"/>
  <c r="H218" i="5"/>
  <c r="H217" i="5"/>
  <c r="H216" i="5"/>
  <c r="I216" i="5" s="1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I200" i="5" s="1"/>
  <c r="H199" i="5"/>
  <c r="H198" i="5"/>
  <c r="H197" i="5"/>
  <c r="H196" i="5"/>
  <c r="H195" i="5"/>
  <c r="H194" i="5"/>
  <c r="H193" i="5"/>
  <c r="H192" i="5"/>
  <c r="I192" i="5" s="1"/>
  <c r="H191" i="5"/>
  <c r="H190" i="5"/>
  <c r="H189" i="5"/>
  <c r="H188" i="5"/>
  <c r="H187" i="5"/>
  <c r="H186" i="5"/>
  <c r="H185" i="5"/>
  <c r="H184" i="5"/>
  <c r="I184" i="5" s="1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I152" i="5" s="1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I136" i="5" s="1"/>
  <c r="H135" i="5"/>
  <c r="H134" i="5"/>
  <c r="H133" i="5"/>
  <c r="H132" i="5"/>
  <c r="H131" i="5"/>
  <c r="H251" i="5" s="1"/>
  <c r="H123" i="5"/>
  <c r="H122" i="5"/>
  <c r="I122" i="5" s="1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I106" i="5" s="1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I90" i="5" s="1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I74" i="5" s="1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I58" i="5" s="1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I42" i="5" s="1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I26" i="5" s="1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I10" i="5" s="1"/>
  <c r="H9" i="5"/>
  <c r="H8" i="5"/>
  <c r="H7" i="5"/>
  <c r="H6" i="5"/>
  <c r="H5" i="5"/>
  <c r="H4" i="5"/>
  <c r="H124" i="5" s="1"/>
  <c r="Q675" i="5"/>
  <c r="Q548" i="5"/>
  <c r="Q421" i="5"/>
  <c r="Q294" i="5"/>
  <c r="Q167" i="5"/>
  <c r="Q40" i="5"/>
  <c r="G4" i="5"/>
  <c r="G758" i="5"/>
  <c r="I758" i="5" s="1"/>
  <c r="I757" i="5"/>
  <c r="G757" i="5"/>
  <c r="G756" i="5"/>
  <c r="I756" i="5" s="1"/>
  <c r="I755" i="5"/>
  <c r="G755" i="5"/>
  <c r="I754" i="5"/>
  <c r="G754" i="5"/>
  <c r="G753" i="5"/>
  <c r="I753" i="5" s="1"/>
  <c r="G752" i="5"/>
  <c r="I751" i="5"/>
  <c r="G751" i="5"/>
  <c r="G750" i="5"/>
  <c r="I750" i="5" s="1"/>
  <c r="I749" i="5"/>
  <c r="G749" i="5"/>
  <c r="G748" i="5"/>
  <c r="I748" i="5" s="1"/>
  <c r="I747" i="5"/>
  <c r="G747" i="5"/>
  <c r="I746" i="5"/>
  <c r="G746" i="5"/>
  <c r="G745" i="5"/>
  <c r="I745" i="5" s="1"/>
  <c r="G744" i="5"/>
  <c r="I743" i="5"/>
  <c r="G743" i="5"/>
  <c r="G742" i="5"/>
  <c r="I742" i="5" s="1"/>
  <c r="I741" i="5"/>
  <c r="G741" i="5"/>
  <c r="G740" i="5"/>
  <c r="I740" i="5" s="1"/>
  <c r="I739" i="5"/>
  <c r="G739" i="5"/>
  <c r="I738" i="5"/>
  <c r="G738" i="5"/>
  <c r="G737" i="5"/>
  <c r="I737" i="5" s="1"/>
  <c r="G736" i="5"/>
  <c r="I735" i="5"/>
  <c r="G735" i="5"/>
  <c r="G734" i="5"/>
  <c r="I734" i="5" s="1"/>
  <c r="I733" i="5"/>
  <c r="G733" i="5"/>
  <c r="G732" i="5"/>
  <c r="I732" i="5" s="1"/>
  <c r="I731" i="5"/>
  <c r="G731" i="5"/>
  <c r="I730" i="5"/>
  <c r="G730" i="5"/>
  <c r="G729" i="5"/>
  <c r="I729" i="5" s="1"/>
  <c r="G728" i="5"/>
  <c r="I727" i="5"/>
  <c r="G727" i="5"/>
  <c r="G726" i="5"/>
  <c r="I726" i="5" s="1"/>
  <c r="I725" i="5"/>
  <c r="G725" i="5"/>
  <c r="G724" i="5"/>
  <c r="I724" i="5" s="1"/>
  <c r="I723" i="5"/>
  <c r="G723" i="5"/>
  <c r="I722" i="5"/>
  <c r="G722" i="5"/>
  <c r="G721" i="5"/>
  <c r="I721" i="5" s="1"/>
  <c r="G720" i="5"/>
  <c r="I720" i="5" s="1"/>
  <c r="I719" i="5"/>
  <c r="G719" i="5"/>
  <c r="G718" i="5"/>
  <c r="I718" i="5" s="1"/>
  <c r="I717" i="5"/>
  <c r="G717" i="5"/>
  <c r="G716" i="5"/>
  <c r="I716" i="5" s="1"/>
  <c r="I715" i="5"/>
  <c r="G715" i="5"/>
  <c r="I714" i="5"/>
  <c r="G714" i="5"/>
  <c r="G713" i="5"/>
  <c r="I713" i="5" s="1"/>
  <c r="G712" i="5"/>
  <c r="I711" i="5"/>
  <c r="G711" i="5"/>
  <c r="G710" i="5"/>
  <c r="I710" i="5" s="1"/>
  <c r="I709" i="5"/>
  <c r="G709" i="5"/>
  <c r="G708" i="5"/>
  <c r="I708" i="5" s="1"/>
  <c r="I707" i="5"/>
  <c r="G707" i="5"/>
  <c r="I706" i="5"/>
  <c r="G706" i="5"/>
  <c r="G705" i="5"/>
  <c r="I705" i="5" s="1"/>
  <c r="G704" i="5"/>
  <c r="I704" i="5" s="1"/>
  <c r="I703" i="5"/>
  <c r="G703" i="5"/>
  <c r="G702" i="5"/>
  <c r="I702" i="5" s="1"/>
  <c r="I701" i="5"/>
  <c r="G701" i="5"/>
  <c r="G700" i="5"/>
  <c r="I700" i="5" s="1"/>
  <c r="I699" i="5"/>
  <c r="G699" i="5"/>
  <c r="I698" i="5"/>
  <c r="G698" i="5"/>
  <c r="G697" i="5"/>
  <c r="I697" i="5" s="1"/>
  <c r="G696" i="5"/>
  <c r="I695" i="5"/>
  <c r="G695" i="5"/>
  <c r="G694" i="5"/>
  <c r="I694" i="5" s="1"/>
  <c r="I693" i="5"/>
  <c r="G693" i="5"/>
  <c r="G692" i="5"/>
  <c r="I692" i="5" s="1"/>
  <c r="I691" i="5"/>
  <c r="G691" i="5"/>
  <c r="I690" i="5"/>
  <c r="G690" i="5"/>
  <c r="G689" i="5"/>
  <c r="I689" i="5" s="1"/>
  <c r="G688" i="5"/>
  <c r="I687" i="5"/>
  <c r="G687" i="5"/>
  <c r="G686" i="5"/>
  <c r="I686" i="5" s="1"/>
  <c r="I685" i="5"/>
  <c r="G685" i="5"/>
  <c r="G684" i="5"/>
  <c r="I684" i="5" s="1"/>
  <c r="I683" i="5"/>
  <c r="G683" i="5"/>
  <c r="I682" i="5"/>
  <c r="G682" i="5"/>
  <c r="G681" i="5"/>
  <c r="I681" i="5" s="1"/>
  <c r="G680" i="5"/>
  <c r="I679" i="5"/>
  <c r="G679" i="5"/>
  <c r="G678" i="5"/>
  <c r="I678" i="5" s="1"/>
  <c r="I677" i="5"/>
  <c r="G677" i="5"/>
  <c r="G676" i="5"/>
  <c r="I676" i="5" s="1"/>
  <c r="I675" i="5"/>
  <c r="G675" i="5"/>
  <c r="I674" i="5"/>
  <c r="G674" i="5"/>
  <c r="G673" i="5"/>
  <c r="I673" i="5" s="1"/>
  <c r="G672" i="5"/>
  <c r="I671" i="5"/>
  <c r="G671" i="5"/>
  <c r="G670" i="5"/>
  <c r="I670" i="5" s="1"/>
  <c r="I669" i="5"/>
  <c r="G669" i="5"/>
  <c r="G668" i="5"/>
  <c r="I668" i="5" s="1"/>
  <c r="I667" i="5"/>
  <c r="G667" i="5"/>
  <c r="I666" i="5"/>
  <c r="G666" i="5"/>
  <c r="G665" i="5"/>
  <c r="I665" i="5" s="1"/>
  <c r="G664" i="5"/>
  <c r="I663" i="5"/>
  <c r="G663" i="5"/>
  <c r="G662" i="5"/>
  <c r="I662" i="5" s="1"/>
  <c r="I661" i="5"/>
  <c r="G661" i="5"/>
  <c r="G660" i="5"/>
  <c r="I660" i="5" s="1"/>
  <c r="I659" i="5"/>
  <c r="G659" i="5"/>
  <c r="I658" i="5"/>
  <c r="G658" i="5"/>
  <c r="G657" i="5"/>
  <c r="I657" i="5" s="1"/>
  <c r="G656" i="5"/>
  <c r="I655" i="5"/>
  <c r="G655" i="5"/>
  <c r="G654" i="5"/>
  <c r="I654" i="5" s="1"/>
  <c r="I653" i="5"/>
  <c r="G653" i="5"/>
  <c r="G652" i="5"/>
  <c r="I652" i="5" s="1"/>
  <c r="I651" i="5"/>
  <c r="G651" i="5"/>
  <c r="I650" i="5"/>
  <c r="G650" i="5"/>
  <c r="G649" i="5"/>
  <c r="I649" i="5" s="1"/>
  <c r="G648" i="5"/>
  <c r="I647" i="5"/>
  <c r="G647" i="5"/>
  <c r="G646" i="5"/>
  <c r="I646" i="5" s="1"/>
  <c r="I645" i="5"/>
  <c r="G645" i="5"/>
  <c r="G644" i="5"/>
  <c r="I644" i="5" s="1"/>
  <c r="I643" i="5"/>
  <c r="G643" i="5"/>
  <c r="I642" i="5"/>
  <c r="G642" i="5"/>
  <c r="G641" i="5"/>
  <c r="I641" i="5" s="1"/>
  <c r="G640" i="5"/>
  <c r="I639" i="5"/>
  <c r="G639" i="5"/>
  <c r="I631" i="5"/>
  <c r="G631" i="5"/>
  <c r="G630" i="5"/>
  <c r="I630" i="5" s="1"/>
  <c r="I629" i="5"/>
  <c r="G629" i="5"/>
  <c r="I628" i="5"/>
  <c r="G628" i="5"/>
  <c r="G627" i="5"/>
  <c r="I627" i="5" s="1"/>
  <c r="G626" i="5"/>
  <c r="I625" i="5"/>
  <c r="G625" i="5"/>
  <c r="G624" i="5"/>
  <c r="I624" i="5" s="1"/>
  <c r="I623" i="5"/>
  <c r="G623" i="5"/>
  <c r="G622" i="5"/>
  <c r="I622" i="5" s="1"/>
  <c r="I621" i="5"/>
  <c r="G621" i="5"/>
  <c r="I620" i="5"/>
  <c r="G620" i="5"/>
  <c r="G619" i="5"/>
  <c r="I619" i="5" s="1"/>
  <c r="G618" i="5"/>
  <c r="I617" i="5"/>
  <c r="G617" i="5"/>
  <c r="G616" i="5"/>
  <c r="I616" i="5" s="1"/>
  <c r="I615" i="5"/>
  <c r="G615" i="5"/>
  <c r="G614" i="5"/>
  <c r="I614" i="5" s="1"/>
  <c r="I613" i="5"/>
  <c r="G613" i="5"/>
  <c r="I612" i="5"/>
  <c r="G612" i="5"/>
  <c r="G611" i="5"/>
  <c r="I611" i="5" s="1"/>
  <c r="G610" i="5"/>
  <c r="I610" i="5" s="1"/>
  <c r="I609" i="5"/>
  <c r="G609" i="5"/>
  <c r="G608" i="5"/>
  <c r="I608" i="5" s="1"/>
  <c r="I607" i="5"/>
  <c r="G607" i="5"/>
  <c r="G606" i="5"/>
  <c r="I606" i="5" s="1"/>
  <c r="I605" i="5"/>
  <c r="G605" i="5"/>
  <c r="I604" i="5"/>
  <c r="G604" i="5"/>
  <c r="G603" i="5"/>
  <c r="I603" i="5" s="1"/>
  <c r="G602" i="5"/>
  <c r="I601" i="5"/>
  <c r="G601" i="5"/>
  <c r="G600" i="5"/>
  <c r="I600" i="5" s="1"/>
  <c r="I599" i="5"/>
  <c r="G599" i="5"/>
  <c r="G598" i="5"/>
  <c r="I598" i="5" s="1"/>
  <c r="I597" i="5"/>
  <c r="G597" i="5"/>
  <c r="I596" i="5"/>
  <c r="G596" i="5"/>
  <c r="G595" i="5"/>
  <c r="I595" i="5" s="1"/>
  <c r="I594" i="5"/>
  <c r="G594" i="5"/>
  <c r="I593" i="5"/>
  <c r="G593" i="5"/>
  <c r="G592" i="5"/>
  <c r="I592" i="5" s="1"/>
  <c r="I591" i="5"/>
  <c r="G591" i="5"/>
  <c r="G590" i="5"/>
  <c r="I590" i="5" s="1"/>
  <c r="I589" i="5"/>
  <c r="G589" i="5"/>
  <c r="I588" i="5"/>
  <c r="G588" i="5"/>
  <c r="G587" i="5"/>
  <c r="I587" i="5" s="1"/>
  <c r="G586" i="5"/>
  <c r="I585" i="5"/>
  <c r="G585" i="5"/>
  <c r="G584" i="5"/>
  <c r="I584" i="5" s="1"/>
  <c r="I583" i="5"/>
  <c r="G583" i="5"/>
  <c r="G582" i="5"/>
  <c r="I582" i="5" s="1"/>
  <c r="I581" i="5"/>
  <c r="G581" i="5"/>
  <c r="I580" i="5"/>
  <c r="G580" i="5"/>
  <c r="G579" i="5"/>
  <c r="I579" i="5" s="1"/>
  <c r="G578" i="5"/>
  <c r="I577" i="5"/>
  <c r="G577" i="5"/>
  <c r="I576" i="5"/>
  <c r="G576" i="5"/>
  <c r="I575" i="5"/>
  <c r="G575" i="5"/>
  <c r="G574" i="5"/>
  <c r="I574" i="5" s="1"/>
  <c r="I573" i="5"/>
  <c r="G573" i="5"/>
  <c r="I572" i="5"/>
  <c r="G572" i="5"/>
  <c r="G571" i="5"/>
  <c r="I571" i="5" s="1"/>
  <c r="G570" i="5"/>
  <c r="I569" i="5"/>
  <c r="G569" i="5"/>
  <c r="I568" i="5"/>
  <c r="G568" i="5"/>
  <c r="I567" i="5"/>
  <c r="G567" i="5"/>
  <c r="G566" i="5"/>
  <c r="I566" i="5" s="1"/>
  <c r="I565" i="5"/>
  <c r="G565" i="5"/>
  <c r="I564" i="5"/>
  <c r="G564" i="5"/>
  <c r="G563" i="5"/>
  <c r="I563" i="5" s="1"/>
  <c r="G562" i="5"/>
  <c r="I561" i="5"/>
  <c r="G561" i="5"/>
  <c r="G560" i="5"/>
  <c r="I560" i="5" s="1"/>
  <c r="I559" i="5"/>
  <c r="G559" i="5"/>
  <c r="G558" i="5"/>
  <c r="I558" i="5" s="1"/>
  <c r="I557" i="5"/>
  <c r="G557" i="5"/>
  <c r="I556" i="5"/>
  <c r="G556" i="5"/>
  <c r="G555" i="5"/>
  <c r="I555" i="5" s="1"/>
  <c r="I554" i="5"/>
  <c r="G554" i="5"/>
  <c r="I553" i="5"/>
  <c r="G553" i="5"/>
  <c r="G552" i="5"/>
  <c r="I552" i="5" s="1"/>
  <c r="I551" i="5"/>
  <c r="G551" i="5"/>
  <c r="G550" i="5"/>
  <c r="I550" i="5" s="1"/>
  <c r="I549" i="5"/>
  <c r="G549" i="5"/>
  <c r="I548" i="5"/>
  <c r="G548" i="5"/>
  <c r="G547" i="5"/>
  <c r="I547" i="5" s="1"/>
  <c r="G546" i="5"/>
  <c r="I545" i="5"/>
  <c r="G545" i="5"/>
  <c r="G544" i="5"/>
  <c r="I544" i="5" s="1"/>
  <c r="I543" i="5"/>
  <c r="G543" i="5"/>
  <c r="G542" i="5"/>
  <c r="I542" i="5" s="1"/>
  <c r="I541" i="5"/>
  <c r="G541" i="5"/>
  <c r="I540" i="5"/>
  <c r="G540" i="5"/>
  <c r="G539" i="5"/>
  <c r="I539" i="5" s="1"/>
  <c r="G538" i="5"/>
  <c r="I537" i="5"/>
  <c r="G537" i="5"/>
  <c r="I536" i="5"/>
  <c r="G536" i="5"/>
  <c r="G535" i="5"/>
  <c r="I535" i="5" s="1"/>
  <c r="G534" i="5"/>
  <c r="I534" i="5" s="1"/>
  <c r="I533" i="5"/>
  <c r="G533" i="5"/>
  <c r="I532" i="5"/>
  <c r="G532" i="5"/>
  <c r="G531" i="5"/>
  <c r="I531" i="5" s="1"/>
  <c r="G530" i="5"/>
  <c r="I529" i="5"/>
  <c r="G529" i="5"/>
  <c r="I528" i="5"/>
  <c r="G528" i="5"/>
  <c r="I527" i="5"/>
  <c r="G527" i="5"/>
  <c r="G526" i="5"/>
  <c r="I526" i="5" s="1"/>
  <c r="I525" i="5"/>
  <c r="G525" i="5"/>
  <c r="I524" i="5"/>
  <c r="G524" i="5"/>
  <c r="G523" i="5"/>
  <c r="I523" i="5" s="1"/>
  <c r="G522" i="5"/>
  <c r="I521" i="5"/>
  <c r="G521" i="5"/>
  <c r="I520" i="5"/>
  <c r="G520" i="5"/>
  <c r="I519" i="5"/>
  <c r="G519" i="5"/>
  <c r="G518" i="5"/>
  <c r="I518" i="5" s="1"/>
  <c r="I517" i="5"/>
  <c r="G517" i="5"/>
  <c r="I516" i="5"/>
  <c r="G516" i="5"/>
  <c r="G515" i="5"/>
  <c r="I515" i="5" s="1"/>
  <c r="G514" i="5"/>
  <c r="I513" i="5"/>
  <c r="G513" i="5"/>
  <c r="I504" i="5"/>
  <c r="G504" i="5"/>
  <c r="I503" i="5"/>
  <c r="G503" i="5"/>
  <c r="G502" i="5"/>
  <c r="I502" i="5" s="1"/>
  <c r="G501" i="5"/>
  <c r="I501" i="5" s="1"/>
  <c r="G500" i="5"/>
  <c r="I499" i="5"/>
  <c r="G499" i="5"/>
  <c r="G498" i="5"/>
  <c r="I498" i="5" s="1"/>
  <c r="I497" i="5"/>
  <c r="G497" i="5"/>
  <c r="I496" i="5"/>
  <c r="G496" i="5"/>
  <c r="I495" i="5"/>
  <c r="G495" i="5"/>
  <c r="I494" i="5"/>
  <c r="G494" i="5"/>
  <c r="G493" i="5"/>
  <c r="I493" i="5" s="1"/>
  <c r="G492" i="5"/>
  <c r="I491" i="5"/>
  <c r="G491" i="5"/>
  <c r="I490" i="5"/>
  <c r="G490" i="5"/>
  <c r="G489" i="5"/>
  <c r="I489" i="5" s="1"/>
  <c r="G488" i="5"/>
  <c r="I488" i="5" s="1"/>
  <c r="I487" i="5"/>
  <c r="G487" i="5"/>
  <c r="G486" i="5"/>
  <c r="I486" i="5" s="1"/>
  <c r="G485" i="5"/>
  <c r="I485" i="5" s="1"/>
  <c r="G484" i="5"/>
  <c r="I483" i="5"/>
  <c r="G483" i="5"/>
  <c r="I482" i="5"/>
  <c r="G482" i="5"/>
  <c r="I481" i="5"/>
  <c r="G481" i="5"/>
  <c r="G480" i="5"/>
  <c r="I480" i="5" s="1"/>
  <c r="I479" i="5"/>
  <c r="G479" i="5"/>
  <c r="I478" i="5"/>
  <c r="G478" i="5"/>
  <c r="G477" i="5"/>
  <c r="I477" i="5" s="1"/>
  <c r="G476" i="5"/>
  <c r="I475" i="5"/>
  <c r="G475" i="5"/>
  <c r="I474" i="5"/>
  <c r="G474" i="5"/>
  <c r="G473" i="5"/>
  <c r="I473" i="5" s="1"/>
  <c r="G472" i="5"/>
  <c r="I472" i="5" s="1"/>
  <c r="I471" i="5"/>
  <c r="G471" i="5"/>
  <c r="G470" i="5"/>
  <c r="I470" i="5" s="1"/>
  <c r="G469" i="5"/>
  <c r="I469" i="5" s="1"/>
  <c r="G468" i="5"/>
  <c r="I467" i="5"/>
  <c r="G467" i="5"/>
  <c r="I466" i="5"/>
  <c r="G466" i="5"/>
  <c r="I465" i="5"/>
  <c r="G465" i="5"/>
  <c r="G464" i="5"/>
  <c r="I464" i="5" s="1"/>
  <c r="I463" i="5"/>
  <c r="G463" i="5"/>
  <c r="I462" i="5"/>
  <c r="G462" i="5"/>
  <c r="G461" i="5"/>
  <c r="I461" i="5" s="1"/>
  <c r="G460" i="5"/>
  <c r="I459" i="5"/>
  <c r="G459" i="5"/>
  <c r="I458" i="5"/>
  <c r="G458" i="5"/>
  <c r="G457" i="5"/>
  <c r="I457" i="5" s="1"/>
  <c r="G456" i="5"/>
  <c r="I456" i="5" s="1"/>
  <c r="I455" i="5"/>
  <c r="G455" i="5"/>
  <c r="G454" i="5"/>
  <c r="I454" i="5" s="1"/>
  <c r="G453" i="5"/>
  <c r="I453" i="5" s="1"/>
  <c r="G452" i="5"/>
  <c r="I451" i="5"/>
  <c r="G451" i="5"/>
  <c r="I450" i="5"/>
  <c r="G450" i="5"/>
  <c r="I449" i="5"/>
  <c r="G449" i="5"/>
  <c r="G448" i="5"/>
  <c r="I448" i="5" s="1"/>
  <c r="I447" i="5"/>
  <c r="G447" i="5"/>
  <c r="I446" i="5"/>
  <c r="G446" i="5"/>
  <c r="G445" i="5"/>
  <c r="I445" i="5" s="1"/>
  <c r="G444" i="5"/>
  <c r="I443" i="5"/>
  <c r="G443" i="5"/>
  <c r="I442" i="5"/>
  <c r="G442" i="5"/>
  <c r="G441" i="5"/>
  <c r="I441" i="5" s="1"/>
  <c r="G440" i="5"/>
  <c r="I440" i="5" s="1"/>
  <c r="I439" i="5"/>
  <c r="G439" i="5"/>
  <c r="G438" i="5"/>
  <c r="I438" i="5" s="1"/>
  <c r="G437" i="5"/>
  <c r="I437" i="5" s="1"/>
  <c r="I436" i="5"/>
  <c r="G436" i="5"/>
  <c r="I435" i="5"/>
  <c r="G435" i="5"/>
  <c r="I434" i="5"/>
  <c r="G434" i="5"/>
  <c r="I433" i="5"/>
  <c r="G433" i="5"/>
  <c r="G432" i="5"/>
  <c r="I432" i="5" s="1"/>
  <c r="I431" i="5"/>
  <c r="G431" i="5"/>
  <c r="I430" i="5"/>
  <c r="G430" i="5"/>
  <c r="G429" i="5"/>
  <c r="I429" i="5" s="1"/>
  <c r="G428" i="5"/>
  <c r="I427" i="5"/>
  <c r="G427" i="5"/>
  <c r="I426" i="5"/>
  <c r="G426" i="5"/>
  <c r="G425" i="5"/>
  <c r="I425" i="5" s="1"/>
  <c r="G424" i="5"/>
  <c r="I424" i="5" s="1"/>
  <c r="I423" i="5"/>
  <c r="G423" i="5"/>
  <c r="G422" i="5"/>
  <c r="I422" i="5" s="1"/>
  <c r="G421" i="5"/>
  <c r="I421" i="5" s="1"/>
  <c r="G420" i="5"/>
  <c r="I419" i="5"/>
  <c r="G419" i="5"/>
  <c r="I418" i="5"/>
  <c r="G418" i="5"/>
  <c r="I417" i="5"/>
  <c r="G417" i="5"/>
  <c r="G416" i="5"/>
  <c r="I416" i="5" s="1"/>
  <c r="I415" i="5"/>
  <c r="G415" i="5"/>
  <c r="I414" i="5"/>
  <c r="G414" i="5"/>
  <c r="G413" i="5"/>
  <c r="I413" i="5" s="1"/>
  <c r="G412" i="5"/>
  <c r="I411" i="5"/>
  <c r="G411" i="5"/>
  <c r="I410" i="5"/>
  <c r="G410" i="5"/>
  <c r="G409" i="5"/>
  <c r="I409" i="5" s="1"/>
  <c r="I408" i="5"/>
  <c r="G408" i="5"/>
  <c r="G407" i="5"/>
  <c r="I407" i="5" s="1"/>
  <c r="G406" i="5"/>
  <c r="I406" i="5" s="1"/>
  <c r="G405" i="5"/>
  <c r="I405" i="5" s="1"/>
  <c r="G404" i="5"/>
  <c r="I403" i="5"/>
  <c r="G403" i="5"/>
  <c r="I402" i="5"/>
  <c r="G402" i="5"/>
  <c r="G401" i="5"/>
  <c r="I401" i="5" s="1"/>
  <c r="I400" i="5"/>
  <c r="G400" i="5"/>
  <c r="G399" i="5"/>
  <c r="I399" i="5" s="1"/>
  <c r="I398" i="5"/>
  <c r="G398" i="5"/>
  <c r="G397" i="5"/>
  <c r="I397" i="5" s="1"/>
  <c r="I396" i="5"/>
  <c r="G396" i="5"/>
  <c r="I395" i="5"/>
  <c r="G395" i="5"/>
  <c r="I394" i="5"/>
  <c r="G394" i="5"/>
  <c r="G393" i="5"/>
  <c r="I393" i="5" s="1"/>
  <c r="I392" i="5"/>
  <c r="G392" i="5"/>
  <c r="G391" i="5"/>
  <c r="I391" i="5" s="1"/>
  <c r="I390" i="5"/>
  <c r="G390" i="5"/>
  <c r="G389" i="5"/>
  <c r="I389" i="5" s="1"/>
  <c r="G388" i="5"/>
  <c r="I387" i="5"/>
  <c r="G387" i="5"/>
  <c r="I386" i="5"/>
  <c r="G386" i="5"/>
  <c r="G385" i="5"/>
  <c r="G377" i="5"/>
  <c r="I377" i="5" s="1"/>
  <c r="G376" i="5"/>
  <c r="I376" i="5" s="1"/>
  <c r="G375" i="5"/>
  <c r="I375" i="5" s="1"/>
  <c r="G374" i="5"/>
  <c r="I373" i="5"/>
  <c r="G373" i="5"/>
  <c r="I372" i="5"/>
  <c r="G372" i="5"/>
  <c r="G371" i="5"/>
  <c r="I371" i="5" s="1"/>
  <c r="I370" i="5"/>
  <c r="G370" i="5"/>
  <c r="G369" i="5"/>
  <c r="I369" i="5" s="1"/>
  <c r="I368" i="5"/>
  <c r="G368" i="5"/>
  <c r="G367" i="5"/>
  <c r="I367" i="5" s="1"/>
  <c r="G366" i="5"/>
  <c r="I365" i="5"/>
  <c r="G365" i="5"/>
  <c r="I364" i="5"/>
  <c r="G364" i="5"/>
  <c r="G363" i="5"/>
  <c r="I363" i="5" s="1"/>
  <c r="I362" i="5"/>
  <c r="G362" i="5"/>
  <c r="G361" i="5"/>
  <c r="I361" i="5" s="1"/>
  <c r="I360" i="5"/>
  <c r="G360" i="5"/>
  <c r="G359" i="5"/>
  <c r="I359" i="5" s="1"/>
  <c r="G358" i="5"/>
  <c r="I357" i="5"/>
  <c r="G357" i="5"/>
  <c r="I356" i="5"/>
  <c r="G356" i="5"/>
  <c r="G355" i="5"/>
  <c r="I355" i="5" s="1"/>
  <c r="I354" i="5"/>
  <c r="G354" i="5"/>
  <c r="G353" i="5"/>
  <c r="I353" i="5" s="1"/>
  <c r="G352" i="5"/>
  <c r="I352" i="5" s="1"/>
  <c r="G351" i="5"/>
  <c r="I351" i="5" s="1"/>
  <c r="G350" i="5"/>
  <c r="I349" i="5"/>
  <c r="G349" i="5"/>
  <c r="I348" i="5"/>
  <c r="G348" i="5"/>
  <c r="G347" i="5"/>
  <c r="I347" i="5" s="1"/>
  <c r="I346" i="5"/>
  <c r="G346" i="5"/>
  <c r="G345" i="5"/>
  <c r="I345" i="5" s="1"/>
  <c r="G344" i="5"/>
  <c r="I344" i="5" s="1"/>
  <c r="G343" i="5"/>
  <c r="I343" i="5" s="1"/>
  <c r="G342" i="5"/>
  <c r="I341" i="5"/>
  <c r="G341" i="5"/>
  <c r="I340" i="5"/>
  <c r="G340" i="5"/>
  <c r="G339" i="5"/>
  <c r="I339" i="5" s="1"/>
  <c r="I338" i="5"/>
  <c r="G338" i="5"/>
  <c r="G337" i="5"/>
  <c r="I337" i="5" s="1"/>
  <c r="I336" i="5"/>
  <c r="G336" i="5"/>
  <c r="G335" i="5"/>
  <c r="I335" i="5" s="1"/>
  <c r="G334" i="5"/>
  <c r="I333" i="5"/>
  <c r="G333" i="5"/>
  <c r="I332" i="5"/>
  <c r="G332" i="5"/>
  <c r="G331" i="5"/>
  <c r="I331" i="5" s="1"/>
  <c r="I330" i="5"/>
  <c r="G330" i="5"/>
  <c r="G329" i="5"/>
  <c r="I329" i="5" s="1"/>
  <c r="I328" i="5"/>
  <c r="G328" i="5"/>
  <c r="G327" i="5"/>
  <c r="I327" i="5" s="1"/>
  <c r="G326" i="5"/>
  <c r="I325" i="5"/>
  <c r="G325" i="5"/>
  <c r="I324" i="5"/>
  <c r="G324" i="5"/>
  <c r="G323" i="5"/>
  <c r="I323" i="5" s="1"/>
  <c r="I322" i="5"/>
  <c r="G322" i="5"/>
  <c r="G321" i="5"/>
  <c r="I321" i="5" s="1"/>
  <c r="G320" i="5"/>
  <c r="I320" i="5" s="1"/>
  <c r="G319" i="5"/>
  <c r="I319" i="5" s="1"/>
  <c r="G318" i="5"/>
  <c r="I317" i="5"/>
  <c r="G317" i="5"/>
  <c r="I316" i="5"/>
  <c r="G316" i="5"/>
  <c r="G315" i="5"/>
  <c r="I315" i="5" s="1"/>
  <c r="I314" i="5"/>
  <c r="G314" i="5"/>
  <c r="G313" i="5"/>
  <c r="I313" i="5" s="1"/>
  <c r="G312" i="5"/>
  <c r="I312" i="5" s="1"/>
  <c r="G311" i="5"/>
  <c r="I311" i="5" s="1"/>
  <c r="G310" i="5"/>
  <c r="I309" i="5"/>
  <c r="G309" i="5"/>
  <c r="I308" i="5"/>
  <c r="G308" i="5"/>
  <c r="G307" i="5"/>
  <c r="I307" i="5" s="1"/>
  <c r="I306" i="5"/>
  <c r="G306" i="5"/>
  <c r="G305" i="5"/>
  <c r="I305" i="5" s="1"/>
  <c r="I304" i="5"/>
  <c r="G304" i="5"/>
  <c r="G303" i="5"/>
  <c r="I303" i="5" s="1"/>
  <c r="I302" i="5"/>
  <c r="G302" i="5"/>
  <c r="I301" i="5"/>
  <c r="G301" i="5"/>
  <c r="I300" i="5"/>
  <c r="G300" i="5"/>
  <c r="G299" i="5"/>
  <c r="I299" i="5" s="1"/>
  <c r="I298" i="5"/>
  <c r="G298" i="5"/>
  <c r="G297" i="5"/>
  <c r="I297" i="5" s="1"/>
  <c r="I296" i="5"/>
  <c r="G296" i="5"/>
  <c r="G295" i="5"/>
  <c r="I295" i="5" s="1"/>
  <c r="G294" i="5"/>
  <c r="I293" i="5"/>
  <c r="G293" i="5"/>
  <c r="I292" i="5"/>
  <c r="G292" i="5"/>
  <c r="G291" i="5"/>
  <c r="I291" i="5" s="1"/>
  <c r="I290" i="5"/>
  <c r="G290" i="5"/>
  <c r="G289" i="5"/>
  <c r="I289" i="5" s="1"/>
  <c r="G288" i="5"/>
  <c r="I288" i="5" s="1"/>
  <c r="I287" i="5"/>
  <c r="G287" i="5"/>
  <c r="G286" i="5"/>
  <c r="G285" i="5"/>
  <c r="I285" i="5" s="1"/>
  <c r="I284" i="5"/>
  <c r="G284" i="5"/>
  <c r="G283" i="5"/>
  <c r="I283" i="5" s="1"/>
  <c r="I282" i="5"/>
  <c r="G282" i="5"/>
  <c r="G281" i="5"/>
  <c r="I281" i="5" s="1"/>
  <c r="I280" i="5"/>
  <c r="G280" i="5"/>
  <c r="G279" i="5"/>
  <c r="I279" i="5" s="1"/>
  <c r="G278" i="5"/>
  <c r="G277" i="5"/>
  <c r="I277" i="5" s="1"/>
  <c r="I276" i="5"/>
  <c r="G276" i="5"/>
  <c r="G275" i="5"/>
  <c r="I275" i="5" s="1"/>
  <c r="I274" i="5"/>
  <c r="G274" i="5"/>
  <c r="I273" i="5"/>
  <c r="G273" i="5"/>
  <c r="G272" i="5"/>
  <c r="I272" i="5" s="1"/>
  <c r="I271" i="5"/>
  <c r="G271" i="5"/>
  <c r="G270" i="5"/>
  <c r="I269" i="5"/>
  <c r="G269" i="5"/>
  <c r="I268" i="5"/>
  <c r="G268" i="5"/>
  <c r="I267" i="5"/>
  <c r="G267" i="5"/>
  <c r="I266" i="5"/>
  <c r="G266" i="5"/>
  <c r="G265" i="5"/>
  <c r="I265" i="5" s="1"/>
  <c r="I264" i="5"/>
  <c r="G264" i="5"/>
  <c r="G263" i="5"/>
  <c r="I263" i="5" s="1"/>
  <c r="G262" i="5"/>
  <c r="G261" i="5"/>
  <c r="I261" i="5" s="1"/>
  <c r="I260" i="5"/>
  <c r="G260" i="5"/>
  <c r="G259" i="5"/>
  <c r="I259" i="5" s="1"/>
  <c r="I258" i="5"/>
  <c r="G258" i="5"/>
  <c r="G250" i="5"/>
  <c r="I250" i="5" s="1"/>
  <c r="I249" i="5"/>
  <c r="G249" i="5"/>
  <c r="G248" i="5"/>
  <c r="I247" i="5"/>
  <c r="G247" i="5"/>
  <c r="I246" i="5"/>
  <c r="G246" i="5"/>
  <c r="I245" i="5"/>
  <c r="G245" i="5"/>
  <c r="I244" i="5"/>
  <c r="G244" i="5"/>
  <c r="G243" i="5"/>
  <c r="I243" i="5" s="1"/>
  <c r="I242" i="5"/>
  <c r="G242" i="5"/>
  <c r="G241" i="5"/>
  <c r="I241" i="5" s="1"/>
  <c r="G240" i="5"/>
  <c r="G239" i="5"/>
  <c r="I239" i="5" s="1"/>
  <c r="I238" i="5"/>
  <c r="G238" i="5"/>
  <c r="G237" i="5"/>
  <c r="I237" i="5" s="1"/>
  <c r="I236" i="5"/>
  <c r="G236" i="5"/>
  <c r="I235" i="5"/>
  <c r="G235" i="5"/>
  <c r="G234" i="5"/>
  <c r="I234" i="5" s="1"/>
  <c r="I233" i="5"/>
  <c r="G233" i="5"/>
  <c r="G232" i="5"/>
  <c r="I231" i="5"/>
  <c r="G231" i="5"/>
  <c r="I230" i="5"/>
  <c r="G230" i="5"/>
  <c r="I229" i="5"/>
  <c r="G229" i="5"/>
  <c r="I228" i="5"/>
  <c r="G228" i="5"/>
  <c r="G227" i="5"/>
  <c r="I227" i="5" s="1"/>
  <c r="I226" i="5"/>
  <c r="G226" i="5"/>
  <c r="G225" i="5"/>
  <c r="I225" i="5" s="1"/>
  <c r="G224" i="5"/>
  <c r="G223" i="5"/>
  <c r="I223" i="5" s="1"/>
  <c r="I222" i="5"/>
  <c r="G222" i="5"/>
  <c r="G221" i="5"/>
  <c r="I221" i="5" s="1"/>
  <c r="I220" i="5"/>
  <c r="G220" i="5"/>
  <c r="I219" i="5"/>
  <c r="G219" i="5"/>
  <c r="G218" i="5"/>
  <c r="I218" i="5" s="1"/>
  <c r="I217" i="5"/>
  <c r="G217" i="5"/>
  <c r="G216" i="5"/>
  <c r="I215" i="5"/>
  <c r="G215" i="5"/>
  <c r="I214" i="5"/>
  <c r="G214" i="5"/>
  <c r="I213" i="5"/>
  <c r="G213" i="5"/>
  <c r="I212" i="5"/>
  <c r="G212" i="5"/>
  <c r="G211" i="5"/>
  <c r="I211" i="5" s="1"/>
  <c r="I210" i="5"/>
  <c r="G210" i="5"/>
  <c r="G209" i="5"/>
  <c r="I209" i="5" s="1"/>
  <c r="I208" i="5"/>
  <c r="G208" i="5"/>
  <c r="G207" i="5"/>
  <c r="I207" i="5" s="1"/>
  <c r="I206" i="5"/>
  <c r="G206" i="5"/>
  <c r="G205" i="5"/>
  <c r="I205" i="5" s="1"/>
  <c r="I204" i="5"/>
  <c r="G204" i="5"/>
  <c r="I203" i="5"/>
  <c r="G203" i="5"/>
  <c r="G202" i="5"/>
  <c r="I202" i="5" s="1"/>
  <c r="I201" i="5"/>
  <c r="G201" i="5"/>
  <c r="G200" i="5"/>
  <c r="I199" i="5"/>
  <c r="G199" i="5"/>
  <c r="I198" i="5"/>
  <c r="G198" i="5"/>
  <c r="I197" i="5"/>
  <c r="G197" i="5"/>
  <c r="I196" i="5"/>
  <c r="G196" i="5"/>
  <c r="G195" i="5"/>
  <c r="I195" i="5" s="1"/>
  <c r="I194" i="5"/>
  <c r="G194" i="5"/>
  <c r="G193" i="5"/>
  <c r="I193" i="5" s="1"/>
  <c r="G192" i="5"/>
  <c r="G191" i="5"/>
  <c r="I191" i="5" s="1"/>
  <c r="I190" i="5"/>
  <c r="G190" i="5"/>
  <c r="G189" i="5"/>
  <c r="I189" i="5" s="1"/>
  <c r="I188" i="5"/>
  <c r="G188" i="5"/>
  <c r="I187" i="5"/>
  <c r="G187" i="5"/>
  <c r="G186" i="5"/>
  <c r="I186" i="5" s="1"/>
  <c r="G185" i="5"/>
  <c r="I185" i="5" s="1"/>
  <c r="G184" i="5"/>
  <c r="G183" i="5"/>
  <c r="I183" i="5" s="1"/>
  <c r="I182" i="5"/>
  <c r="G182" i="5"/>
  <c r="I181" i="5"/>
  <c r="G181" i="5"/>
  <c r="I180" i="5"/>
  <c r="G180" i="5"/>
  <c r="G179" i="5"/>
  <c r="I179" i="5" s="1"/>
  <c r="I178" i="5"/>
  <c r="G178" i="5"/>
  <c r="I177" i="5"/>
  <c r="G177" i="5"/>
  <c r="G176" i="5"/>
  <c r="I175" i="5"/>
  <c r="G175" i="5"/>
  <c r="I174" i="5"/>
  <c r="G174" i="5"/>
  <c r="G173" i="5"/>
  <c r="I173" i="5" s="1"/>
  <c r="G172" i="5"/>
  <c r="I172" i="5" s="1"/>
  <c r="I171" i="5"/>
  <c r="G171" i="5"/>
  <c r="G170" i="5"/>
  <c r="I170" i="5" s="1"/>
  <c r="G169" i="5"/>
  <c r="I169" i="5" s="1"/>
  <c r="I168" i="5"/>
  <c r="G168" i="5"/>
  <c r="G167" i="5"/>
  <c r="I167" i="5" s="1"/>
  <c r="I166" i="5"/>
  <c r="G166" i="5"/>
  <c r="I165" i="5"/>
  <c r="G165" i="5"/>
  <c r="I164" i="5"/>
  <c r="G164" i="5"/>
  <c r="G163" i="5"/>
  <c r="I163" i="5" s="1"/>
  <c r="I162" i="5"/>
  <c r="G162" i="5"/>
  <c r="I161" i="5"/>
  <c r="G161" i="5"/>
  <c r="G160" i="5"/>
  <c r="I159" i="5"/>
  <c r="G159" i="5"/>
  <c r="I158" i="5"/>
  <c r="G158" i="5"/>
  <c r="G157" i="5"/>
  <c r="I157" i="5" s="1"/>
  <c r="G156" i="5"/>
  <c r="I156" i="5" s="1"/>
  <c r="I155" i="5"/>
  <c r="G155" i="5"/>
  <c r="G154" i="5"/>
  <c r="I154" i="5" s="1"/>
  <c r="G153" i="5"/>
  <c r="I153" i="5" s="1"/>
  <c r="G152" i="5"/>
  <c r="G151" i="5"/>
  <c r="I151" i="5" s="1"/>
  <c r="I150" i="5"/>
  <c r="G150" i="5"/>
  <c r="I149" i="5"/>
  <c r="G149" i="5"/>
  <c r="I148" i="5"/>
  <c r="G148" i="5"/>
  <c r="G147" i="5"/>
  <c r="I147" i="5" s="1"/>
  <c r="I146" i="5"/>
  <c r="G146" i="5"/>
  <c r="I145" i="5"/>
  <c r="G145" i="5"/>
  <c r="G144" i="5"/>
  <c r="I143" i="5"/>
  <c r="G143" i="5"/>
  <c r="I142" i="5"/>
  <c r="G142" i="5"/>
  <c r="G141" i="5"/>
  <c r="I141" i="5" s="1"/>
  <c r="G140" i="5"/>
  <c r="I140" i="5" s="1"/>
  <c r="I139" i="5"/>
  <c r="G139" i="5"/>
  <c r="G138" i="5"/>
  <c r="I138" i="5" s="1"/>
  <c r="G137" i="5"/>
  <c r="I137" i="5" s="1"/>
  <c r="G136" i="5"/>
  <c r="I135" i="5"/>
  <c r="G135" i="5"/>
  <c r="G134" i="5"/>
  <c r="I134" i="5" s="1"/>
  <c r="G133" i="5"/>
  <c r="I133" i="5" s="1"/>
  <c r="I132" i="5"/>
  <c r="G132" i="5"/>
  <c r="G131" i="5"/>
  <c r="G251" i="5" s="1"/>
  <c r="G123" i="5"/>
  <c r="I123" i="5" s="1"/>
  <c r="G122" i="5"/>
  <c r="I121" i="5"/>
  <c r="G121" i="5"/>
  <c r="G120" i="5"/>
  <c r="I120" i="5" s="1"/>
  <c r="G119" i="5"/>
  <c r="I119" i="5" s="1"/>
  <c r="I118" i="5"/>
  <c r="G118" i="5"/>
  <c r="I117" i="5"/>
  <c r="G117" i="5"/>
  <c r="G116" i="5"/>
  <c r="I116" i="5" s="1"/>
  <c r="G115" i="5"/>
  <c r="I115" i="5" s="1"/>
  <c r="I114" i="5"/>
  <c r="G114" i="5"/>
  <c r="I113" i="5"/>
  <c r="G113" i="5"/>
  <c r="G112" i="5"/>
  <c r="I112" i="5" s="1"/>
  <c r="G111" i="5"/>
  <c r="I111" i="5" s="1"/>
  <c r="I110" i="5"/>
  <c r="G110" i="5"/>
  <c r="I109" i="5"/>
  <c r="G109" i="5"/>
  <c r="G108" i="5"/>
  <c r="I108" i="5" s="1"/>
  <c r="G107" i="5"/>
  <c r="I107" i="5" s="1"/>
  <c r="G106" i="5"/>
  <c r="I105" i="5"/>
  <c r="G105" i="5"/>
  <c r="G104" i="5"/>
  <c r="I104" i="5" s="1"/>
  <c r="G103" i="5"/>
  <c r="I103" i="5" s="1"/>
  <c r="I102" i="5"/>
  <c r="G102" i="5"/>
  <c r="I101" i="5"/>
  <c r="G101" i="5"/>
  <c r="G100" i="5"/>
  <c r="I100" i="5" s="1"/>
  <c r="G99" i="5"/>
  <c r="I99" i="5" s="1"/>
  <c r="I98" i="5"/>
  <c r="G98" i="5"/>
  <c r="I97" i="5"/>
  <c r="G97" i="5"/>
  <c r="G96" i="5"/>
  <c r="I96" i="5" s="1"/>
  <c r="G95" i="5"/>
  <c r="I95" i="5" s="1"/>
  <c r="I94" i="5"/>
  <c r="G94" i="5"/>
  <c r="I93" i="5"/>
  <c r="G93" i="5"/>
  <c r="G92" i="5"/>
  <c r="I92" i="5" s="1"/>
  <c r="G91" i="5"/>
  <c r="I91" i="5" s="1"/>
  <c r="G90" i="5"/>
  <c r="I89" i="5"/>
  <c r="G89" i="5"/>
  <c r="G88" i="5"/>
  <c r="I88" i="5" s="1"/>
  <c r="G87" i="5"/>
  <c r="I87" i="5" s="1"/>
  <c r="I86" i="5"/>
  <c r="G86" i="5"/>
  <c r="I85" i="5"/>
  <c r="G85" i="5"/>
  <c r="G84" i="5"/>
  <c r="I84" i="5" s="1"/>
  <c r="G83" i="5"/>
  <c r="I83" i="5" s="1"/>
  <c r="I82" i="5"/>
  <c r="G82" i="5"/>
  <c r="I81" i="5"/>
  <c r="G81" i="5"/>
  <c r="G80" i="5"/>
  <c r="I80" i="5" s="1"/>
  <c r="G79" i="5"/>
  <c r="I79" i="5" s="1"/>
  <c r="I78" i="5"/>
  <c r="G78" i="5"/>
  <c r="I77" i="5"/>
  <c r="G77" i="5"/>
  <c r="G76" i="5"/>
  <c r="I76" i="5" s="1"/>
  <c r="G75" i="5"/>
  <c r="I75" i="5" s="1"/>
  <c r="G74" i="5"/>
  <c r="I73" i="5"/>
  <c r="G73" i="5"/>
  <c r="G72" i="5"/>
  <c r="I72" i="5" s="1"/>
  <c r="G71" i="5"/>
  <c r="I71" i="5" s="1"/>
  <c r="I70" i="5"/>
  <c r="G70" i="5"/>
  <c r="I69" i="5"/>
  <c r="G69" i="5"/>
  <c r="G68" i="5"/>
  <c r="I68" i="5" s="1"/>
  <c r="G67" i="5"/>
  <c r="I67" i="5" s="1"/>
  <c r="I66" i="5"/>
  <c r="G66" i="5"/>
  <c r="I65" i="5"/>
  <c r="G65" i="5"/>
  <c r="G64" i="5"/>
  <c r="I64" i="5" s="1"/>
  <c r="G63" i="5"/>
  <c r="I63" i="5" s="1"/>
  <c r="I62" i="5"/>
  <c r="G62" i="5"/>
  <c r="I61" i="5"/>
  <c r="G61" i="5"/>
  <c r="G60" i="5"/>
  <c r="I60" i="5" s="1"/>
  <c r="G59" i="5"/>
  <c r="I59" i="5" s="1"/>
  <c r="G58" i="5"/>
  <c r="I57" i="5"/>
  <c r="G57" i="5"/>
  <c r="G56" i="5"/>
  <c r="I56" i="5" s="1"/>
  <c r="G55" i="5"/>
  <c r="I55" i="5" s="1"/>
  <c r="I54" i="5"/>
  <c r="G54" i="5"/>
  <c r="I53" i="5"/>
  <c r="G53" i="5"/>
  <c r="G52" i="5"/>
  <c r="I52" i="5" s="1"/>
  <c r="G51" i="5"/>
  <c r="I51" i="5" s="1"/>
  <c r="I50" i="5"/>
  <c r="G50" i="5"/>
  <c r="I49" i="5"/>
  <c r="G49" i="5"/>
  <c r="G48" i="5"/>
  <c r="I48" i="5" s="1"/>
  <c r="G47" i="5"/>
  <c r="I47" i="5" s="1"/>
  <c r="I46" i="5"/>
  <c r="G46" i="5"/>
  <c r="I45" i="5"/>
  <c r="G45" i="5"/>
  <c r="G44" i="5"/>
  <c r="I44" i="5" s="1"/>
  <c r="G43" i="5"/>
  <c r="I43" i="5" s="1"/>
  <c r="G42" i="5"/>
  <c r="I41" i="5"/>
  <c r="G41" i="5"/>
  <c r="G40" i="5"/>
  <c r="I40" i="5" s="1"/>
  <c r="G39" i="5"/>
  <c r="I39" i="5" s="1"/>
  <c r="I38" i="5"/>
  <c r="G38" i="5"/>
  <c r="I37" i="5"/>
  <c r="G37" i="5"/>
  <c r="G36" i="5"/>
  <c r="I36" i="5" s="1"/>
  <c r="G35" i="5"/>
  <c r="I35" i="5" s="1"/>
  <c r="I34" i="5"/>
  <c r="G34" i="5"/>
  <c r="I33" i="5"/>
  <c r="G33" i="5"/>
  <c r="G32" i="5"/>
  <c r="I32" i="5" s="1"/>
  <c r="G31" i="5"/>
  <c r="I31" i="5" s="1"/>
  <c r="I30" i="5"/>
  <c r="G30" i="5"/>
  <c r="I29" i="5"/>
  <c r="G29" i="5"/>
  <c r="G28" i="5"/>
  <c r="I28" i="5" s="1"/>
  <c r="G27" i="5"/>
  <c r="I27" i="5" s="1"/>
  <c r="G26" i="5"/>
  <c r="I25" i="5"/>
  <c r="G25" i="5"/>
  <c r="G24" i="5"/>
  <c r="I24" i="5" s="1"/>
  <c r="G23" i="5"/>
  <c r="I23" i="5" s="1"/>
  <c r="I22" i="5"/>
  <c r="G22" i="5"/>
  <c r="I21" i="5"/>
  <c r="G21" i="5"/>
  <c r="G20" i="5"/>
  <c r="I20" i="5" s="1"/>
  <c r="G19" i="5"/>
  <c r="I19" i="5" s="1"/>
  <c r="I18" i="5"/>
  <c r="G18" i="5"/>
  <c r="I17" i="5"/>
  <c r="G17" i="5"/>
  <c r="G16" i="5"/>
  <c r="I16" i="5" s="1"/>
  <c r="G15" i="5"/>
  <c r="I15" i="5" s="1"/>
  <c r="I14" i="5"/>
  <c r="G14" i="5"/>
  <c r="I13" i="5"/>
  <c r="G13" i="5"/>
  <c r="G12" i="5"/>
  <c r="I12" i="5" s="1"/>
  <c r="G11" i="5"/>
  <c r="I11" i="5" s="1"/>
  <c r="G10" i="5"/>
  <c r="I9" i="5"/>
  <c r="G9" i="5"/>
  <c r="G8" i="5"/>
  <c r="I8" i="5" s="1"/>
  <c r="G7" i="5"/>
  <c r="I7" i="5" s="1"/>
  <c r="I6" i="5"/>
  <c r="G6" i="5"/>
  <c r="I5" i="5"/>
  <c r="G5" i="5"/>
  <c r="B759" i="5"/>
  <c r="B632" i="5"/>
  <c r="B505" i="5"/>
  <c r="B378" i="5"/>
  <c r="B251" i="5"/>
  <c r="B124" i="5"/>
  <c r="B759" i="4"/>
  <c r="B632" i="4"/>
  <c r="B505" i="4"/>
  <c r="B378" i="4"/>
  <c r="B251" i="4"/>
  <c r="B124" i="4"/>
  <c r="O156" i="14" l="1"/>
  <c r="N156" i="14"/>
  <c r="N158" i="14" s="1"/>
  <c r="Q156" i="14"/>
  <c r="P156" i="14"/>
  <c r="P138" i="7"/>
  <c r="P139" i="7"/>
  <c r="S140" i="7"/>
  <c r="S139" i="7"/>
  <c r="S138" i="7"/>
  <c r="Q141" i="7"/>
  <c r="R140" i="7"/>
  <c r="D227" i="7" s="1"/>
  <c r="Q139" i="7"/>
  <c r="D217" i="7" s="1"/>
  <c r="R138" i="7"/>
  <c r="R139" i="7"/>
  <c r="R141" i="7"/>
  <c r="Q140" i="7"/>
  <c r="S141" i="7"/>
  <c r="D237" i="7" s="1"/>
  <c r="P141" i="7"/>
  <c r="Q138" i="7"/>
  <c r="AH137" i="7" s="1" a="1"/>
  <c r="P140" i="7"/>
  <c r="I144" i="5"/>
  <c r="I648" i="5"/>
  <c r="I736" i="5"/>
  <c r="I752" i="5"/>
  <c r="I160" i="5"/>
  <c r="I428" i="5"/>
  <c r="I570" i="5"/>
  <c r="I680" i="5"/>
  <c r="I176" i="5"/>
  <c r="I444" i="5"/>
  <c r="I546" i="5"/>
  <c r="I586" i="5"/>
  <c r="I460" i="5"/>
  <c r="I500" i="5"/>
  <c r="I522" i="5"/>
  <c r="I602" i="5"/>
  <c r="I712" i="5"/>
  <c r="I476" i="5"/>
  <c r="I640" i="5"/>
  <c r="I656" i="5"/>
  <c r="I744" i="5"/>
  <c r="I672" i="5"/>
  <c r="I578" i="5"/>
  <c r="I378" i="5"/>
  <c r="I4" i="5"/>
  <c r="I124" i="5" s="1"/>
  <c r="G124" i="5"/>
  <c r="G378" i="5"/>
  <c r="G505" i="5"/>
  <c r="G632" i="5"/>
  <c r="I131" i="5"/>
  <c r="I251" i="5" s="1"/>
  <c r="I385" i="5"/>
  <c r="I505" i="5" s="1"/>
  <c r="I759" i="5"/>
  <c r="I512" i="5"/>
  <c r="I632" i="5" s="1"/>
  <c r="G759" i="5"/>
  <c r="D154" i="14" l="1"/>
  <c r="D156" i="14"/>
  <c r="D207" i="7"/>
  <c r="H272" i="7"/>
  <c r="D263" i="7"/>
  <c r="AH138" i="7"/>
  <c r="H212" i="7" s="1"/>
  <c r="AH137" i="7"/>
  <c r="AH140" i="7"/>
  <c r="H232" i="7" s="1"/>
  <c r="AH139" i="7"/>
  <c r="H222" i="7" s="1"/>
  <c r="Y140" i="6" a="1"/>
  <c r="Y140" i="6" s="1"/>
  <c r="EP135" i="6"/>
  <c r="EP134" i="6"/>
  <c r="EP133" i="6"/>
  <c r="EP132" i="6"/>
  <c r="EP131" i="6"/>
  <c r="EP130" i="6"/>
  <c r="EP129" i="6"/>
  <c r="EP128" i="6"/>
  <c r="EP127" i="6"/>
  <c r="EP126" i="6"/>
  <c r="EP125" i="6"/>
  <c r="EP124" i="6"/>
  <c r="EP123" i="6"/>
  <c r="EP122" i="6"/>
  <c r="EP121" i="6"/>
  <c r="EP120" i="6"/>
  <c r="EP119" i="6"/>
  <c r="EP118" i="6"/>
  <c r="EP117" i="6"/>
  <c r="EP116" i="6"/>
  <c r="EP115" i="6"/>
  <c r="EP114" i="6"/>
  <c r="EP113" i="6"/>
  <c r="EP112" i="6"/>
  <c r="EP111" i="6"/>
  <c r="EP110" i="6"/>
  <c r="EP109" i="6"/>
  <c r="EP108" i="6"/>
  <c r="EP107" i="6"/>
  <c r="EP106" i="6"/>
  <c r="EP105" i="6"/>
  <c r="EP104" i="6"/>
  <c r="EP103" i="6"/>
  <c r="EP102" i="6"/>
  <c r="EP101" i="6"/>
  <c r="EP100" i="6"/>
  <c r="EP99" i="6"/>
  <c r="EP98" i="6"/>
  <c r="EP97" i="6"/>
  <c r="EP96" i="6"/>
  <c r="EP95" i="6"/>
  <c r="EP94" i="6"/>
  <c r="EP93" i="6"/>
  <c r="EP92" i="6"/>
  <c r="EP91" i="6"/>
  <c r="EP90" i="6"/>
  <c r="EP89" i="6"/>
  <c r="EP88" i="6"/>
  <c r="EP87" i="6"/>
  <c r="EP86" i="6"/>
  <c r="EP85" i="6"/>
  <c r="EP84" i="6"/>
  <c r="EP83" i="6"/>
  <c r="EP82" i="6"/>
  <c r="EP81" i="6"/>
  <c r="EP80" i="6"/>
  <c r="EP79" i="6"/>
  <c r="EP78" i="6"/>
  <c r="EP77" i="6"/>
  <c r="EP76" i="6"/>
  <c r="EP75" i="6"/>
  <c r="EP74" i="6"/>
  <c r="EP73" i="6"/>
  <c r="EP72" i="6"/>
  <c r="EP71" i="6"/>
  <c r="EP70" i="6"/>
  <c r="EP69" i="6"/>
  <c r="EP68" i="6"/>
  <c r="EP67" i="6"/>
  <c r="EP66" i="6"/>
  <c r="EP65" i="6"/>
  <c r="EP64" i="6"/>
  <c r="EP63" i="6"/>
  <c r="EP62" i="6"/>
  <c r="EP61" i="6"/>
  <c r="EP60" i="6"/>
  <c r="EP59" i="6"/>
  <c r="EP58" i="6"/>
  <c r="EP57" i="6"/>
  <c r="EP56" i="6"/>
  <c r="EP55" i="6"/>
  <c r="EP54" i="6"/>
  <c r="EP53" i="6"/>
  <c r="EP52" i="6"/>
  <c r="EP51" i="6"/>
  <c r="EP50" i="6"/>
  <c r="EP49" i="6"/>
  <c r="EP48" i="6"/>
  <c r="EP47" i="6"/>
  <c r="EP46" i="6"/>
  <c r="EP45" i="6"/>
  <c r="EP44" i="6"/>
  <c r="EP43" i="6"/>
  <c r="EP42" i="6"/>
  <c r="EP41" i="6"/>
  <c r="EP40" i="6"/>
  <c r="EP39" i="6"/>
  <c r="EP38" i="6"/>
  <c r="EP37" i="6"/>
  <c r="EP36" i="6"/>
  <c r="EP35" i="6"/>
  <c r="EP34" i="6"/>
  <c r="EP33" i="6"/>
  <c r="EP32" i="6"/>
  <c r="EP31" i="6"/>
  <c r="EP30" i="6"/>
  <c r="EP29" i="6"/>
  <c r="EP28" i="6"/>
  <c r="EP27" i="6"/>
  <c r="EP26" i="6"/>
  <c r="EP25" i="6"/>
  <c r="EP24" i="6"/>
  <c r="EP23" i="6"/>
  <c r="EP22" i="6"/>
  <c r="EP21" i="6"/>
  <c r="EP20" i="6"/>
  <c r="EP19" i="6"/>
  <c r="EP18" i="6"/>
  <c r="EP17" i="6"/>
  <c r="EP16" i="6"/>
  <c r="W72" i="6" a="1"/>
  <c r="AL72" i="6" s="1"/>
  <c r="S135" i="6"/>
  <c r="R135" i="6"/>
  <c r="Q135" i="6"/>
  <c r="P135" i="6"/>
  <c r="O135" i="6"/>
  <c r="N135" i="6"/>
  <c r="S134" i="6"/>
  <c r="R134" i="6"/>
  <c r="Q134" i="6"/>
  <c r="P134" i="6"/>
  <c r="O134" i="6"/>
  <c r="N134" i="6"/>
  <c r="S133" i="6"/>
  <c r="R133" i="6"/>
  <c r="Q133" i="6"/>
  <c r="P133" i="6"/>
  <c r="O133" i="6"/>
  <c r="N133" i="6"/>
  <c r="S132" i="6"/>
  <c r="R132" i="6"/>
  <c r="Q132" i="6"/>
  <c r="P132" i="6"/>
  <c r="O132" i="6"/>
  <c r="N132" i="6"/>
  <c r="S131" i="6"/>
  <c r="R131" i="6"/>
  <c r="Q131" i="6"/>
  <c r="P131" i="6"/>
  <c r="O131" i="6"/>
  <c r="N131" i="6"/>
  <c r="S130" i="6"/>
  <c r="R130" i="6"/>
  <c r="Q130" i="6"/>
  <c r="P130" i="6"/>
  <c r="O130" i="6"/>
  <c r="N130" i="6"/>
  <c r="S129" i="6"/>
  <c r="R129" i="6"/>
  <c r="Q129" i="6"/>
  <c r="P129" i="6"/>
  <c r="O129" i="6"/>
  <c r="N129" i="6"/>
  <c r="S128" i="6"/>
  <c r="R128" i="6"/>
  <c r="Q128" i="6"/>
  <c r="P128" i="6"/>
  <c r="O128" i="6"/>
  <c r="N128" i="6"/>
  <c r="S127" i="6"/>
  <c r="R127" i="6"/>
  <c r="Q127" i="6"/>
  <c r="P127" i="6"/>
  <c r="O127" i="6"/>
  <c r="N127" i="6"/>
  <c r="S126" i="6"/>
  <c r="R126" i="6"/>
  <c r="Q126" i="6"/>
  <c r="P126" i="6"/>
  <c r="O126" i="6"/>
  <c r="N126" i="6"/>
  <c r="S125" i="6"/>
  <c r="R125" i="6"/>
  <c r="Q125" i="6"/>
  <c r="P125" i="6"/>
  <c r="O125" i="6"/>
  <c r="N125" i="6"/>
  <c r="S124" i="6"/>
  <c r="R124" i="6"/>
  <c r="Q124" i="6"/>
  <c r="P124" i="6"/>
  <c r="O124" i="6"/>
  <c r="N124" i="6"/>
  <c r="S123" i="6"/>
  <c r="R123" i="6"/>
  <c r="Q123" i="6"/>
  <c r="P123" i="6"/>
  <c r="O123" i="6"/>
  <c r="N123" i="6"/>
  <c r="S122" i="6"/>
  <c r="R122" i="6"/>
  <c r="Q122" i="6"/>
  <c r="P122" i="6"/>
  <c r="O122" i="6"/>
  <c r="N122" i="6"/>
  <c r="S121" i="6"/>
  <c r="R121" i="6"/>
  <c r="Q121" i="6"/>
  <c r="P121" i="6"/>
  <c r="O121" i="6"/>
  <c r="N121" i="6"/>
  <c r="S120" i="6"/>
  <c r="R120" i="6"/>
  <c r="Q120" i="6"/>
  <c r="P120" i="6"/>
  <c r="O120" i="6"/>
  <c r="N120" i="6"/>
  <c r="S119" i="6"/>
  <c r="R119" i="6"/>
  <c r="Q119" i="6"/>
  <c r="P119" i="6"/>
  <c r="O119" i="6"/>
  <c r="N119" i="6"/>
  <c r="S118" i="6"/>
  <c r="R118" i="6"/>
  <c r="Q118" i="6"/>
  <c r="P118" i="6"/>
  <c r="O118" i="6"/>
  <c r="N118" i="6"/>
  <c r="S117" i="6"/>
  <c r="R117" i="6"/>
  <c r="Q117" i="6"/>
  <c r="P117" i="6"/>
  <c r="O117" i="6"/>
  <c r="N117" i="6"/>
  <c r="S116" i="6"/>
  <c r="R116" i="6"/>
  <c r="Q116" i="6"/>
  <c r="P116" i="6"/>
  <c r="O116" i="6"/>
  <c r="N116" i="6"/>
  <c r="S115" i="6"/>
  <c r="R115" i="6"/>
  <c r="Q115" i="6"/>
  <c r="P115" i="6"/>
  <c r="O115" i="6"/>
  <c r="N115" i="6"/>
  <c r="S114" i="6"/>
  <c r="R114" i="6"/>
  <c r="Q114" i="6"/>
  <c r="P114" i="6"/>
  <c r="O114" i="6"/>
  <c r="N114" i="6"/>
  <c r="S113" i="6"/>
  <c r="R113" i="6"/>
  <c r="Q113" i="6"/>
  <c r="P113" i="6"/>
  <c r="O113" i="6"/>
  <c r="N113" i="6"/>
  <c r="S112" i="6"/>
  <c r="R112" i="6"/>
  <c r="Q112" i="6"/>
  <c r="P112" i="6"/>
  <c r="O112" i="6"/>
  <c r="N112" i="6"/>
  <c r="S111" i="6"/>
  <c r="R111" i="6"/>
  <c r="Q111" i="6"/>
  <c r="P111" i="6"/>
  <c r="O111" i="6"/>
  <c r="N111" i="6"/>
  <c r="S110" i="6"/>
  <c r="R110" i="6"/>
  <c r="Q110" i="6"/>
  <c r="P110" i="6"/>
  <c r="O110" i="6"/>
  <c r="N110" i="6"/>
  <c r="S109" i="6"/>
  <c r="R109" i="6"/>
  <c r="Q109" i="6"/>
  <c r="P109" i="6"/>
  <c r="O109" i="6"/>
  <c r="N109" i="6"/>
  <c r="S108" i="6"/>
  <c r="R108" i="6"/>
  <c r="Q108" i="6"/>
  <c r="P108" i="6"/>
  <c r="O108" i="6"/>
  <c r="N108" i="6"/>
  <c r="S107" i="6"/>
  <c r="R107" i="6"/>
  <c r="Q107" i="6"/>
  <c r="P107" i="6"/>
  <c r="O107" i="6"/>
  <c r="N107" i="6"/>
  <c r="S106" i="6"/>
  <c r="R106" i="6"/>
  <c r="Q106" i="6"/>
  <c r="P106" i="6"/>
  <c r="O106" i="6"/>
  <c r="N106" i="6"/>
  <c r="S105" i="6"/>
  <c r="R105" i="6"/>
  <c r="Q105" i="6"/>
  <c r="P105" i="6"/>
  <c r="O105" i="6"/>
  <c r="N105" i="6"/>
  <c r="S104" i="6"/>
  <c r="R104" i="6"/>
  <c r="Q104" i="6"/>
  <c r="P104" i="6"/>
  <c r="O104" i="6"/>
  <c r="N104" i="6"/>
  <c r="S103" i="6"/>
  <c r="R103" i="6"/>
  <c r="Q103" i="6"/>
  <c r="P103" i="6"/>
  <c r="O103" i="6"/>
  <c r="N103" i="6"/>
  <c r="S102" i="6"/>
  <c r="R102" i="6"/>
  <c r="Q102" i="6"/>
  <c r="P102" i="6"/>
  <c r="O102" i="6"/>
  <c r="N102" i="6"/>
  <c r="S101" i="6"/>
  <c r="R101" i="6"/>
  <c r="Q101" i="6"/>
  <c r="P101" i="6"/>
  <c r="O101" i="6"/>
  <c r="N101" i="6"/>
  <c r="S100" i="6"/>
  <c r="R100" i="6"/>
  <c r="Q100" i="6"/>
  <c r="P100" i="6"/>
  <c r="O100" i="6"/>
  <c r="N100" i="6"/>
  <c r="S99" i="6"/>
  <c r="R99" i="6"/>
  <c r="Q99" i="6"/>
  <c r="P99" i="6"/>
  <c r="O99" i="6"/>
  <c r="N99" i="6"/>
  <c r="S98" i="6"/>
  <c r="R98" i="6"/>
  <c r="Q98" i="6"/>
  <c r="P98" i="6"/>
  <c r="O98" i="6"/>
  <c r="N98" i="6"/>
  <c r="S97" i="6"/>
  <c r="R97" i="6"/>
  <c r="Q97" i="6"/>
  <c r="P97" i="6"/>
  <c r="O97" i="6"/>
  <c r="N97" i="6"/>
  <c r="S96" i="6"/>
  <c r="R96" i="6"/>
  <c r="Q96" i="6"/>
  <c r="P96" i="6"/>
  <c r="O96" i="6"/>
  <c r="N96" i="6"/>
  <c r="S95" i="6"/>
  <c r="R95" i="6"/>
  <c r="Q95" i="6"/>
  <c r="P95" i="6"/>
  <c r="O95" i="6"/>
  <c r="N95" i="6"/>
  <c r="S94" i="6"/>
  <c r="R94" i="6"/>
  <c r="Q94" i="6"/>
  <c r="P94" i="6"/>
  <c r="O94" i="6"/>
  <c r="N94" i="6"/>
  <c r="S93" i="6"/>
  <c r="R93" i="6"/>
  <c r="Q93" i="6"/>
  <c r="P93" i="6"/>
  <c r="O93" i="6"/>
  <c r="N93" i="6"/>
  <c r="S92" i="6"/>
  <c r="R92" i="6"/>
  <c r="Q92" i="6"/>
  <c r="P92" i="6"/>
  <c r="O92" i="6"/>
  <c r="N92" i="6"/>
  <c r="S91" i="6"/>
  <c r="R91" i="6"/>
  <c r="Q91" i="6"/>
  <c r="P91" i="6"/>
  <c r="O91" i="6"/>
  <c r="N91" i="6"/>
  <c r="S90" i="6"/>
  <c r="R90" i="6"/>
  <c r="Q90" i="6"/>
  <c r="P90" i="6"/>
  <c r="O90" i="6"/>
  <c r="N90" i="6"/>
  <c r="S89" i="6"/>
  <c r="R89" i="6"/>
  <c r="Q89" i="6"/>
  <c r="P89" i="6"/>
  <c r="O89" i="6"/>
  <c r="N89" i="6"/>
  <c r="S88" i="6"/>
  <c r="R88" i="6"/>
  <c r="Q88" i="6"/>
  <c r="P88" i="6"/>
  <c r="O88" i="6"/>
  <c r="N88" i="6"/>
  <c r="S87" i="6"/>
  <c r="R87" i="6"/>
  <c r="Q87" i="6"/>
  <c r="P87" i="6"/>
  <c r="O87" i="6"/>
  <c r="N87" i="6"/>
  <c r="S86" i="6"/>
  <c r="R86" i="6"/>
  <c r="Q86" i="6"/>
  <c r="P86" i="6"/>
  <c r="O86" i="6"/>
  <c r="N86" i="6"/>
  <c r="S85" i="6"/>
  <c r="R85" i="6"/>
  <c r="Q85" i="6"/>
  <c r="P85" i="6"/>
  <c r="O85" i="6"/>
  <c r="N85" i="6"/>
  <c r="S84" i="6"/>
  <c r="R84" i="6"/>
  <c r="Q84" i="6"/>
  <c r="P84" i="6"/>
  <c r="O84" i="6"/>
  <c r="N84" i="6"/>
  <c r="S83" i="6"/>
  <c r="R83" i="6"/>
  <c r="Q83" i="6"/>
  <c r="P83" i="6"/>
  <c r="O83" i="6"/>
  <c r="N83" i="6"/>
  <c r="S82" i="6"/>
  <c r="R82" i="6"/>
  <c r="Q82" i="6"/>
  <c r="P82" i="6"/>
  <c r="O82" i="6"/>
  <c r="N82" i="6"/>
  <c r="S81" i="6"/>
  <c r="R81" i="6"/>
  <c r="Q81" i="6"/>
  <c r="P81" i="6"/>
  <c r="O81" i="6"/>
  <c r="N81" i="6"/>
  <c r="S80" i="6"/>
  <c r="R80" i="6"/>
  <c r="Q80" i="6"/>
  <c r="P80" i="6"/>
  <c r="O80" i="6"/>
  <c r="N80" i="6"/>
  <c r="S79" i="6"/>
  <c r="R79" i="6"/>
  <c r="Q79" i="6"/>
  <c r="P79" i="6"/>
  <c r="O79" i="6"/>
  <c r="N79" i="6"/>
  <c r="S78" i="6"/>
  <c r="R78" i="6"/>
  <c r="Q78" i="6"/>
  <c r="P78" i="6"/>
  <c r="O78" i="6"/>
  <c r="N78" i="6"/>
  <c r="S77" i="6"/>
  <c r="R77" i="6"/>
  <c r="Q77" i="6"/>
  <c r="P77" i="6"/>
  <c r="O77" i="6"/>
  <c r="N77" i="6"/>
  <c r="S76" i="6"/>
  <c r="R76" i="6"/>
  <c r="Q76" i="6"/>
  <c r="P76" i="6"/>
  <c r="O76" i="6"/>
  <c r="N76" i="6"/>
  <c r="S75" i="6"/>
  <c r="R75" i="6"/>
  <c r="Q75" i="6"/>
  <c r="P75" i="6"/>
  <c r="O75" i="6"/>
  <c r="N75" i="6"/>
  <c r="S74" i="6"/>
  <c r="R74" i="6"/>
  <c r="Q74" i="6"/>
  <c r="P74" i="6"/>
  <c r="O74" i="6"/>
  <c r="N74" i="6"/>
  <c r="S73" i="6"/>
  <c r="R73" i="6"/>
  <c r="Q73" i="6"/>
  <c r="P73" i="6"/>
  <c r="O73" i="6"/>
  <c r="N73" i="6"/>
  <c r="S72" i="6"/>
  <c r="R72" i="6"/>
  <c r="Q72" i="6"/>
  <c r="P72" i="6"/>
  <c r="O72" i="6"/>
  <c r="N72" i="6"/>
  <c r="S71" i="6"/>
  <c r="R71" i="6"/>
  <c r="Q71" i="6"/>
  <c r="P71" i="6"/>
  <c r="O71" i="6"/>
  <c r="N71" i="6"/>
  <c r="S70" i="6"/>
  <c r="R70" i="6"/>
  <c r="Q70" i="6"/>
  <c r="P70" i="6"/>
  <c r="O70" i="6"/>
  <c r="N70" i="6"/>
  <c r="S69" i="6"/>
  <c r="R69" i="6"/>
  <c r="Q69" i="6"/>
  <c r="P69" i="6"/>
  <c r="O69" i="6"/>
  <c r="N69" i="6"/>
  <c r="S68" i="6"/>
  <c r="R68" i="6"/>
  <c r="Q68" i="6"/>
  <c r="P68" i="6"/>
  <c r="O68" i="6"/>
  <c r="N68" i="6"/>
  <c r="S67" i="6"/>
  <c r="R67" i="6"/>
  <c r="Q67" i="6"/>
  <c r="P67" i="6"/>
  <c r="O67" i="6"/>
  <c r="N67" i="6"/>
  <c r="S66" i="6"/>
  <c r="R66" i="6"/>
  <c r="Q66" i="6"/>
  <c r="P66" i="6"/>
  <c r="O66" i="6"/>
  <c r="N66" i="6"/>
  <c r="S65" i="6"/>
  <c r="R65" i="6"/>
  <c r="Q65" i="6"/>
  <c r="P65" i="6"/>
  <c r="O65" i="6"/>
  <c r="N65" i="6"/>
  <c r="S64" i="6"/>
  <c r="R64" i="6"/>
  <c r="Q64" i="6"/>
  <c r="P64" i="6"/>
  <c r="O64" i="6"/>
  <c r="N64" i="6"/>
  <c r="S63" i="6"/>
  <c r="R63" i="6"/>
  <c r="Q63" i="6"/>
  <c r="P63" i="6"/>
  <c r="O63" i="6"/>
  <c r="N63" i="6"/>
  <c r="S62" i="6"/>
  <c r="R62" i="6"/>
  <c r="Q62" i="6"/>
  <c r="P62" i="6"/>
  <c r="O62" i="6"/>
  <c r="N62" i="6"/>
  <c r="S61" i="6"/>
  <c r="R61" i="6"/>
  <c r="Q61" i="6"/>
  <c r="P61" i="6"/>
  <c r="O61" i="6"/>
  <c r="N61" i="6"/>
  <c r="S60" i="6"/>
  <c r="R60" i="6"/>
  <c r="Q60" i="6"/>
  <c r="P60" i="6"/>
  <c r="O60" i="6"/>
  <c r="N60" i="6"/>
  <c r="S59" i="6"/>
  <c r="R59" i="6"/>
  <c r="Q59" i="6"/>
  <c r="P59" i="6"/>
  <c r="O59" i="6"/>
  <c r="N59" i="6"/>
  <c r="S58" i="6"/>
  <c r="R58" i="6"/>
  <c r="Q58" i="6"/>
  <c r="P58" i="6"/>
  <c r="O58" i="6"/>
  <c r="N58" i="6"/>
  <c r="S57" i="6"/>
  <c r="R57" i="6"/>
  <c r="Q57" i="6"/>
  <c r="P57" i="6"/>
  <c r="O57" i="6"/>
  <c r="N57" i="6"/>
  <c r="S56" i="6"/>
  <c r="R56" i="6"/>
  <c r="Q56" i="6"/>
  <c r="P56" i="6"/>
  <c r="O56" i="6"/>
  <c r="N56" i="6"/>
  <c r="S55" i="6"/>
  <c r="R55" i="6"/>
  <c r="Q55" i="6"/>
  <c r="P55" i="6"/>
  <c r="O55" i="6"/>
  <c r="N55" i="6"/>
  <c r="S54" i="6"/>
  <c r="R54" i="6"/>
  <c r="Q54" i="6"/>
  <c r="P54" i="6"/>
  <c r="O54" i="6"/>
  <c r="N54" i="6"/>
  <c r="S53" i="6"/>
  <c r="R53" i="6"/>
  <c r="Q53" i="6"/>
  <c r="P53" i="6"/>
  <c r="O53" i="6"/>
  <c r="N53" i="6"/>
  <c r="S52" i="6"/>
  <c r="R52" i="6"/>
  <c r="Q52" i="6"/>
  <c r="P52" i="6"/>
  <c r="O52" i="6"/>
  <c r="N52" i="6"/>
  <c r="S51" i="6"/>
  <c r="R51" i="6"/>
  <c r="Q51" i="6"/>
  <c r="P51" i="6"/>
  <c r="O51" i="6"/>
  <c r="N51" i="6"/>
  <c r="S50" i="6"/>
  <c r="R50" i="6"/>
  <c r="Q50" i="6"/>
  <c r="P50" i="6"/>
  <c r="O50" i="6"/>
  <c r="N50" i="6"/>
  <c r="S49" i="6"/>
  <c r="R49" i="6"/>
  <c r="Q49" i="6"/>
  <c r="P49" i="6"/>
  <c r="O49" i="6"/>
  <c r="N49" i="6"/>
  <c r="S48" i="6"/>
  <c r="R48" i="6"/>
  <c r="Q48" i="6"/>
  <c r="P48" i="6"/>
  <c r="O48" i="6"/>
  <c r="N48" i="6"/>
  <c r="S47" i="6"/>
  <c r="R47" i="6"/>
  <c r="Q47" i="6"/>
  <c r="P47" i="6"/>
  <c r="O47" i="6"/>
  <c r="N47" i="6"/>
  <c r="S46" i="6"/>
  <c r="R46" i="6"/>
  <c r="Q46" i="6"/>
  <c r="P46" i="6"/>
  <c r="O46" i="6"/>
  <c r="N46" i="6"/>
  <c r="S45" i="6"/>
  <c r="R45" i="6"/>
  <c r="Q45" i="6"/>
  <c r="P45" i="6"/>
  <c r="O45" i="6"/>
  <c r="N45" i="6"/>
  <c r="S44" i="6"/>
  <c r="R44" i="6"/>
  <c r="Q44" i="6"/>
  <c r="P44" i="6"/>
  <c r="O44" i="6"/>
  <c r="N44" i="6"/>
  <c r="S43" i="6"/>
  <c r="R43" i="6"/>
  <c r="Q43" i="6"/>
  <c r="P43" i="6"/>
  <c r="O43" i="6"/>
  <c r="N43" i="6"/>
  <c r="S42" i="6"/>
  <c r="R42" i="6"/>
  <c r="Q42" i="6"/>
  <c r="P42" i="6"/>
  <c r="O42" i="6"/>
  <c r="N42" i="6"/>
  <c r="S41" i="6"/>
  <c r="R41" i="6"/>
  <c r="Q41" i="6"/>
  <c r="P41" i="6"/>
  <c r="O41" i="6"/>
  <c r="N41" i="6"/>
  <c r="S40" i="6"/>
  <c r="R40" i="6"/>
  <c r="Q40" i="6"/>
  <c r="P40" i="6"/>
  <c r="O40" i="6"/>
  <c r="N40" i="6"/>
  <c r="S39" i="6"/>
  <c r="R39" i="6"/>
  <c r="Q39" i="6"/>
  <c r="P39" i="6"/>
  <c r="O39" i="6"/>
  <c r="N39" i="6"/>
  <c r="S38" i="6"/>
  <c r="R38" i="6"/>
  <c r="Q38" i="6"/>
  <c r="P38" i="6"/>
  <c r="O38" i="6"/>
  <c r="N38" i="6"/>
  <c r="S37" i="6"/>
  <c r="R37" i="6"/>
  <c r="Q37" i="6"/>
  <c r="P37" i="6"/>
  <c r="O37" i="6"/>
  <c r="N37" i="6"/>
  <c r="S36" i="6"/>
  <c r="R36" i="6"/>
  <c r="Q36" i="6"/>
  <c r="P36" i="6"/>
  <c r="O36" i="6"/>
  <c r="N36" i="6"/>
  <c r="S35" i="6"/>
  <c r="R35" i="6"/>
  <c r="Q35" i="6"/>
  <c r="P35" i="6"/>
  <c r="O35" i="6"/>
  <c r="N35" i="6"/>
  <c r="S34" i="6"/>
  <c r="R34" i="6"/>
  <c r="Q34" i="6"/>
  <c r="P34" i="6"/>
  <c r="O34" i="6"/>
  <c r="N34" i="6"/>
  <c r="S33" i="6"/>
  <c r="R33" i="6"/>
  <c r="Q33" i="6"/>
  <c r="P33" i="6"/>
  <c r="O33" i="6"/>
  <c r="N33" i="6"/>
  <c r="S32" i="6"/>
  <c r="R32" i="6"/>
  <c r="Q32" i="6"/>
  <c r="P32" i="6"/>
  <c r="O32" i="6"/>
  <c r="N32" i="6"/>
  <c r="S31" i="6"/>
  <c r="R31" i="6"/>
  <c r="Q31" i="6"/>
  <c r="P31" i="6"/>
  <c r="O31" i="6"/>
  <c r="N31" i="6"/>
  <c r="S30" i="6"/>
  <c r="R30" i="6"/>
  <c r="Q30" i="6"/>
  <c r="P30" i="6"/>
  <c r="O30" i="6"/>
  <c r="N30" i="6"/>
  <c r="S29" i="6"/>
  <c r="R29" i="6"/>
  <c r="Q29" i="6"/>
  <c r="P29" i="6"/>
  <c r="O29" i="6"/>
  <c r="N29" i="6"/>
  <c r="S28" i="6"/>
  <c r="R28" i="6"/>
  <c r="Q28" i="6"/>
  <c r="P28" i="6"/>
  <c r="O28" i="6"/>
  <c r="N28" i="6"/>
  <c r="S27" i="6"/>
  <c r="R27" i="6"/>
  <c r="Q27" i="6"/>
  <c r="P27" i="6"/>
  <c r="O27" i="6"/>
  <c r="N27" i="6"/>
  <c r="S26" i="6"/>
  <c r="R26" i="6"/>
  <c r="Q26" i="6"/>
  <c r="P26" i="6"/>
  <c r="O26" i="6"/>
  <c r="N26" i="6"/>
  <c r="S25" i="6"/>
  <c r="R25" i="6"/>
  <c r="Q25" i="6"/>
  <c r="P25" i="6"/>
  <c r="O25" i="6"/>
  <c r="N25" i="6"/>
  <c r="S24" i="6"/>
  <c r="R24" i="6"/>
  <c r="Q24" i="6"/>
  <c r="P24" i="6"/>
  <c r="O24" i="6"/>
  <c r="N24" i="6"/>
  <c r="S23" i="6"/>
  <c r="R23" i="6"/>
  <c r="Q23" i="6"/>
  <c r="P23" i="6"/>
  <c r="O23" i="6"/>
  <c r="N23" i="6"/>
  <c r="S22" i="6"/>
  <c r="R22" i="6"/>
  <c r="Q22" i="6"/>
  <c r="P22" i="6"/>
  <c r="O22" i="6"/>
  <c r="N22" i="6"/>
  <c r="S21" i="6"/>
  <c r="R21" i="6"/>
  <c r="Q21" i="6"/>
  <c r="P21" i="6"/>
  <c r="O21" i="6"/>
  <c r="N21" i="6"/>
  <c r="S20" i="6"/>
  <c r="R20" i="6"/>
  <c r="Q20" i="6"/>
  <c r="P20" i="6"/>
  <c r="O20" i="6"/>
  <c r="N20" i="6"/>
  <c r="S19" i="6"/>
  <c r="R19" i="6"/>
  <c r="Q19" i="6"/>
  <c r="P19" i="6"/>
  <c r="O19" i="6"/>
  <c r="N19" i="6"/>
  <c r="S18" i="6"/>
  <c r="R18" i="6"/>
  <c r="Q18" i="6"/>
  <c r="P18" i="6"/>
  <c r="O18" i="6"/>
  <c r="N18" i="6"/>
  <c r="S17" i="6"/>
  <c r="R17" i="6"/>
  <c r="Q17" i="6"/>
  <c r="P17" i="6"/>
  <c r="O17" i="6"/>
  <c r="N17" i="6"/>
  <c r="S16" i="6"/>
  <c r="R16" i="6"/>
  <c r="Q16" i="6"/>
  <c r="P16" i="6"/>
  <c r="O16" i="6"/>
  <c r="N16" i="6"/>
  <c r="L659" i="5"/>
  <c r="L532" i="5"/>
  <c r="L405" i="5"/>
  <c r="L278" i="5"/>
  <c r="L151" i="5"/>
  <c r="L24" i="5"/>
  <c r="L659" i="4"/>
  <c r="L532" i="4"/>
  <c r="L405" i="4"/>
  <c r="L278" i="4"/>
  <c r="L151" i="4"/>
  <c r="L24" i="4"/>
  <c r="C187" i="14" l="1"/>
  <c r="C172" i="14"/>
  <c r="D162" i="14"/>
  <c r="C171" i="14"/>
  <c r="C186" i="14"/>
  <c r="D159" i="14"/>
  <c r="N156" i="7" a="1"/>
  <c r="D247" i="7"/>
  <c r="H202" i="7"/>
  <c r="H270" i="7"/>
  <c r="D261" i="7"/>
  <c r="B147" i="7"/>
  <c r="Y146" i="6"/>
  <c r="Y145" i="6"/>
  <c r="Y144" i="6"/>
  <c r="Y143" i="6"/>
  <c r="Y142" i="6"/>
  <c r="Y141" i="6"/>
  <c r="DX78" i="6"/>
  <c r="CI78" i="6"/>
  <c r="AS78" i="6"/>
  <c r="CZ77" i="6"/>
  <c r="ED76" i="6"/>
  <c r="EL73" i="6"/>
  <c r="CZ78" i="6"/>
  <c r="AN78" i="6"/>
  <c r="BF77" i="6"/>
  <c r="BZ76" i="6"/>
  <c r="DU78" i="6"/>
  <c r="CY78" i="6"/>
  <c r="CB78" i="6"/>
  <c r="BI78" i="6"/>
  <c r="AM78" i="6"/>
  <c r="DX77" i="6"/>
  <c r="CP77" i="6"/>
  <c r="AY77" i="6"/>
  <c r="DR76" i="6"/>
  <c r="BR76" i="6"/>
  <c r="DV75" i="6"/>
  <c r="DN74" i="6"/>
  <c r="DF73" i="6"/>
  <c r="CX72" i="6"/>
  <c r="CE76" i="6"/>
  <c r="DZ76" i="6"/>
  <c r="DP78" i="6"/>
  <c r="AK78" i="6"/>
  <c r="AU77" i="6"/>
  <c r="DM76" i="6"/>
  <c r="DF75" i="6"/>
  <c r="EL75" i="6"/>
  <c r="EF75" i="6"/>
  <c r="CX74" i="6"/>
  <c r="EK78" i="6"/>
  <c r="DO78" i="6"/>
  <c r="CR78" i="6"/>
  <c r="BY78" i="6"/>
  <c r="BC78" i="6"/>
  <c r="AF78" i="6"/>
  <c r="DP77" i="6"/>
  <c r="CE77" i="6"/>
  <c r="AN77" i="6"/>
  <c r="DE76" i="6"/>
  <c r="BB76" i="6"/>
  <c r="CP75" i="6"/>
  <c r="CH74" i="6"/>
  <c r="BZ73" i="6"/>
  <c r="BR72" i="6"/>
  <c r="AD75" i="6"/>
  <c r="CG78" i="6"/>
  <c r="CW77" i="6"/>
  <c r="DV73" i="6"/>
  <c r="CW78" i="6"/>
  <c r="CA78" i="6"/>
  <c r="CL77" i="6"/>
  <c r="CH72" i="6"/>
  <c r="EF78" i="6"/>
  <c r="DM78" i="6"/>
  <c r="CQ78" i="6"/>
  <c r="BT78" i="6"/>
  <c r="BA78" i="6"/>
  <c r="AC78" i="6"/>
  <c r="DM77" i="6"/>
  <c r="CA77" i="6"/>
  <c r="AI77" i="6"/>
  <c r="CZ76" i="6"/>
  <c r="AV76" i="6"/>
  <c r="BZ75" i="6"/>
  <c r="BR74" i="6"/>
  <c r="BJ73" i="6"/>
  <c r="BL72" i="6"/>
  <c r="DE78" i="6"/>
  <c r="BL78" i="6"/>
  <c r="EF77" i="6"/>
  <c r="BJ77" i="6"/>
  <c r="ED72" i="6"/>
  <c r="BK78" i="6"/>
  <c r="DN72" i="6"/>
  <c r="BL76" i="6"/>
  <c r="EE78" i="6"/>
  <c r="DH78" i="6"/>
  <c r="CO78" i="6"/>
  <c r="BS78" i="6"/>
  <c r="AV78" i="6"/>
  <c r="X78" i="6"/>
  <c r="DH77" i="6"/>
  <c r="BT77" i="6"/>
  <c r="AA77" i="6"/>
  <c r="CR76" i="6"/>
  <c r="AL76" i="6"/>
  <c r="BJ75" i="6"/>
  <c r="BB74" i="6"/>
  <c r="AT73" i="6"/>
  <c r="BB72" i="6"/>
  <c r="DW78" i="6"/>
  <c r="EC77" i="6"/>
  <c r="ED74" i="6"/>
  <c r="BD78" i="6"/>
  <c r="DU77" i="6"/>
  <c r="CP73" i="6"/>
  <c r="EC78" i="6"/>
  <c r="DG78" i="6"/>
  <c r="CJ78" i="6"/>
  <c r="BQ78" i="6"/>
  <c r="AU78" i="6"/>
  <c r="EK77" i="6"/>
  <c r="DE77" i="6"/>
  <c r="BQ77" i="6"/>
  <c r="EL76" i="6"/>
  <c r="CM76" i="6"/>
  <c r="AF76" i="6"/>
  <c r="AT75" i="6"/>
  <c r="AL74" i="6"/>
  <c r="AD73" i="6"/>
  <c r="W72" i="6"/>
  <c r="AE72" i="6"/>
  <c r="AM72" i="6"/>
  <c r="AU72" i="6"/>
  <c r="BC72" i="6"/>
  <c r="BK72" i="6"/>
  <c r="BS72" i="6"/>
  <c r="CA72" i="6"/>
  <c r="CI72" i="6"/>
  <c r="CQ72" i="6"/>
  <c r="CY72" i="6"/>
  <c r="DG72" i="6"/>
  <c r="DO72" i="6"/>
  <c r="DW72" i="6"/>
  <c r="EE72" i="6"/>
  <c r="W73" i="6"/>
  <c r="AE73" i="6"/>
  <c r="AM73" i="6"/>
  <c r="AU73" i="6"/>
  <c r="BC73" i="6"/>
  <c r="BK73" i="6"/>
  <c r="BS73" i="6"/>
  <c r="CA73" i="6"/>
  <c r="CI73" i="6"/>
  <c r="CQ73" i="6"/>
  <c r="CY73" i="6"/>
  <c r="DG73" i="6"/>
  <c r="DO73" i="6"/>
  <c r="DW73" i="6"/>
  <c r="EE73" i="6"/>
  <c r="W74" i="6"/>
  <c r="AE74" i="6"/>
  <c r="AM74" i="6"/>
  <c r="AU74" i="6"/>
  <c r="BC74" i="6"/>
  <c r="BK74" i="6"/>
  <c r="BS74" i="6"/>
  <c r="CA74" i="6"/>
  <c r="CI74" i="6"/>
  <c r="CQ74" i="6"/>
  <c r="CY74" i="6"/>
  <c r="DG74" i="6"/>
  <c r="DO74" i="6"/>
  <c r="DW74" i="6"/>
  <c r="EE74" i="6"/>
  <c r="W75" i="6"/>
  <c r="AE75" i="6"/>
  <c r="AM75" i="6"/>
  <c r="AU75" i="6"/>
  <c r="BC75" i="6"/>
  <c r="BK75" i="6"/>
  <c r="BS75" i="6"/>
  <c r="CA75" i="6"/>
  <c r="CI75" i="6"/>
  <c r="CQ75" i="6"/>
  <c r="CY75" i="6"/>
  <c r="DG75" i="6"/>
  <c r="DO75" i="6"/>
  <c r="DW75" i="6"/>
  <c r="EE75" i="6"/>
  <c r="W76" i="6"/>
  <c r="AE76" i="6"/>
  <c r="AM76" i="6"/>
  <c r="AU76" i="6"/>
  <c r="BC76" i="6"/>
  <c r="BK76" i="6"/>
  <c r="BS76" i="6"/>
  <c r="CA76" i="6"/>
  <c r="CI76" i="6"/>
  <c r="CQ76" i="6"/>
  <c r="CY76" i="6"/>
  <c r="DG76" i="6"/>
  <c r="DO76" i="6"/>
  <c r="DW76" i="6"/>
  <c r="EE76" i="6"/>
  <c r="W77" i="6"/>
  <c r="AE77" i="6"/>
  <c r="AM77" i="6"/>
  <c r="Y72" i="6"/>
  <c r="AG72" i="6"/>
  <c r="AO72" i="6"/>
  <c r="AW72" i="6"/>
  <c r="BE72" i="6"/>
  <c r="BM72" i="6"/>
  <c r="BU72" i="6"/>
  <c r="CC72" i="6"/>
  <c r="CK72" i="6"/>
  <c r="CS72" i="6"/>
  <c r="DA72" i="6"/>
  <c r="DI72" i="6"/>
  <c r="DQ72" i="6"/>
  <c r="DY72" i="6"/>
  <c r="EG72" i="6"/>
  <c r="Y73" i="6"/>
  <c r="AG73" i="6"/>
  <c r="AO73" i="6"/>
  <c r="AW73" i="6"/>
  <c r="BE73" i="6"/>
  <c r="BM73" i="6"/>
  <c r="BU73" i="6"/>
  <c r="CC73" i="6"/>
  <c r="CK73" i="6"/>
  <c r="CS73" i="6"/>
  <c r="DA73" i="6"/>
  <c r="DI73" i="6"/>
  <c r="DQ73" i="6"/>
  <c r="DY73" i="6"/>
  <c r="EG73" i="6"/>
  <c r="Y74" i="6"/>
  <c r="AG74" i="6"/>
  <c r="AO74" i="6"/>
  <c r="AW74" i="6"/>
  <c r="BE74" i="6"/>
  <c r="BM74" i="6"/>
  <c r="BU74" i="6"/>
  <c r="CC74" i="6"/>
  <c r="CK74" i="6"/>
  <c r="CS74" i="6"/>
  <c r="DA74" i="6"/>
  <c r="DI74" i="6"/>
  <c r="DQ74" i="6"/>
  <c r="DY74" i="6"/>
  <c r="EG74" i="6"/>
  <c r="Y75" i="6"/>
  <c r="AG75" i="6"/>
  <c r="AO75" i="6"/>
  <c r="AW75" i="6"/>
  <c r="BE75" i="6"/>
  <c r="BM75" i="6"/>
  <c r="BU75" i="6"/>
  <c r="CC75" i="6"/>
  <c r="CK75" i="6"/>
  <c r="CS75" i="6"/>
  <c r="DA75" i="6"/>
  <c r="DI75" i="6"/>
  <c r="DQ75" i="6"/>
  <c r="DY75" i="6"/>
  <c r="EG75" i="6"/>
  <c r="Y76" i="6"/>
  <c r="AG76" i="6"/>
  <c r="AO76" i="6"/>
  <c r="AW76" i="6"/>
  <c r="BE76" i="6"/>
  <c r="BM76" i="6"/>
  <c r="BU76" i="6"/>
  <c r="CC76" i="6"/>
  <c r="CK76" i="6"/>
  <c r="CS76" i="6"/>
  <c r="DA76" i="6"/>
  <c r="DI76" i="6"/>
  <c r="DQ76" i="6"/>
  <c r="DY76" i="6"/>
  <c r="EG76" i="6"/>
  <c r="Y77" i="6"/>
  <c r="AG77" i="6"/>
  <c r="AO77" i="6"/>
  <c r="AW77" i="6"/>
  <c r="BE77" i="6"/>
  <c r="BM77" i="6"/>
  <c r="BU77" i="6"/>
  <c r="CC77" i="6"/>
  <c r="CK77" i="6"/>
  <c r="CS77" i="6"/>
  <c r="Z72" i="6"/>
  <c r="AH72" i="6"/>
  <c r="AP72" i="6"/>
  <c r="AX72" i="6"/>
  <c r="BF72" i="6"/>
  <c r="BN72" i="6"/>
  <c r="BV72" i="6"/>
  <c r="CD72" i="6"/>
  <c r="CL72" i="6"/>
  <c r="CT72" i="6"/>
  <c r="DB72" i="6"/>
  <c r="DJ72" i="6"/>
  <c r="DR72" i="6"/>
  <c r="DZ72" i="6"/>
  <c r="EH72" i="6"/>
  <c r="Z73" i="6"/>
  <c r="AH73" i="6"/>
  <c r="AP73" i="6"/>
  <c r="AX73" i="6"/>
  <c r="BF73" i="6"/>
  <c r="BN73" i="6"/>
  <c r="BV73" i="6"/>
  <c r="CD73" i="6"/>
  <c r="CL73" i="6"/>
  <c r="CT73" i="6"/>
  <c r="DB73" i="6"/>
  <c r="DJ73" i="6"/>
  <c r="DR73" i="6"/>
  <c r="DZ73" i="6"/>
  <c r="EH73" i="6"/>
  <c r="Z74" i="6"/>
  <c r="AH74" i="6"/>
  <c r="AP74" i="6"/>
  <c r="AX74" i="6"/>
  <c r="BF74" i="6"/>
  <c r="BN74" i="6"/>
  <c r="BV74" i="6"/>
  <c r="CD74" i="6"/>
  <c r="CL74" i="6"/>
  <c r="CT74" i="6"/>
  <c r="DB74" i="6"/>
  <c r="DJ74" i="6"/>
  <c r="DR74" i="6"/>
  <c r="DZ74" i="6"/>
  <c r="EH74" i="6"/>
  <c r="Z75" i="6"/>
  <c r="AH75" i="6"/>
  <c r="AP75" i="6"/>
  <c r="AX75" i="6"/>
  <c r="BF75" i="6"/>
  <c r="BN75" i="6"/>
  <c r="BV75" i="6"/>
  <c r="CD75" i="6"/>
  <c r="CL75" i="6"/>
  <c r="CT75" i="6"/>
  <c r="DB75" i="6"/>
  <c r="DJ75" i="6"/>
  <c r="DR75" i="6"/>
  <c r="DZ75" i="6"/>
  <c r="EH75" i="6"/>
  <c r="Z76" i="6"/>
  <c r="AH76" i="6"/>
  <c r="AP76" i="6"/>
  <c r="AX76" i="6"/>
  <c r="BF76" i="6"/>
  <c r="BN76" i="6"/>
  <c r="AB72" i="6"/>
  <c r="AJ72" i="6"/>
  <c r="AR72" i="6"/>
  <c r="AZ72" i="6"/>
  <c r="BH72" i="6"/>
  <c r="BP72" i="6"/>
  <c r="BX72" i="6"/>
  <c r="CF72" i="6"/>
  <c r="CN72" i="6"/>
  <c r="CV72" i="6"/>
  <c r="DD72" i="6"/>
  <c r="DL72" i="6"/>
  <c r="DT72" i="6"/>
  <c r="EB72" i="6"/>
  <c r="EJ72" i="6"/>
  <c r="AB73" i="6"/>
  <c r="AJ73" i="6"/>
  <c r="AR73" i="6"/>
  <c r="AZ73" i="6"/>
  <c r="BH73" i="6"/>
  <c r="BP73" i="6"/>
  <c r="BX73" i="6"/>
  <c r="CF73" i="6"/>
  <c r="CN73" i="6"/>
  <c r="CV73" i="6"/>
  <c r="DD73" i="6"/>
  <c r="DL73" i="6"/>
  <c r="DT73" i="6"/>
  <c r="EB73" i="6"/>
  <c r="EJ73" i="6"/>
  <c r="AB74" i="6"/>
  <c r="AJ74" i="6"/>
  <c r="AR74" i="6"/>
  <c r="AZ74" i="6"/>
  <c r="BH74" i="6"/>
  <c r="BP74" i="6"/>
  <c r="BX74" i="6"/>
  <c r="CF74" i="6"/>
  <c r="CN74" i="6"/>
  <c r="CV74" i="6"/>
  <c r="DD74" i="6"/>
  <c r="DL74" i="6"/>
  <c r="DT74" i="6"/>
  <c r="EB74" i="6"/>
  <c r="EJ74" i="6"/>
  <c r="AB75" i="6"/>
  <c r="AJ75" i="6"/>
  <c r="AR75" i="6"/>
  <c r="AZ75" i="6"/>
  <c r="BH75" i="6"/>
  <c r="BP75" i="6"/>
  <c r="BX75" i="6"/>
  <c r="CF75" i="6"/>
  <c r="CN75" i="6"/>
  <c r="CV75" i="6"/>
  <c r="DD75" i="6"/>
  <c r="DL75" i="6"/>
  <c r="DT75" i="6"/>
  <c r="EB75" i="6"/>
  <c r="EJ75" i="6"/>
  <c r="AB76" i="6"/>
  <c r="AJ76" i="6"/>
  <c r="AR76" i="6"/>
  <c r="AZ76" i="6"/>
  <c r="BH76" i="6"/>
  <c r="BP76" i="6"/>
  <c r="BX76" i="6"/>
  <c r="CF76" i="6"/>
  <c r="CN76" i="6"/>
  <c r="CV76" i="6"/>
  <c r="DD76" i="6"/>
  <c r="DL76" i="6"/>
  <c r="DT76" i="6"/>
  <c r="EB76" i="6"/>
  <c r="EJ76" i="6"/>
  <c r="AB77" i="6"/>
  <c r="AJ77" i="6"/>
  <c r="AR77" i="6"/>
  <c r="AZ77" i="6"/>
  <c r="BH77" i="6"/>
  <c r="BP77" i="6"/>
  <c r="BX77" i="6"/>
  <c r="CF77" i="6"/>
  <c r="CN77" i="6"/>
  <c r="CV77" i="6"/>
  <c r="X72" i="6"/>
  <c r="AN72" i="6"/>
  <c r="BD72" i="6"/>
  <c r="BT72" i="6"/>
  <c r="CJ72" i="6"/>
  <c r="CZ72" i="6"/>
  <c r="DP72" i="6"/>
  <c r="EF72" i="6"/>
  <c r="AF73" i="6"/>
  <c r="AV73" i="6"/>
  <c r="BL73" i="6"/>
  <c r="CB73" i="6"/>
  <c r="CR73" i="6"/>
  <c r="DH73" i="6"/>
  <c r="DX73" i="6"/>
  <c r="X74" i="6"/>
  <c r="AN74" i="6"/>
  <c r="BD74" i="6"/>
  <c r="BT74" i="6"/>
  <c r="CJ74" i="6"/>
  <c r="CZ74" i="6"/>
  <c r="DP74" i="6"/>
  <c r="EF74" i="6"/>
  <c r="AF75" i="6"/>
  <c r="AV75" i="6"/>
  <c r="BL75" i="6"/>
  <c r="CB75" i="6"/>
  <c r="CR75" i="6"/>
  <c r="DH75" i="6"/>
  <c r="DX75" i="6"/>
  <c r="X76" i="6"/>
  <c r="AN76" i="6"/>
  <c r="BD76" i="6"/>
  <c r="BT76" i="6"/>
  <c r="CG76" i="6"/>
  <c r="CT76" i="6"/>
  <c r="DF76" i="6"/>
  <c r="DS76" i="6"/>
  <c r="EF76" i="6"/>
  <c r="AC77" i="6"/>
  <c r="AP77" i="6"/>
  <c r="BA77" i="6"/>
  <c r="BK77" i="6"/>
  <c r="BV77" i="6"/>
  <c r="CG77" i="6"/>
  <c r="CQ77" i="6"/>
  <c r="DA77" i="6"/>
  <c r="DI77" i="6"/>
  <c r="DQ77" i="6"/>
  <c r="DY77" i="6"/>
  <c r="EG77" i="6"/>
  <c r="Y78" i="6"/>
  <c r="AG78" i="6"/>
  <c r="AO78" i="6"/>
  <c r="AW78" i="6"/>
  <c r="BE78" i="6"/>
  <c r="BM78" i="6"/>
  <c r="BU78" i="6"/>
  <c r="CC78" i="6"/>
  <c r="CK78" i="6"/>
  <c r="CS78" i="6"/>
  <c r="DA78" i="6"/>
  <c r="DI78" i="6"/>
  <c r="DQ78" i="6"/>
  <c r="DY78" i="6"/>
  <c r="EG78" i="6"/>
  <c r="AF72" i="6"/>
  <c r="CR72" i="6"/>
  <c r="DH72" i="6"/>
  <c r="DX72" i="6"/>
  <c r="X73" i="6"/>
  <c r="AN73" i="6"/>
  <c r="BD73" i="6"/>
  <c r="BT73" i="6"/>
  <c r="CJ73" i="6"/>
  <c r="CZ73" i="6"/>
  <c r="DP73" i="6"/>
  <c r="EF73" i="6"/>
  <c r="AF74" i="6"/>
  <c r="AV74" i="6"/>
  <c r="CB74" i="6"/>
  <c r="CR74" i="6"/>
  <c r="X75" i="6"/>
  <c r="BD75" i="6"/>
  <c r="CJ75" i="6"/>
  <c r="AA72" i="6"/>
  <c r="AQ72" i="6"/>
  <c r="BG72" i="6"/>
  <c r="BW72" i="6"/>
  <c r="CM72" i="6"/>
  <c r="DC72" i="6"/>
  <c r="DS72" i="6"/>
  <c r="EI72" i="6"/>
  <c r="AI73" i="6"/>
  <c r="AY73" i="6"/>
  <c r="BO73" i="6"/>
  <c r="CE73" i="6"/>
  <c r="CU73" i="6"/>
  <c r="DK73" i="6"/>
  <c r="EA73" i="6"/>
  <c r="AA74" i="6"/>
  <c r="AQ74" i="6"/>
  <c r="BG74" i="6"/>
  <c r="BW74" i="6"/>
  <c r="CM74" i="6"/>
  <c r="DC74" i="6"/>
  <c r="DS74" i="6"/>
  <c r="EI74" i="6"/>
  <c r="AI75" i="6"/>
  <c r="AY75" i="6"/>
  <c r="BO75" i="6"/>
  <c r="CE75" i="6"/>
  <c r="CU75" i="6"/>
  <c r="DK75" i="6"/>
  <c r="EA75" i="6"/>
  <c r="AA76" i="6"/>
  <c r="AQ76" i="6"/>
  <c r="BG76" i="6"/>
  <c r="BV76" i="6"/>
  <c r="CH76" i="6"/>
  <c r="CU76" i="6"/>
  <c r="DH76" i="6"/>
  <c r="DU76" i="6"/>
  <c r="EH76" i="6"/>
  <c r="AD77" i="6"/>
  <c r="AQ77" i="6"/>
  <c r="BB77" i="6"/>
  <c r="BL77" i="6"/>
  <c r="BW77" i="6"/>
  <c r="CH77" i="6"/>
  <c r="CR77" i="6"/>
  <c r="DB77" i="6"/>
  <c r="DJ77" i="6"/>
  <c r="DR77" i="6"/>
  <c r="DZ77" i="6"/>
  <c r="EH77" i="6"/>
  <c r="Z78" i="6"/>
  <c r="AH78" i="6"/>
  <c r="AP78" i="6"/>
  <c r="AX78" i="6"/>
  <c r="BF78" i="6"/>
  <c r="BN78" i="6"/>
  <c r="BV78" i="6"/>
  <c r="CD78" i="6"/>
  <c r="CL78" i="6"/>
  <c r="CT78" i="6"/>
  <c r="DB78" i="6"/>
  <c r="DJ78" i="6"/>
  <c r="DR78" i="6"/>
  <c r="DZ78" i="6"/>
  <c r="EH78" i="6"/>
  <c r="CB72" i="6"/>
  <c r="BL74" i="6"/>
  <c r="DX74" i="6"/>
  <c r="AN75" i="6"/>
  <c r="BT75" i="6"/>
  <c r="DP75" i="6"/>
  <c r="AC72" i="6"/>
  <c r="AS72" i="6"/>
  <c r="BI72" i="6"/>
  <c r="BY72" i="6"/>
  <c r="CO72" i="6"/>
  <c r="DE72" i="6"/>
  <c r="DU72" i="6"/>
  <c r="EK72" i="6"/>
  <c r="AK73" i="6"/>
  <c r="BA73" i="6"/>
  <c r="BQ73" i="6"/>
  <c r="CG73" i="6"/>
  <c r="CW73" i="6"/>
  <c r="DM73" i="6"/>
  <c r="EC73" i="6"/>
  <c r="AC74" i="6"/>
  <c r="AS74" i="6"/>
  <c r="BI74" i="6"/>
  <c r="BY74" i="6"/>
  <c r="CO74" i="6"/>
  <c r="DE74" i="6"/>
  <c r="DU74" i="6"/>
  <c r="EK74" i="6"/>
  <c r="AK75" i="6"/>
  <c r="BA75" i="6"/>
  <c r="BQ75" i="6"/>
  <c r="CG75" i="6"/>
  <c r="CW75" i="6"/>
  <c r="DM75" i="6"/>
  <c r="EC75" i="6"/>
  <c r="AC76" i="6"/>
  <c r="AS76" i="6"/>
  <c r="BI76" i="6"/>
  <c r="BW76" i="6"/>
  <c r="CJ76" i="6"/>
  <c r="CW76" i="6"/>
  <c r="DJ76" i="6"/>
  <c r="DV76" i="6"/>
  <c r="EI76" i="6"/>
  <c r="AF77" i="6"/>
  <c r="AS77" i="6"/>
  <c r="BC77" i="6"/>
  <c r="BN77" i="6"/>
  <c r="BY77" i="6"/>
  <c r="CI77" i="6"/>
  <c r="CT77" i="6"/>
  <c r="DC77" i="6"/>
  <c r="DK77" i="6"/>
  <c r="DS77" i="6"/>
  <c r="EA77" i="6"/>
  <c r="EI77" i="6"/>
  <c r="AA78" i="6"/>
  <c r="AI78" i="6"/>
  <c r="AQ78" i="6"/>
  <c r="AY78" i="6"/>
  <c r="BG78" i="6"/>
  <c r="BO78" i="6"/>
  <c r="BW78" i="6"/>
  <c r="CE78" i="6"/>
  <c r="CM78" i="6"/>
  <c r="CU78" i="6"/>
  <c r="DC78" i="6"/>
  <c r="DK78" i="6"/>
  <c r="DS78" i="6"/>
  <c r="EA78" i="6"/>
  <c r="EI78" i="6"/>
  <c r="AD72" i="6"/>
  <c r="AT72" i="6"/>
  <c r="BJ72" i="6"/>
  <c r="BZ72" i="6"/>
  <c r="CP72" i="6"/>
  <c r="DF72" i="6"/>
  <c r="DV72" i="6"/>
  <c r="EL72" i="6"/>
  <c r="AL73" i="6"/>
  <c r="BB73" i="6"/>
  <c r="BR73" i="6"/>
  <c r="CH73" i="6"/>
  <c r="CX73" i="6"/>
  <c r="DN73" i="6"/>
  <c r="ED73" i="6"/>
  <c r="AD74" i="6"/>
  <c r="AT74" i="6"/>
  <c r="BJ74" i="6"/>
  <c r="BZ74" i="6"/>
  <c r="CP74" i="6"/>
  <c r="DF74" i="6"/>
  <c r="DV74" i="6"/>
  <c r="EL74" i="6"/>
  <c r="AL75" i="6"/>
  <c r="BB75" i="6"/>
  <c r="BR75" i="6"/>
  <c r="CH75" i="6"/>
  <c r="CX75" i="6"/>
  <c r="DN75" i="6"/>
  <c r="ED75" i="6"/>
  <c r="AD76" i="6"/>
  <c r="AT76" i="6"/>
  <c r="BJ76" i="6"/>
  <c r="BY76" i="6"/>
  <c r="CL76" i="6"/>
  <c r="CX76" i="6"/>
  <c r="DK76" i="6"/>
  <c r="DX76" i="6"/>
  <c r="EK76" i="6"/>
  <c r="AH77" i="6"/>
  <c r="AT77" i="6"/>
  <c r="BD77" i="6"/>
  <c r="BO77" i="6"/>
  <c r="BZ77" i="6"/>
  <c r="CJ77" i="6"/>
  <c r="CU77" i="6"/>
  <c r="DD77" i="6"/>
  <c r="DL77" i="6"/>
  <c r="DT77" i="6"/>
  <c r="EB77" i="6"/>
  <c r="EJ77" i="6"/>
  <c r="AB78" i="6"/>
  <c r="AJ78" i="6"/>
  <c r="AR78" i="6"/>
  <c r="AZ78" i="6"/>
  <c r="BH78" i="6"/>
  <c r="BP78" i="6"/>
  <c r="BX78" i="6"/>
  <c r="CF78" i="6"/>
  <c r="CN78" i="6"/>
  <c r="CV78" i="6"/>
  <c r="DD78" i="6"/>
  <c r="DL78" i="6"/>
  <c r="DT78" i="6"/>
  <c r="EB78" i="6"/>
  <c r="EJ78" i="6"/>
  <c r="AV72" i="6"/>
  <c r="DH74" i="6"/>
  <c r="CZ75" i="6"/>
  <c r="AI72" i="6"/>
  <c r="AY72" i="6"/>
  <c r="BO72" i="6"/>
  <c r="CE72" i="6"/>
  <c r="CU72" i="6"/>
  <c r="DK72" i="6"/>
  <c r="EA72" i="6"/>
  <c r="AA73" i="6"/>
  <c r="AQ73" i="6"/>
  <c r="BG73" i="6"/>
  <c r="BW73" i="6"/>
  <c r="CM73" i="6"/>
  <c r="DC73" i="6"/>
  <c r="DS73" i="6"/>
  <c r="EI73" i="6"/>
  <c r="AI74" i="6"/>
  <c r="AY74" i="6"/>
  <c r="BO74" i="6"/>
  <c r="CE74" i="6"/>
  <c r="CU74" i="6"/>
  <c r="DK74" i="6"/>
  <c r="EA74" i="6"/>
  <c r="AA75" i="6"/>
  <c r="AQ75" i="6"/>
  <c r="BG75" i="6"/>
  <c r="BW75" i="6"/>
  <c r="CM75" i="6"/>
  <c r="DC75" i="6"/>
  <c r="DS75" i="6"/>
  <c r="EI75" i="6"/>
  <c r="AI76" i="6"/>
  <c r="AY76" i="6"/>
  <c r="BO76" i="6"/>
  <c r="CB76" i="6"/>
  <c r="CO76" i="6"/>
  <c r="DB76" i="6"/>
  <c r="DN76" i="6"/>
  <c r="EA76" i="6"/>
  <c r="X77" i="6"/>
  <c r="AK77" i="6"/>
  <c r="AV77" i="6"/>
  <c r="BG77" i="6"/>
  <c r="BR77" i="6"/>
  <c r="CB77" i="6"/>
  <c r="CM77" i="6"/>
  <c r="CX77" i="6"/>
  <c r="DF77" i="6"/>
  <c r="DN77" i="6"/>
  <c r="DV77" i="6"/>
  <c r="ED77" i="6"/>
  <c r="EL77" i="6"/>
  <c r="AD78" i="6"/>
  <c r="AL78" i="6"/>
  <c r="AT78" i="6"/>
  <c r="BB78" i="6"/>
  <c r="BJ78" i="6"/>
  <c r="BR78" i="6"/>
  <c r="BZ78" i="6"/>
  <c r="CH78" i="6"/>
  <c r="CP78" i="6"/>
  <c r="CX78" i="6"/>
  <c r="DF78" i="6"/>
  <c r="DN78" i="6"/>
  <c r="DV78" i="6"/>
  <c r="ED78" i="6"/>
  <c r="EL78" i="6"/>
  <c r="AK72" i="6"/>
  <c r="BA72" i="6"/>
  <c r="BQ72" i="6"/>
  <c r="CG72" i="6"/>
  <c r="CW72" i="6"/>
  <c r="DM72" i="6"/>
  <c r="EC72" i="6"/>
  <c r="AC73" i="6"/>
  <c r="AS73" i="6"/>
  <c r="BI73" i="6"/>
  <c r="BY73" i="6"/>
  <c r="CO73" i="6"/>
  <c r="DE73" i="6"/>
  <c r="DU73" i="6"/>
  <c r="EK73" i="6"/>
  <c r="AK74" i="6"/>
  <c r="BA74" i="6"/>
  <c r="BQ74" i="6"/>
  <c r="CG74" i="6"/>
  <c r="CW74" i="6"/>
  <c r="DM74" i="6"/>
  <c r="EC74" i="6"/>
  <c r="AC75" i="6"/>
  <c r="AS75" i="6"/>
  <c r="BI75" i="6"/>
  <c r="BY75" i="6"/>
  <c r="CO75" i="6"/>
  <c r="DE75" i="6"/>
  <c r="DU75" i="6"/>
  <c r="EK75" i="6"/>
  <c r="AK76" i="6"/>
  <c r="BA76" i="6"/>
  <c r="BQ76" i="6"/>
  <c r="CD76" i="6"/>
  <c r="CP76" i="6"/>
  <c r="DC76" i="6"/>
  <c r="DP76" i="6"/>
  <c r="EC76" i="6"/>
  <c r="Z77" i="6"/>
  <c r="AL77" i="6"/>
  <c r="AX77" i="6"/>
  <c r="BI77" i="6"/>
  <c r="BS77" i="6"/>
  <c r="CD77" i="6"/>
  <c r="CO77" i="6"/>
  <c r="CY77" i="6"/>
  <c r="DG77" i="6"/>
  <c r="DO77" i="6"/>
  <c r="DW77" i="6"/>
  <c r="EE77" i="6"/>
  <c r="W78" i="6"/>
  <c r="AE78" i="6"/>
  <c r="C759" i="5"/>
  <c r="F758" i="5"/>
  <c r="E758" i="5"/>
  <c r="D758" i="5"/>
  <c r="F757" i="5"/>
  <c r="E757" i="5"/>
  <c r="D757" i="5"/>
  <c r="F756" i="5"/>
  <c r="E756" i="5"/>
  <c r="D756" i="5"/>
  <c r="F755" i="5"/>
  <c r="E755" i="5"/>
  <c r="D755" i="5"/>
  <c r="F754" i="5"/>
  <c r="E754" i="5"/>
  <c r="D754" i="5"/>
  <c r="F753" i="5"/>
  <c r="E753" i="5"/>
  <c r="D753" i="5"/>
  <c r="F752" i="5"/>
  <c r="E752" i="5"/>
  <c r="D752" i="5"/>
  <c r="F751" i="5"/>
  <c r="E751" i="5"/>
  <c r="D751" i="5"/>
  <c r="F750" i="5"/>
  <c r="E750" i="5"/>
  <c r="D750" i="5"/>
  <c r="F749" i="5"/>
  <c r="E749" i="5"/>
  <c r="D749" i="5"/>
  <c r="F748" i="5"/>
  <c r="E748" i="5"/>
  <c r="D748" i="5"/>
  <c r="F747" i="5"/>
  <c r="E747" i="5"/>
  <c r="D747" i="5"/>
  <c r="F746" i="5"/>
  <c r="E746" i="5"/>
  <c r="D746" i="5"/>
  <c r="F745" i="5"/>
  <c r="E745" i="5"/>
  <c r="D745" i="5"/>
  <c r="F744" i="5"/>
  <c r="E744" i="5"/>
  <c r="D744" i="5"/>
  <c r="F743" i="5"/>
  <c r="E743" i="5"/>
  <c r="D743" i="5"/>
  <c r="F742" i="5"/>
  <c r="E742" i="5"/>
  <c r="D742" i="5"/>
  <c r="F741" i="5"/>
  <c r="E741" i="5"/>
  <c r="D741" i="5"/>
  <c r="F740" i="5"/>
  <c r="E740" i="5"/>
  <c r="D740" i="5"/>
  <c r="F739" i="5"/>
  <c r="E739" i="5"/>
  <c r="D739" i="5"/>
  <c r="F738" i="5"/>
  <c r="E738" i="5"/>
  <c r="D738" i="5"/>
  <c r="F737" i="5"/>
  <c r="E737" i="5"/>
  <c r="D737" i="5"/>
  <c r="F736" i="5"/>
  <c r="E736" i="5"/>
  <c r="D736" i="5"/>
  <c r="F735" i="5"/>
  <c r="E735" i="5"/>
  <c r="D735" i="5"/>
  <c r="F734" i="5"/>
  <c r="E734" i="5"/>
  <c r="D734" i="5"/>
  <c r="F733" i="5"/>
  <c r="E733" i="5"/>
  <c r="D733" i="5"/>
  <c r="F732" i="5"/>
  <c r="E732" i="5"/>
  <c r="D732" i="5"/>
  <c r="F731" i="5"/>
  <c r="E731" i="5"/>
  <c r="D731" i="5"/>
  <c r="F730" i="5"/>
  <c r="E730" i="5"/>
  <c r="D730" i="5"/>
  <c r="F729" i="5"/>
  <c r="E729" i="5"/>
  <c r="D729" i="5"/>
  <c r="F728" i="5"/>
  <c r="E728" i="5"/>
  <c r="D728" i="5"/>
  <c r="F727" i="5"/>
  <c r="E727" i="5"/>
  <c r="D727" i="5"/>
  <c r="F726" i="5"/>
  <c r="E726" i="5"/>
  <c r="D726" i="5"/>
  <c r="F725" i="5"/>
  <c r="E725" i="5"/>
  <c r="D725" i="5"/>
  <c r="F724" i="5"/>
  <c r="E724" i="5"/>
  <c r="D724" i="5"/>
  <c r="F723" i="5"/>
  <c r="E723" i="5"/>
  <c r="D723" i="5"/>
  <c r="F722" i="5"/>
  <c r="E722" i="5"/>
  <c r="D722" i="5"/>
  <c r="F721" i="5"/>
  <c r="E721" i="5"/>
  <c r="D721" i="5"/>
  <c r="F720" i="5"/>
  <c r="E720" i="5"/>
  <c r="D720" i="5"/>
  <c r="F719" i="5"/>
  <c r="E719" i="5"/>
  <c r="D719" i="5"/>
  <c r="F718" i="5"/>
  <c r="E718" i="5"/>
  <c r="D718" i="5"/>
  <c r="F717" i="5"/>
  <c r="E717" i="5"/>
  <c r="D717" i="5"/>
  <c r="F716" i="5"/>
  <c r="E716" i="5"/>
  <c r="D716" i="5"/>
  <c r="F715" i="5"/>
  <c r="E715" i="5"/>
  <c r="D715" i="5"/>
  <c r="F714" i="5"/>
  <c r="E714" i="5"/>
  <c r="D714" i="5"/>
  <c r="F713" i="5"/>
  <c r="E713" i="5"/>
  <c r="D713" i="5"/>
  <c r="F712" i="5"/>
  <c r="E712" i="5"/>
  <c r="D712" i="5"/>
  <c r="F711" i="5"/>
  <c r="E711" i="5"/>
  <c r="D711" i="5"/>
  <c r="F710" i="5"/>
  <c r="E710" i="5"/>
  <c r="D710" i="5"/>
  <c r="F709" i="5"/>
  <c r="E709" i="5"/>
  <c r="D709" i="5"/>
  <c r="F708" i="5"/>
  <c r="E708" i="5"/>
  <c r="D708" i="5"/>
  <c r="F707" i="5"/>
  <c r="E707" i="5"/>
  <c r="D707" i="5"/>
  <c r="F706" i="5"/>
  <c r="E706" i="5"/>
  <c r="D706" i="5"/>
  <c r="F705" i="5"/>
  <c r="E705" i="5"/>
  <c r="D705" i="5"/>
  <c r="F704" i="5"/>
  <c r="E704" i="5"/>
  <c r="D704" i="5"/>
  <c r="F703" i="5"/>
  <c r="E703" i="5"/>
  <c r="D703" i="5"/>
  <c r="F702" i="5"/>
  <c r="E702" i="5"/>
  <c r="D702" i="5"/>
  <c r="F701" i="5"/>
  <c r="E701" i="5"/>
  <c r="D701" i="5"/>
  <c r="F700" i="5"/>
  <c r="E700" i="5"/>
  <c r="D700" i="5"/>
  <c r="F699" i="5"/>
  <c r="E699" i="5"/>
  <c r="D699" i="5"/>
  <c r="F698" i="5"/>
  <c r="E698" i="5"/>
  <c r="D698" i="5"/>
  <c r="F697" i="5"/>
  <c r="E697" i="5"/>
  <c r="D697" i="5"/>
  <c r="F696" i="5"/>
  <c r="E696" i="5"/>
  <c r="D696" i="5"/>
  <c r="F695" i="5"/>
  <c r="E695" i="5"/>
  <c r="D695" i="5"/>
  <c r="F694" i="5"/>
  <c r="E694" i="5"/>
  <c r="D694" i="5"/>
  <c r="F693" i="5"/>
  <c r="E693" i="5"/>
  <c r="D693" i="5"/>
  <c r="F692" i="5"/>
  <c r="E692" i="5"/>
  <c r="D692" i="5"/>
  <c r="F691" i="5"/>
  <c r="E691" i="5"/>
  <c r="D691" i="5"/>
  <c r="F690" i="5"/>
  <c r="E690" i="5"/>
  <c r="D690" i="5"/>
  <c r="F689" i="5"/>
  <c r="E689" i="5"/>
  <c r="D689" i="5"/>
  <c r="F688" i="5"/>
  <c r="E688" i="5"/>
  <c r="D688" i="5"/>
  <c r="F687" i="5"/>
  <c r="E687" i="5"/>
  <c r="D687" i="5"/>
  <c r="F686" i="5"/>
  <c r="E686" i="5"/>
  <c r="D686" i="5"/>
  <c r="F685" i="5"/>
  <c r="E685" i="5"/>
  <c r="D685" i="5"/>
  <c r="F684" i="5"/>
  <c r="E684" i="5"/>
  <c r="D684" i="5"/>
  <c r="F683" i="5"/>
  <c r="E683" i="5"/>
  <c r="D683" i="5"/>
  <c r="F682" i="5"/>
  <c r="E682" i="5"/>
  <c r="D682" i="5"/>
  <c r="F681" i="5"/>
  <c r="E681" i="5"/>
  <c r="D681" i="5"/>
  <c r="F680" i="5"/>
  <c r="E680" i="5"/>
  <c r="D680" i="5"/>
  <c r="F679" i="5"/>
  <c r="E679" i="5"/>
  <c r="D679" i="5"/>
  <c r="F678" i="5"/>
  <c r="E678" i="5"/>
  <c r="D678" i="5"/>
  <c r="F677" i="5"/>
  <c r="E677" i="5"/>
  <c r="D677" i="5"/>
  <c r="F676" i="5"/>
  <c r="E676" i="5"/>
  <c r="D676" i="5"/>
  <c r="F675" i="5"/>
  <c r="E675" i="5"/>
  <c r="D675" i="5"/>
  <c r="F674" i="5"/>
  <c r="E674" i="5"/>
  <c r="D674" i="5"/>
  <c r="F673" i="5"/>
  <c r="E673" i="5"/>
  <c r="D673" i="5"/>
  <c r="F672" i="5"/>
  <c r="E672" i="5"/>
  <c r="D672" i="5"/>
  <c r="F671" i="5"/>
  <c r="E671" i="5"/>
  <c r="D671" i="5"/>
  <c r="F670" i="5"/>
  <c r="E670" i="5"/>
  <c r="D670" i="5"/>
  <c r="F669" i="5"/>
  <c r="E669" i="5"/>
  <c r="D669" i="5"/>
  <c r="F668" i="5"/>
  <c r="E668" i="5"/>
  <c r="D668" i="5"/>
  <c r="F667" i="5"/>
  <c r="E667" i="5"/>
  <c r="D667" i="5"/>
  <c r="F666" i="5"/>
  <c r="E666" i="5"/>
  <c r="D666" i="5"/>
  <c r="F665" i="5"/>
  <c r="E665" i="5"/>
  <c r="D665" i="5"/>
  <c r="F664" i="5"/>
  <c r="E664" i="5"/>
  <c r="D664" i="5"/>
  <c r="F663" i="5"/>
  <c r="E663" i="5"/>
  <c r="D663" i="5"/>
  <c r="F662" i="5"/>
  <c r="E662" i="5"/>
  <c r="D662" i="5"/>
  <c r="L661" i="5"/>
  <c r="F661" i="5"/>
  <c r="E661" i="5"/>
  <c r="D661" i="5"/>
  <c r="L660" i="5"/>
  <c r="F660" i="5"/>
  <c r="E660" i="5"/>
  <c r="D660" i="5"/>
  <c r="F659" i="5"/>
  <c r="E659" i="5"/>
  <c r="D659" i="5"/>
  <c r="F658" i="5"/>
  <c r="E658" i="5"/>
  <c r="D658" i="5"/>
  <c r="F657" i="5"/>
  <c r="E657" i="5"/>
  <c r="D657" i="5"/>
  <c r="F656" i="5"/>
  <c r="E656" i="5"/>
  <c r="D656" i="5"/>
  <c r="F655" i="5"/>
  <c r="E655" i="5"/>
  <c r="D655" i="5"/>
  <c r="F654" i="5"/>
  <c r="E654" i="5"/>
  <c r="D654" i="5"/>
  <c r="F653" i="5"/>
  <c r="E653" i="5"/>
  <c r="D653" i="5"/>
  <c r="F652" i="5"/>
  <c r="E652" i="5"/>
  <c r="D652" i="5"/>
  <c r="F651" i="5"/>
  <c r="E651" i="5"/>
  <c r="D651" i="5"/>
  <c r="F650" i="5"/>
  <c r="E650" i="5"/>
  <c r="D650" i="5"/>
  <c r="F649" i="5"/>
  <c r="E649" i="5"/>
  <c r="D649" i="5"/>
  <c r="F648" i="5"/>
  <c r="E648" i="5"/>
  <c r="D648" i="5"/>
  <c r="F647" i="5"/>
  <c r="E647" i="5"/>
  <c r="D647" i="5"/>
  <c r="F646" i="5"/>
  <c r="E646" i="5"/>
  <c r="D646" i="5"/>
  <c r="F645" i="5"/>
  <c r="E645" i="5"/>
  <c r="D645" i="5"/>
  <c r="F644" i="5"/>
  <c r="E644" i="5"/>
  <c r="D644" i="5"/>
  <c r="F643" i="5"/>
  <c r="E643" i="5"/>
  <c r="D643" i="5"/>
  <c r="F642" i="5"/>
  <c r="E642" i="5"/>
  <c r="D642" i="5"/>
  <c r="F641" i="5"/>
  <c r="E641" i="5"/>
  <c r="D641" i="5"/>
  <c r="F640" i="5"/>
  <c r="E640" i="5"/>
  <c r="D640" i="5"/>
  <c r="F639" i="5"/>
  <c r="E639" i="5"/>
  <c r="D639" i="5"/>
  <c r="C632" i="5"/>
  <c r="F631" i="5"/>
  <c r="E631" i="5"/>
  <c r="D631" i="5"/>
  <c r="F630" i="5"/>
  <c r="E630" i="5"/>
  <c r="D630" i="5"/>
  <c r="F629" i="5"/>
  <c r="E629" i="5"/>
  <c r="D629" i="5"/>
  <c r="F628" i="5"/>
  <c r="E628" i="5"/>
  <c r="D628" i="5"/>
  <c r="F627" i="5"/>
  <c r="E627" i="5"/>
  <c r="D627" i="5"/>
  <c r="F626" i="5"/>
  <c r="E626" i="5"/>
  <c r="D626" i="5"/>
  <c r="F625" i="5"/>
  <c r="E625" i="5"/>
  <c r="D625" i="5"/>
  <c r="F624" i="5"/>
  <c r="E624" i="5"/>
  <c r="D624" i="5"/>
  <c r="F623" i="5"/>
  <c r="E623" i="5"/>
  <c r="D623" i="5"/>
  <c r="F622" i="5"/>
  <c r="E622" i="5"/>
  <c r="D622" i="5"/>
  <c r="F621" i="5"/>
  <c r="E621" i="5"/>
  <c r="D621" i="5"/>
  <c r="F620" i="5"/>
  <c r="E620" i="5"/>
  <c r="D620" i="5"/>
  <c r="F619" i="5"/>
  <c r="E619" i="5"/>
  <c r="D619" i="5"/>
  <c r="F618" i="5"/>
  <c r="E618" i="5"/>
  <c r="D618" i="5"/>
  <c r="F617" i="5"/>
  <c r="E617" i="5"/>
  <c r="D617" i="5"/>
  <c r="F616" i="5"/>
  <c r="E616" i="5"/>
  <c r="D616" i="5"/>
  <c r="F615" i="5"/>
  <c r="E615" i="5"/>
  <c r="D615" i="5"/>
  <c r="F614" i="5"/>
  <c r="E614" i="5"/>
  <c r="D614" i="5"/>
  <c r="F613" i="5"/>
  <c r="E613" i="5"/>
  <c r="D613" i="5"/>
  <c r="F612" i="5"/>
  <c r="E612" i="5"/>
  <c r="D612" i="5"/>
  <c r="F611" i="5"/>
  <c r="E611" i="5"/>
  <c r="D611" i="5"/>
  <c r="F610" i="5"/>
  <c r="E610" i="5"/>
  <c r="D610" i="5"/>
  <c r="F609" i="5"/>
  <c r="E609" i="5"/>
  <c r="D609" i="5"/>
  <c r="F608" i="5"/>
  <c r="E608" i="5"/>
  <c r="D608" i="5"/>
  <c r="F607" i="5"/>
  <c r="E607" i="5"/>
  <c r="D607" i="5"/>
  <c r="F606" i="5"/>
  <c r="E606" i="5"/>
  <c r="D606" i="5"/>
  <c r="F605" i="5"/>
  <c r="E605" i="5"/>
  <c r="D605" i="5"/>
  <c r="F604" i="5"/>
  <c r="E604" i="5"/>
  <c r="D604" i="5"/>
  <c r="F603" i="5"/>
  <c r="E603" i="5"/>
  <c r="D603" i="5"/>
  <c r="F602" i="5"/>
  <c r="E602" i="5"/>
  <c r="D602" i="5"/>
  <c r="F601" i="5"/>
  <c r="E601" i="5"/>
  <c r="D601" i="5"/>
  <c r="F600" i="5"/>
  <c r="E600" i="5"/>
  <c r="D600" i="5"/>
  <c r="F599" i="5"/>
  <c r="E599" i="5"/>
  <c r="D599" i="5"/>
  <c r="F598" i="5"/>
  <c r="E598" i="5"/>
  <c r="D598" i="5"/>
  <c r="F597" i="5"/>
  <c r="E597" i="5"/>
  <c r="D597" i="5"/>
  <c r="F596" i="5"/>
  <c r="E596" i="5"/>
  <c r="D596" i="5"/>
  <c r="F595" i="5"/>
  <c r="E595" i="5"/>
  <c r="D595" i="5"/>
  <c r="F594" i="5"/>
  <c r="E594" i="5"/>
  <c r="D594" i="5"/>
  <c r="F593" i="5"/>
  <c r="E593" i="5"/>
  <c r="D593" i="5"/>
  <c r="F592" i="5"/>
  <c r="E592" i="5"/>
  <c r="D592" i="5"/>
  <c r="F591" i="5"/>
  <c r="E591" i="5"/>
  <c r="D591" i="5"/>
  <c r="F590" i="5"/>
  <c r="E590" i="5"/>
  <c r="D590" i="5"/>
  <c r="F589" i="5"/>
  <c r="E589" i="5"/>
  <c r="D589" i="5"/>
  <c r="F588" i="5"/>
  <c r="E588" i="5"/>
  <c r="D588" i="5"/>
  <c r="F587" i="5"/>
  <c r="E587" i="5"/>
  <c r="D587" i="5"/>
  <c r="F586" i="5"/>
  <c r="E586" i="5"/>
  <c r="D586" i="5"/>
  <c r="F585" i="5"/>
  <c r="E585" i="5"/>
  <c r="D585" i="5"/>
  <c r="F584" i="5"/>
  <c r="E584" i="5"/>
  <c r="D584" i="5"/>
  <c r="F583" i="5"/>
  <c r="E583" i="5"/>
  <c r="D583" i="5"/>
  <c r="F582" i="5"/>
  <c r="E582" i="5"/>
  <c r="D582" i="5"/>
  <c r="F581" i="5"/>
  <c r="E581" i="5"/>
  <c r="D581" i="5"/>
  <c r="F580" i="5"/>
  <c r="E580" i="5"/>
  <c r="D580" i="5"/>
  <c r="F579" i="5"/>
  <c r="E579" i="5"/>
  <c r="D579" i="5"/>
  <c r="F578" i="5"/>
  <c r="E578" i="5"/>
  <c r="D578" i="5"/>
  <c r="F577" i="5"/>
  <c r="E577" i="5"/>
  <c r="D577" i="5"/>
  <c r="F576" i="5"/>
  <c r="E576" i="5"/>
  <c r="D576" i="5"/>
  <c r="F575" i="5"/>
  <c r="E575" i="5"/>
  <c r="D575" i="5"/>
  <c r="F574" i="5"/>
  <c r="E574" i="5"/>
  <c r="D574" i="5"/>
  <c r="F573" i="5"/>
  <c r="E573" i="5"/>
  <c r="D573" i="5"/>
  <c r="F572" i="5"/>
  <c r="E572" i="5"/>
  <c r="D572" i="5"/>
  <c r="F571" i="5"/>
  <c r="E571" i="5"/>
  <c r="D571" i="5"/>
  <c r="F570" i="5"/>
  <c r="E570" i="5"/>
  <c r="D570" i="5"/>
  <c r="F569" i="5"/>
  <c r="E569" i="5"/>
  <c r="D569" i="5"/>
  <c r="F568" i="5"/>
  <c r="E568" i="5"/>
  <c r="D568" i="5"/>
  <c r="F567" i="5"/>
  <c r="E567" i="5"/>
  <c r="D567" i="5"/>
  <c r="F566" i="5"/>
  <c r="E566" i="5"/>
  <c r="D566" i="5"/>
  <c r="F565" i="5"/>
  <c r="E565" i="5"/>
  <c r="D565" i="5"/>
  <c r="F564" i="5"/>
  <c r="E564" i="5"/>
  <c r="D564" i="5"/>
  <c r="F563" i="5"/>
  <c r="E563" i="5"/>
  <c r="D563" i="5"/>
  <c r="F562" i="5"/>
  <c r="E562" i="5"/>
  <c r="D562" i="5"/>
  <c r="F561" i="5"/>
  <c r="E561" i="5"/>
  <c r="D561" i="5"/>
  <c r="F560" i="5"/>
  <c r="E560" i="5"/>
  <c r="D560" i="5"/>
  <c r="F559" i="5"/>
  <c r="E559" i="5"/>
  <c r="D559" i="5"/>
  <c r="F558" i="5"/>
  <c r="E558" i="5"/>
  <c r="D558" i="5"/>
  <c r="F557" i="5"/>
  <c r="E557" i="5"/>
  <c r="D557" i="5"/>
  <c r="F556" i="5"/>
  <c r="E556" i="5"/>
  <c r="D556" i="5"/>
  <c r="F555" i="5"/>
  <c r="E555" i="5"/>
  <c r="D555" i="5"/>
  <c r="F554" i="5"/>
  <c r="E554" i="5"/>
  <c r="D554" i="5"/>
  <c r="F553" i="5"/>
  <c r="E553" i="5"/>
  <c r="D553" i="5"/>
  <c r="F552" i="5"/>
  <c r="E552" i="5"/>
  <c r="D552" i="5"/>
  <c r="F551" i="5"/>
  <c r="E551" i="5"/>
  <c r="D551" i="5"/>
  <c r="F550" i="5"/>
  <c r="E550" i="5"/>
  <c r="D550" i="5"/>
  <c r="F549" i="5"/>
  <c r="E549" i="5"/>
  <c r="D549" i="5"/>
  <c r="F548" i="5"/>
  <c r="E548" i="5"/>
  <c r="D548" i="5"/>
  <c r="F547" i="5"/>
  <c r="E547" i="5"/>
  <c r="D547" i="5"/>
  <c r="F546" i="5"/>
  <c r="E546" i="5"/>
  <c r="D546" i="5"/>
  <c r="F545" i="5"/>
  <c r="E545" i="5"/>
  <c r="D545" i="5"/>
  <c r="F544" i="5"/>
  <c r="E544" i="5"/>
  <c r="D544" i="5"/>
  <c r="F543" i="5"/>
  <c r="E543" i="5"/>
  <c r="D543" i="5"/>
  <c r="F542" i="5"/>
  <c r="E542" i="5"/>
  <c r="D542" i="5"/>
  <c r="F541" i="5"/>
  <c r="E541" i="5"/>
  <c r="D541" i="5"/>
  <c r="F540" i="5"/>
  <c r="E540" i="5"/>
  <c r="D540" i="5"/>
  <c r="F539" i="5"/>
  <c r="E539" i="5"/>
  <c r="D539" i="5"/>
  <c r="F538" i="5"/>
  <c r="E538" i="5"/>
  <c r="D538" i="5"/>
  <c r="F537" i="5"/>
  <c r="E537" i="5"/>
  <c r="D537" i="5"/>
  <c r="F536" i="5"/>
  <c r="E536" i="5"/>
  <c r="D536" i="5"/>
  <c r="F535" i="5"/>
  <c r="E535" i="5"/>
  <c r="D535" i="5"/>
  <c r="L534" i="5"/>
  <c r="F534" i="5"/>
  <c r="E534" i="5"/>
  <c r="D534" i="5"/>
  <c r="L533" i="5"/>
  <c r="F533" i="5"/>
  <c r="E533" i="5"/>
  <c r="D533" i="5"/>
  <c r="F532" i="5"/>
  <c r="E532" i="5"/>
  <c r="D532" i="5"/>
  <c r="F531" i="5"/>
  <c r="E531" i="5"/>
  <c r="D531" i="5"/>
  <c r="F530" i="5"/>
  <c r="E530" i="5"/>
  <c r="D530" i="5"/>
  <c r="F529" i="5"/>
  <c r="E529" i="5"/>
  <c r="D529" i="5"/>
  <c r="F528" i="5"/>
  <c r="E528" i="5"/>
  <c r="D528" i="5"/>
  <c r="F527" i="5"/>
  <c r="E527" i="5"/>
  <c r="D527" i="5"/>
  <c r="F526" i="5"/>
  <c r="E526" i="5"/>
  <c r="D526" i="5"/>
  <c r="F525" i="5"/>
  <c r="E525" i="5"/>
  <c r="D525" i="5"/>
  <c r="F524" i="5"/>
  <c r="E524" i="5"/>
  <c r="D524" i="5"/>
  <c r="F523" i="5"/>
  <c r="E523" i="5"/>
  <c r="D523" i="5"/>
  <c r="F522" i="5"/>
  <c r="E522" i="5"/>
  <c r="D522" i="5"/>
  <c r="F521" i="5"/>
  <c r="E521" i="5"/>
  <c r="D521" i="5"/>
  <c r="F520" i="5"/>
  <c r="E520" i="5"/>
  <c r="D520" i="5"/>
  <c r="F519" i="5"/>
  <c r="E519" i="5"/>
  <c r="D519" i="5"/>
  <c r="F518" i="5"/>
  <c r="E518" i="5"/>
  <c r="D518" i="5"/>
  <c r="F517" i="5"/>
  <c r="E517" i="5"/>
  <c r="D517" i="5"/>
  <c r="F516" i="5"/>
  <c r="E516" i="5"/>
  <c r="D516" i="5"/>
  <c r="F515" i="5"/>
  <c r="E515" i="5"/>
  <c r="D515" i="5"/>
  <c r="F514" i="5"/>
  <c r="E514" i="5"/>
  <c r="D514" i="5"/>
  <c r="F513" i="5"/>
  <c r="E513" i="5"/>
  <c r="D513" i="5"/>
  <c r="F512" i="5"/>
  <c r="E512" i="5"/>
  <c r="D512" i="5"/>
  <c r="C505" i="5"/>
  <c r="F504" i="5"/>
  <c r="E504" i="5"/>
  <c r="D504" i="5"/>
  <c r="F503" i="5"/>
  <c r="E503" i="5"/>
  <c r="D503" i="5"/>
  <c r="F502" i="5"/>
  <c r="E502" i="5"/>
  <c r="D502" i="5"/>
  <c r="F501" i="5"/>
  <c r="E501" i="5"/>
  <c r="D501" i="5"/>
  <c r="F500" i="5"/>
  <c r="E500" i="5"/>
  <c r="D500" i="5"/>
  <c r="F499" i="5"/>
  <c r="E499" i="5"/>
  <c r="D499" i="5"/>
  <c r="F498" i="5"/>
  <c r="E498" i="5"/>
  <c r="D498" i="5"/>
  <c r="F497" i="5"/>
  <c r="E497" i="5"/>
  <c r="D497" i="5"/>
  <c r="F496" i="5"/>
  <c r="E496" i="5"/>
  <c r="D496" i="5"/>
  <c r="F495" i="5"/>
  <c r="E495" i="5"/>
  <c r="D495" i="5"/>
  <c r="F494" i="5"/>
  <c r="E494" i="5"/>
  <c r="D494" i="5"/>
  <c r="F493" i="5"/>
  <c r="E493" i="5"/>
  <c r="D493" i="5"/>
  <c r="F492" i="5"/>
  <c r="E492" i="5"/>
  <c r="D492" i="5"/>
  <c r="F491" i="5"/>
  <c r="E491" i="5"/>
  <c r="D491" i="5"/>
  <c r="F490" i="5"/>
  <c r="E490" i="5"/>
  <c r="D490" i="5"/>
  <c r="F489" i="5"/>
  <c r="E489" i="5"/>
  <c r="D489" i="5"/>
  <c r="F488" i="5"/>
  <c r="E488" i="5"/>
  <c r="D488" i="5"/>
  <c r="F487" i="5"/>
  <c r="E487" i="5"/>
  <c r="D487" i="5"/>
  <c r="F486" i="5"/>
  <c r="E486" i="5"/>
  <c r="D486" i="5"/>
  <c r="F485" i="5"/>
  <c r="E485" i="5"/>
  <c r="D485" i="5"/>
  <c r="F484" i="5"/>
  <c r="E484" i="5"/>
  <c r="D484" i="5"/>
  <c r="F483" i="5"/>
  <c r="E483" i="5"/>
  <c r="D483" i="5"/>
  <c r="F482" i="5"/>
  <c r="E482" i="5"/>
  <c r="D482" i="5"/>
  <c r="F481" i="5"/>
  <c r="E481" i="5"/>
  <c r="D481" i="5"/>
  <c r="F480" i="5"/>
  <c r="E480" i="5"/>
  <c r="D480" i="5"/>
  <c r="F479" i="5"/>
  <c r="E479" i="5"/>
  <c r="D479" i="5"/>
  <c r="F478" i="5"/>
  <c r="E478" i="5"/>
  <c r="D478" i="5"/>
  <c r="F477" i="5"/>
  <c r="E477" i="5"/>
  <c r="D477" i="5"/>
  <c r="F476" i="5"/>
  <c r="E476" i="5"/>
  <c r="D476" i="5"/>
  <c r="F475" i="5"/>
  <c r="E475" i="5"/>
  <c r="D475" i="5"/>
  <c r="F474" i="5"/>
  <c r="E474" i="5"/>
  <c r="D474" i="5"/>
  <c r="F473" i="5"/>
  <c r="E473" i="5"/>
  <c r="D473" i="5"/>
  <c r="F472" i="5"/>
  <c r="E472" i="5"/>
  <c r="D472" i="5"/>
  <c r="F471" i="5"/>
  <c r="E471" i="5"/>
  <c r="D471" i="5"/>
  <c r="F470" i="5"/>
  <c r="E470" i="5"/>
  <c r="D470" i="5"/>
  <c r="F469" i="5"/>
  <c r="E469" i="5"/>
  <c r="D469" i="5"/>
  <c r="F468" i="5"/>
  <c r="E468" i="5"/>
  <c r="D468" i="5"/>
  <c r="F467" i="5"/>
  <c r="E467" i="5"/>
  <c r="D467" i="5"/>
  <c r="F466" i="5"/>
  <c r="E466" i="5"/>
  <c r="D466" i="5"/>
  <c r="F465" i="5"/>
  <c r="E465" i="5"/>
  <c r="D465" i="5"/>
  <c r="F464" i="5"/>
  <c r="E464" i="5"/>
  <c r="D464" i="5"/>
  <c r="F463" i="5"/>
  <c r="E463" i="5"/>
  <c r="D463" i="5"/>
  <c r="F462" i="5"/>
  <c r="E462" i="5"/>
  <c r="D462" i="5"/>
  <c r="F461" i="5"/>
  <c r="E461" i="5"/>
  <c r="D461" i="5"/>
  <c r="F460" i="5"/>
  <c r="E460" i="5"/>
  <c r="D460" i="5"/>
  <c r="F459" i="5"/>
  <c r="E459" i="5"/>
  <c r="D459" i="5"/>
  <c r="F458" i="5"/>
  <c r="E458" i="5"/>
  <c r="D458" i="5"/>
  <c r="F457" i="5"/>
  <c r="E457" i="5"/>
  <c r="D457" i="5"/>
  <c r="F456" i="5"/>
  <c r="E456" i="5"/>
  <c r="D456" i="5"/>
  <c r="F455" i="5"/>
  <c r="E455" i="5"/>
  <c r="D455" i="5"/>
  <c r="F454" i="5"/>
  <c r="E454" i="5"/>
  <c r="D454" i="5"/>
  <c r="F453" i="5"/>
  <c r="E453" i="5"/>
  <c r="D453" i="5"/>
  <c r="F452" i="5"/>
  <c r="E452" i="5"/>
  <c r="D452" i="5"/>
  <c r="F451" i="5"/>
  <c r="E451" i="5"/>
  <c r="D451" i="5"/>
  <c r="F450" i="5"/>
  <c r="E450" i="5"/>
  <c r="D450" i="5"/>
  <c r="F449" i="5"/>
  <c r="E449" i="5"/>
  <c r="D449" i="5"/>
  <c r="F448" i="5"/>
  <c r="E448" i="5"/>
  <c r="D448" i="5"/>
  <c r="F447" i="5"/>
  <c r="E447" i="5"/>
  <c r="D447" i="5"/>
  <c r="F446" i="5"/>
  <c r="E446" i="5"/>
  <c r="D446" i="5"/>
  <c r="F445" i="5"/>
  <c r="E445" i="5"/>
  <c r="D445" i="5"/>
  <c r="F444" i="5"/>
  <c r="E444" i="5"/>
  <c r="D444" i="5"/>
  <c r="F443" i="5"/>
  <c r="E443" i="5"/>
  <c r="D443" i="5"/>
  <c r="F442" i="5"/>
  <c r="E442" i="5"/>
  <c r="D442" i="5"/>
  <c r="F441" i="5"/>
  <c r="E441" i="5"/>
  <c r="D441" i="5"/>
  <c r="F440" i="5"/>
  <c r="E440" i="5"/>
  <c r="D440" i="5"/>
  <c r="F439" i="5"/>
  <c r="E439" i="5"/>
  <c r="D439" i="5"/>
  <c r="F438" i="5"/>
  <c r="E438" i="5"/>
  <c r="D438" i="5"/>
  <c r="F437" i="5"/>
  <c r="E437" i="5"/>
  <c r="D437" i="5"/>
  <c r="F436" i="5"/>
  <c r="E436" i="5"/>
  <c r="D436" i="5"/>
  <c r="F435" i="5"/>
  <c r="E435" i="5"/>
  <c r="D435" i="5"/>
  <c r="F434" i="5"/>
  <c r="E434" i="5"/>
  <c r="D434" i="5"/>
  <c r="F433" i="5"/>
  <c r="E433" i="5"/>
  <c r="D433" i="5"/>
  <c r="F432" i="5"/>
  <c r="E432" i="5"/>
  <c r="D432" i="5"/>
  <c r="F431" i="5"/>
  <c r="E431" i="5"/>
  <c r="D431" i="5"/>
  <c r="F430" i="5"/>
  <c r="E430" i="5"/>
  <c r="D430" i="5"/>
  <c r="F429" i="5"/>
  <c r="E429" i="5"/>
  <c r="D429" i="5"/>
  <c r="F428" i="5"/>
  <c r="E428" i="5"/>
  <c r="D428" i="5"/>
  <c r="F427" i="5"/>
  <c r="E427" i="5"/>
  <c r="D427" i="5"/>
  <c r="F426" i="5"/>
  <c r="E426" i="5"/>
  <c r="D426" i="5"/>
  <c r="F425" i="5"/>
  <c r="E425" i="5"/>
  <c r="D425" i="5"/>
  <c r="F424" i="5"/>
  <c r="E424" i="5"/>
  <c r="D424" i="5"/>
  <c r="F423" i="5"/>
  <c r="E423" i="5"/>
  <c r="D423" i="5"/>
  <c r="F422" i="5"/>
  <c r="E422" i="5"/>
  <c r="D422" i="5"/>
  <c r="F421" i="5"/>
  <c r="E421" i="5"/>
  <c r="D421" i="5"/>
  <c r="F420" i="5"/>
  <c r="E420" i="5"/>
  <c r="D420" i="5"/>
  <c r="F419" i="5"/>
  <c r="E419" i="5"/>
  <c r="D419" i="5"/>
  <c r="F418" i="5"/>
  <c r="E418" i="5"/>
  <c r="D418" i="5"/>
  <c r="F417" i="5"/>
  <c r="E417" i="5"/>
  <c r="D417" i="5"/>
  <c r="F416" i="5"/>
  <c r="E416" i="5"/>
  <c r="D416" i="5"/>
  <c r="F415" i="5"/>
  <c r="E415" i="5"/>
  <c r="D415" i="5"/>
  <c r="F414" i="5"/>
  <c r="E414" i="5"/>
  <c r="D414" i="5"/>
  <c r="F413" i="5"/>
  <c r="E413" i="5"/>
  <c r="D413" i="5"/>
  <c r="F412" i="5"/>
  <c r="E412" i="5"/>
  <c r="D412" i="5"/>
  <c r="F411" i="5"/>
  <c r="E411" i="5"/>
  <c r="D411" i="5"/>
  <c r="F410" i="5"/>
  <c r="E410" i="5"/>
  <c r="D410" i="5"/>
  <c r="F409" i="5"/>
  <c r="E409" i="5"/>
  <c r="D409" i="5"/>
  <c r="F408" i="5"/>
  <c r="E408" i="5"/>
  <c r="D408" i="5"/>
  <c r="L407" i="5"/>
  <c r="F407" i="5"/>
  <c r="E407" i="5"/>
  <c r="D407" i="5"/>
  <c r="L406" i="5"/>
  <c r="F406" i="5"/>
  <c r="E406" i="5"/>
  <c r="D406" i="5"/>
  <c r="F405" i="5"/>
  <c r="E405" i="5"/>
  <c r="D405" i="5"/>
  <c r="F404" i="5"/>
  <c r="E404" i="5"/>
  <c r="D404" i="5"/>
  <c r="F403" i="5"/>
  <c r="E403" i="5"/>
  <c r="D403" i="5"/>
  <c r="F402" i="5"/>
  <c r="E402" i="5"/>
  <c r="D402" i="5"/>
  <c r="F401" i="5"/>
  <c r="E401" i="5"/>
  <c r="D401" i="5"/>
  <c r="F400" i="5"/>
  <c r="E400" i="5"/>
  <c r="D400" i="5"/>
  <c r="F399" i="5"/>
  <c r="E399" i="5"/>
  <c r="D399" i="5"/>
  <c r="F398" i="5"/>
  <c r="E398" i="5"/>
  <c r="D398" i="5"/>
  <c r="F397" i="5"/>
  <c r="E397" i="5"/>
  <c r="D397" i="5"/>
  <c r="F396" i="5"/>
  <c r="E396" i="5"/>
  <c r="D396" i="5"/>
  <c r="F395" i="5"/>
  <c r="E395" i="5"/>
  <c r="D395" i="5"/>
  <c r="F394" i="5"/>
  <c r="E394" i="5"/>
  <c r="D394" i="5"/>
  <c r="F393" i="5"/>
  <c r="E393" i="5"/>
  <c r="D393" i="5"/>
  <c r="F392" i="5"/>
  <c r="E392" i="5"/>
  <c r="D392" i="5"/>
  <c r="F391" i="5"/>
  <c r="E391" i="5"/>
  <c r="D391" i="5"/>
  <c r="F390" i="5"/>
  <c r="E390" i="5"/>
  <c r="D390" i="5"/>
  <c r="F389" i="5"/>
  <c r="E389" i="5"/>
  <c r="D389" i="5"/>
  <c r="F388" i="5"/>
  <c r="E388" i="5"/>
  <c r="D388" i="5"/>
  <c r="F387" i="5"/>
  <c r="E387" i="5"/>
  <c r="D387" i="5"/>
  <c r="F386" i="5"/>
  <c r="E386" i="5"/>
  <c r="D386" i="5"/>
  <c r="F385" i="5"/>
  <c r="E385" i="5"/>
  <c r="D385" i="5"/>
  <c r="C378" i="5"/>
  <c r="F377" i="5"/>
  <c r="E377" i="5"/>
  <c r="D377" i="5"/>
  <c r="F376" i="5"/>
  <c r="E376" i="5"/>
  <c r="D376" i="5"/>
  <c r="F375" i="5"/>
  <c r="E375" i="5"/>
  <c r="D375" i="5"/>
  <c r="F374" i="5"/>
  <c r="E374" i="5"/>
  <c r="D374" i="5"/>
  <c r="F373" i="5"/>
  <c r="E373" i="5"/>
  <c r="D373" i="5"/>
  <c r="F372" i="5"/>
  <c r="E372" i="5"/>
  <c r="D372" i="5"/>
  <c r="F371" i="5"/>
  <c r="E371" i="5"/>
  <c r="D371" i="5"/>
  <c r="F370" i="5"/>
  <c r="E370" i="5"/>
  <c r="D370" i="5"/>
  <c r="F369" i="5"/>
  <c r="E369" i="5"/>
  <c r="D369" i="5"/>
  <c r="F368" i="5"/>
  <c r="E368" i="5"/>
  <c r="D368" i="5"/>
  <c r="F367" i="5"/>
  <c r="E367" i="5"/>
  <c r="D367" i="5"/>
  <c r="F366" i="5"/>
  <c r="E366" i="5"/>
  <c r="D366" i="5"/>
  <c r="F365" i="5"/>
  <c r="E365" i="5"/>
  <c r="D365" i="5"/>
  <c r="F364" i="5"/>
  <c r="E364" i="5"/>
  <c r="D364" i="5"/>
  <c r="F363" i="5"/>
  <c r="E363" i="5"/>
  <c r="D363" i="5"/>
  <c r="F362" i="5"/>
  <c r="E362" i="5"/>
  <c r="D362" i="5"/>
  <c r="F361" i="5"/>
  <c r="E361" i="5"/>
  <c r="D361" i="5"/>
  <c r="F360" i="5"/>
  <c r="E360" i="5"/>
  <c r="D360" i="5"/>
  <c r="F359" i="5"/>
  <c r="E359" i="5"/>
  <c r="D359" i="5"/>
  <c r="F358" i="5"/>
  <c r="E358" i="5"/>
  <c r="D358" i="5"/>
  <c r="F357" i="5"/>
  <c r="E357" i="5"/>
  <c r="D357" i="5"/>
  <c r="F356" i="5"/>
  <c r="E356" i="5"/>
  <c r="D356" i="5"/>
  <c r="F355" i="5"/>
  <c r="E355" i="5"/>
  <c r="D355" i="5"/>
  <c r="F354" i="5"/>
  <c r="E354" i="5"/>
  <c r="D354" i="5"/>
  <c r="F353" i="5"/>
  <c r="E353" i="5"/>
  <c r="D353" i="5"/>
  <c r="F352" i="5"/>
  <c r="E352" i="5"/>
  <c r="D352" i="5"/>
  <c r="F351" i="5"/>
  <c r="E351" i="5"/>
  <c r="D351" i="5"/>
  <c r="F350" i="5"/>
  <c r="E350" i="5"/>
  <c r="D350" i="5"/>
  <c r="F349" i="5"/>
  <c r="E349" i="5"/>
  <c r="D349" i="5"/>
  <c r="F348" i="5"/>
  <c r="E348" i="5"/>
  <c r="D348" i="5"/>
  <c r="F347" i="5"/>
  <c r="E347" i="5"/>
  <c r="D347" i="5"/>
  <c r="F346" i="5"/>
  <c r="E346" i="5"/>
  <c r="D346" i="5"/>
  <c r="F345" i="5"/>
  <c r="E345" i="5"/>
  <c r="D345" i="5"/>
  <c r="F344" i="5"/>
  <c r="E344" i="5"/>
  <c r="D344" i="5"/>
  <c r="F343" i="5"/>
  <c r="E343" i="5"/>
  <c r="D343" i="5"/>
  <c r="F342" i="5"/>
  <c r="E342" i="5"/>
  <c r="D342" i="5"/>
  <c r="F341" i="5"/>
  <c r="E341" i="5"/>
  <c r="D341" i="5"/>
  <c r="F340" i="5"/>
  <c r="E340" i="5"/>
  <c r="D340" i="5"/>
  <c r="F339" i="5"/>
  <c r="E339" i="5"/>
  <c r="D339" i="5"/>
  <c r="F338" i="5"/>
  <c r="E338" i="5"/>
  <c r="D338" i="5"/>
  <c r="F337" i="5"/>
  <c r="E337" i="5"/>
  <c r="D337" i="5"/>
  <c r="F336" i="5"/>
  <c r="E336" i="5"/>
  <c r="D336" i="5"/>
  <c r="F335" i="5"/>
  <c r="E335" i="5"/>
  <c r="D335" i="5"/>
  <c r="F334" i="5"/>
  <c r="E334" i="5"/>
  <c r="D334" i="5"/>
  <c r="F333" i="5"/>
  <c r="E333" i="5"/>
  <c r="D333" i="5"/>
  <c r="F332" i="5"/>
  <c r="E332" i="5"/>
  <c r="D332" i="5"/>
  <c r="F331" i="5"/>
  <c r="E331" i="5"/>
  <c r="D331" i="5"/>
  <c r="F330" i="5"/>
  <c r="E330" i="5"/>
  <c r="D330" i="5"/>
  <c r="F329" i="5"/>
  <c r="E329" i="5"/>
  <c r="D329" i="5"/>
  <c r="F328" i="5"/>
  <c r="E328" i="5"/>
  <c r="D328" i="5"/>
  <c r="F327" i="5"/>
  <c r="E327" i="5"/>
  <c r="D327" i="5"/>
  <c r="F326" i="5"/>
  <c r="E326" i="5"/>
  <c r="D326" i="5"/>
  <c r="F325" i="5"/>
  <c r="E325" i="5"/>
  <c r="D325" i="5"/>
  <c r="F324" i="5"/>
  <c r="E324" i="5"/>
  <c r="D324" i="5"/>
  <c r="F323" i="5"/>
  <c r="E323" i="5"/>
  <c r="D323" i="5"/>
  <c r="F322" i="5"/>
  <c r="E322" i="5"/>
  <c r="D322" i="5"/>
  <c r="F321" i="5"/>
  <c r="E321" i="5"/>
  <c r="D321" i="5"/>
  <c r="F320" i="5"/>
  <c r="E320" i="5"/>
  <c r="D320" i="5"/>
  <c r="F319" i="5"/>
  <c r="E319" i="5"/>
  <c r="D319" i="5"/>
  <c r="F318" i="5"/>
  <c r="E318" i="5"/>
  <c r="D318" i="5"/>
  <c r="F317" i="5"/>
  <c r="E317" i="5"/>
  <c r="D317" i="5"/>
  <c r="F316" i="5"/>
  <c r="E316" i="5"/>
  <c r="D316" i="5"/>
  <c r="F315" i="5"/>
  <c r="E315" i="5"/>
  <c r="D315" i="5"/>
  <c r="F314" i="5"/>
  <c r="E314" i="5"/>
  <c r="D314" i="5"/>
  <c r="F313" i="5"/>
  <c r="E313" i="5"/>
  <c r="D313" i="5"/>
  <c r="F312" i="5"/>
  <c r="E312" i="5"/>
  <c r="D312" i="5"/>
  <c r="F311" i="5"/>
  <c r="E311" i="5"/>
  <c r="D311" i="5"/>
  <c r="F310" i="5"/>
  <c r="E310" i="5"/>
  <c r="D310" i="5"/>
  <c r="F309" i="5"/>
  <c r="E309" i="5"/>
  <c r="D309" i="5"/>
  <c r="F308" i="5"/>
  <c r="E308" i="5"/>
  <c r="D308" i="5"/>
  <c r="F307" i="5"/>
  <c r="E307" i="5"/>
  <c r="D307" i="5"/>
  <c r="F306" i="5"/>
  <c r="E306" i="5"/>
  <c r="D306" i="5"/>
  <c r="F305" i="5"/>
  <c r="E305" i="5"/>
  <c r="D305" i="5"/>
  <c r="F304" i="5"/>
  <c r="E304" i="5"/>
  <c r="D304" i="5"/>
  <c r="F303" i="5"/>
  <c r="E303" i="5"/>
  <c r="D303" i="5"/>
  <c r="F302" i="5"/>
  <c r="E302" i="5"/>
  <c r="D302" i="5"/>
  <c r="F301" i="5"/>
  <c r="E301" i="5"/>
  <c r="D301" i="5"/>
  <c r="F300" i="5"/>
  <c r="E300" i="5"/>
  <c r="D300" i="5"/>
  <c r="F299" i="5"/>
  <c r="E299" i="5"/>
  <c r="D299" i="5"/>
  <c r="F298" i="5"/>
  <c r="E298" i="5"/>
  <c r="D298" i="5"/>
  <c r="F297" i="5"/>
  <c r="E297" i="5"/>
  <c r="D297" i="5"/>
  <c r="F296" i="5"/>
  <c r="E296" i="5"/>
  <c r="D296" i="5"/>
  <c r="F295" i="5"/>
  <c r="E295" i="5"/>
  <c r="D295" i="5"/>
  <c r="F294" i="5"/>
  <c r="E294" i="5"/>
  <c r="D294" i="5"/>
  <c r="F293" i="5"/>
  <c r="E293" i="5"/>
  <c r="D293" i="5"/>
  <c r="F292" i="5"/>
  <c r="E292" i="5"/>
  <c r="D292" i="5"/>
  <c r="F291" i="5"/>
  <c r="E291" i="5"/>
  <c r="D291" i="5"/>
  <c r="F290" i="5"/>
  <c r="E290" i="5"/>
  <c r="D290" i="5"/>
  <c r="F289" i="5"/>
  <c r="E289" i="5"/>
  <c r="D289" i="5"/>
  <c r="F288" i="5"/>
  <c r="E288" i="5"/>
  <c r="D288" i="5"/>
  <c r="F287" i="5"/>
  <c r="E287" i="5"/>
  <c r="D287" i="5"/>
  <c r="F286" i="5"/>
  <c r="E286" i="5"/>
  <c r="D286" i="5"/>
  <c r="F285" i="5"/>
  <c r="E285" i="5"/>
  <c r="D285" i="5"/>
  <c r="F284" i="5"/>
  <c r="E284" i="5"/>
  <c r="D284" i="5"/>
  <c r="F283" i="5"/>
  <c r="E283" i="5"/>
  <c r="D283" i="5"/>
  <c r="F282" i="5"/>
  <c r="E282" i="5"/>
  <c r="D282" i="5"/>
  <c r="F281" i="5"/>
  <c r="E281" i="5"/>
  <c r="D281" i="5"/>
  <c r="L280" i="5"/>
  <c r="F280" i="5"/>
  <c r="E280" i="5"/>
  <c r="D280" i="5"/>
  <c r="L279" i="5"/>
  <c r="F279" i="5"/>
  <c r="E279" i="5"/>
  <c r="D279" i="5"/>
  <c r="F278" i="5"/>
  <c r="E278" i="5"/>
  <c r="D278" i="5"/>
  <c r="F277" i="5"/>
  <c r="E277" i="5"/>
  <c r="D277" i="5"/>
  <c r="F276" i="5"/>
  <c r="E276" i="5"/>
  <c r="D276" i="5"/>
  <c r="F275" i="5"/>
  <c r="E275" i="5"/>
  <c r="D275" i="5"/>
  <c r="F274" i="5"/>
  <c r="E274" i="5"/>
  <c r="D274" i="5"/>
  <c r="F273" i="5"/>
  <c r="E273" i="5"/>
  <c r="D273" i="5"/>
  <c r="F272" i="5"/>
  <c r="E272" i="5"/>
  <c r="D272" i="5"/>
  <c r="F271" i="5"/>
  <c r="E271" i="5"/>
  <c r="D271" i="5"/>
  <c r="F270" i="5"/>
  <c r="E270" i="5"/>
  <c r="D270" i="5"/>
  <c r="F269" i="5"/>
  <c r="E269" i="5"/>
  <c r="D269" i="5"/>
  <c r="F268" i="5"/>
  <c r="E268" i="5"/>
  <c r="D268" i="5"/>
  <c r="F267" i="5"/>
  <c r="E267" i="5"/>
  <c r="D267" i="5"/>
  <c r="F266" i="5"/>
  <c r="E266" i="5"/>
  <c r="D266" i="5"/>
  <c r="F265" i="5"/>
  <c r="E265" i="5"/>
  <c r="D265" i="5"/>
  <c r="F264" i="5"/>
  <c r="E264" i="5"/>
  <c r="D264" i="5"/>
  <c r="F263" i="5"/>
  <c r="E263" i="5"/>
  <c r="D263" i="5"/>
  <c r="F262" i="5"/>
  <c r="E262" i="5"/>
  <c r="D262" i="5"/>
  <c r="F261" i="5"/>
  <c r="E261" i="5"/>
  <c r="D261" i="5"/>
  <c r="F260" i="5"/>
  <c r="E260" i="5"/>
  <c r="D260" i="5"/>
  <c r="F259" i="5"/>
  <c r="E259" i="5"/>
  <c r="D259" i="5"/>
  <c r="F258" i="5"/>
  <c r="E258" i="5"/>
  <c r="D258" i="5"/>
  <c r="C251" i="5"/>
  <c r="F250" i="5"/>
  <c r="E250" i="5"/>
  <c r="D250" i="5"/>
  <c r="F249" i="5"/>
  <c r="E249" i="5"/>
  <c r="D249" i="5"/>
  <c r="F248" i="5"/>
  <c r="E248" i="5"/>
  <c r="D248" i="5"/>
  <c r="F247" i="5"/>
  <c r="E247" i="5"/>
  <c r="D247" i="5"/>
  <c r="F246" i="5"/>
  <c r="E246" i="5"/>
  <c r="D246" i="5"/>
  <c r="F245" i="5"/>
  <c r="E245" i="5"/>
  <c r="D245" i="5"/>
  <c r="F244" i="5"/>
  <c r="E244" i="5"/>
  <c r="D244" i="5"/>
  <c r="F243" i="5"/>
  <c r="E243" i="5"/>
  <c r="D243" i="5"/>
  <c r="F242" i="5"/>
  <c r="E242" i="5"/>
  <c r="D242" i="5"/>
  <c r="F241" i="5"/>
  <c r="E241" i="5"/>
  <c r="D241" i="5"/>
  <c r="F240" i="5"/>
  <c r="E240" i="5"/>
  <c r="D240" i="5"/>
  <c r="F239" i="5"/>
  <c r="E239" i="5"/>
  <c r="D239" i="5"/>
  <c r="F238" i="5"/>
  <c r="E238" i="5"/>
  <c r="D238" i="5"/>
  <c r="F237" i="5"/>
  <c r="E237" i="5"/>
  <c r="D237" i="5"/>
  <c r="F236" i="5"/>
  <c r="E236" i="5"/>
  <c r="D236" i="5"/>
  <c r="F235" i="5"/>
  <c r="E235" i="5"/>
  <c r="D235" i="5"/>
  <c r="F234" i="5"/>
  <c r="E234" i="5"/>
  <c r="D234" i="5"/>
  <c r="F233" i="5"/>
  <c r="E233" i="5"/>
  <c r="D233" i="5"/>
  <c r="F232" i="5"/>
  <c r="E232" i="5"/>
  <c r="D232" i="5"/>
  <c r="F231" i="5"/>
  <c r="E231" i="5"/>
  <c r="D231" i="5"/>
  <c r="F230" i="5"/>
  <c r="E230" i="5"/>
  <c r="D230" i="5"/>
  <c r="F229" i="5"/>
  <c r="E229" i="5"/>
  <c r="D229" i="5"/>
  <c r="F228" i="5"/>
  <c r="E228" i="5"/>
  <c r="D228" i="5"/>
  <c r="F227" i="5"/>
  <c r="E227" i="5"/>
  <c r="D227" i="5"/>
  <c r="F226" i="5"/>
  <c r="E226" i="5"/>
  <c r="D226" i="5"/>
  <c r="F225" i="5"/>
  <c r="E225" i="5"/>
  <c r="D225" i="5"/>
  <c r="F224" i="5"/>
  <c r="E224" i="5"/>
  <c r="D224" i="5"/>
  <c r="F223" i="5"/>
  <c r="E223" i="5"/>
  <c r="D223" i="5"/>
  <c r="F222" i="5"/>
  <c r="E222" i="5"/>
  <c r="D222" i="5"/>
  <c r="F221" i="5"/>
  <c r="E221" i="5"/>
  <c r="D221" i="5"/>
  <c r="F220" i="5"/>
  <c r="E220" i="5"/>
  <c r="D220" i="5"/>
  <c r="F219" i="5"/>
  <c r="E219" i="5"/>
  <c r="D219" i="5"/>
  <c r="F218" i="5"/>
  <c r="E218" i="5"/>
  <c r="D218" i="5"/>
  <c r="F217" i="5"/>
  <c r="E217" i="5"/>
  <c r="D217" i="5"/>
  <c r="F216" i="5"/>
  <c r="E216" i="5"/>
  <c r="D216" i="5"/>
  <c r="F215" i="5"/>
  <c r="E215" i="5"/>
  <c r="D215" i="5"/>
  <c r="F214" i="5"/>
  <c r="E214" i="5"/>
  <c r="D214" i="5"/>
  <c r="F213" i="5"/>
  <c r="E213" i="5"/>
  <c r="D213" i="5"/>
  <c r="F212" i="5"/>
  <c r="E212" i="5"/>
  <c r="D212" i="5"/>
  <c r="F211" i="5"/>
  <c r="E211" i="5"/>
  <c r="D211" i="5"/>
  <c r="F210" i="5"/>
  <c r="E210" i="5"/>
  <c r="D210" i="5"/>
  <c r="F209" i="5"/>
  <c r="E209" i="5"/>
  <c r="D209" i="5"/>
  <c r="F208" i="5"/>
  <c r="E208" i="5"/>
  <c r="D208" i="5"/>
  <c r="F207" i="5"/>
  <c r="E207" i="5"/>
  <c r="D207" i="5"/>
  <c r="F206" i="5"/>
  <c r="E206" i="5"/>
  <c r="D206" i="5"/>
  <c r="F205" i="5"/>
  <c r="E205" i="5"/>
  <c r="D205" i="5"/>
  <c r="F204" i="5"/>
  <c r="E204" i="5"/>
  <c r="D204" i="5"/>
  <c r="F203" i="5"/>
  <c r="E203" i="5"/>
  <c r="D203" i="5"/>
  <c r="F202" i="5"/>
  <c r="E202" i="5"/>
  <c r="D202" i="5"/>
  <c r="F201" i="5"/>
  <c r="E201" i="5"/>
  <c r="D201" i="5"/>
  <c r="F200" i="5"/>
  <c r="E200" i="5"/>
  <c r="D200" i="5"/>
  <c r="F199" i="5"/>
  <c r="E199" i="5"/>
  <c r="D199" i="5"/>
  <c r="F198" i="5"/>
  <c r="E198" i="5"/>
  <c r="D198" i="5"/>
  <c r="F197" i="5"/>
  <c r="E197" i="5"/>
  <c r="D197" i="5"/>
  <c r="F196" i="5"/>
  <c r="E196" i="5"/>
  <c r="D196" i="5"/>
  <c r="F195" i="5"/>
  <c r="E195" i="5"/>
  <c r="D195" i="5"/>
  <c r="F194" i="5"/>
  <c r="E194" i="5"/>
  <c r="D194" i="5"/>
  <c r="F193" i="5"/>
  <c r="E193" i="5"/>
  <c r="D193" i="5"/>
  <c r="F192" i="5"/>
  <c r="E192" i="5"/>
  <c r="D192" i="5"/>
  <c r="F191" i="5"/>
  <c r="E191" i="5"/>
  <c r="D191" i="5"/>
  <c r="F190" i="5"/>
  <c r="E190" i="5"/>
  <c r="D190" i="5"/>
  <c r="F189" i="5"/>
  <c r="E189" i="5"/>
  <c r="D189" i="5"/>
  <c r="F188" i="5"/>
  <c r="E188" i="5"/>
  <c r="D188" i="5"/>
  <c r="F187" i="5"/>
  <c r="E187" i="5"/>
  <c r="D187" i="5"/>
  <c r="F186" i="5"/>
  <c r="E186" i="5"/>
  <c r="D186" i="5"/>
  <c r="F185" i="5"/>
  <c r="E185" i="5"/>
  <c r="D185" i="5"/>
  <c r="F184" i="5"/>
  <c r="E184" i="5"/>
  <c r="D184" i="5"/>
  <c r="F183" i="5"/>
  <c r="E183" i="5"/>
  <c r="D183" i="5"/>
  <c r="F182" i="5"/>
  <c r="E182" i="5"/>
  <c r="D182" i="5"/>
  <c r="F181" i="5"/>
  <c r="E181" i="5"/>
  <c r="D181" i="5"/>
  <c r="F180" i="5"/>
  <c r="E180" i="5"/>
  <c r="D180" i="5"/>
  <c r="F179" i="5"/>
  <c r="E179" i="5"/>
  <c r="D179" i="5"/>
  <c r="F178" i="5"/>
  <c r="E178" i="5"/>
  <c r="D178" i="5"/>
  <c r="F177" i="5"/>
  <c r="E177" i="5"/>
  <c r="D177" i="5"/>
  <c r="F176" i="5"/>
  <c r="E176" i="5"/>
  <c r="D176" i="5"/>
  <c r="F175" i="5"/>
  <c r="E175" i="5"/>
  <c r="D175" i="5"/>
  <c r="F174" i="5"/>
  <c r="E174" i="5"/>
  <c r="D174" i="5"/>
  <c r="F173" i="5"/>
  <c r="E173" i="5"/>
  <c r="D173" i="5"/>
  <c r="F172" i="5"/>
  <c r="E172" i="5"/>
  <c r="D172" i="5"/>
  <c r="F171" i="5"/>
  <c r="E171" i="5"/>
  <c r="D171" i="5"/>
  <c r="F170" i="5"/>
  <c r="E170" i="5"/>
  <c r="D170" i="5"/>
  <c r="F169" i="5"/>
  <c r="E169" i="5"/>
  <c r="D169" i="5"/>
  <c r="F168" i="5"/>
  <c r="E168" i="5"/>
  <c r="D168" i="5"/>
  <c r="F167" i="5"/>
  <c r="E167" i="5"/>
  <c r="D167" i="5"/>
  <c r="F166" i="5"/>
  <c r="E166" i="5"/>
  <c r="D166" i="5"/>
  <c r="F165" i="5"/>
  <c r="E165" i="5"/>
  <c r="D165" i="5"/>
  <c r="F164" i="5"/>
  <c r="E164" i="5"/>
  <c r="D164" i="5"/>
  <c r="F163" i="5"/>
  <c r="E163" i="5"/>
  <c r="D163" i="5"/>
  <c r="F162" i="5"/>
  <c r="E162" i="5"/>
  <c r="D162" i="5"/>
  <c r="F161" i="5"/>
  <c r="E161" i="5"/>
  <c r="D161" i="5"/>
  <c r="F160" i="5"/>
  <c r="E160" i="5"/>
  <c r="D160" i="5"/>
  <c r="F159" i="5"/>
  <c r="E159" i="5"/>
  <c r="D159" i="5"/>
  <c r="F158" i="5"/>
  <c r="E158" i="5"/>
  <c r="D158" i="5"/>
  <c r="F157" i="5"/>
  <c r="E157" i="5"/>
  <c r="D157" i="5"/>
  <c r="F156" i="5"/>
  <c r="E156" i="5"/>
  <c r="D156" i="5"/>
  <c r="F155" i="5"/>
  <c r="E155" i="5"/>
  <c r="D155" i="5"/>
  <c r="F154" i="5"/>
  <c r="E154" i="5"/>
  <c r="D154" i="5"/>
  <c r="L153" i="5"/>
  <c r="F153" i="5"/>
  <c r="E153" i="5"/>
  <c r="D153" i="5"/>
  <c r="L152" i="5"/>
  <c r="F152" i="5"/>
  <c r="E152" i="5"/>
  <c r="D152" i="5"/>
  <c r="F151" i="5"/>
  <c r="E151" i="5"/>
  <c r="D151" i="5"/>
  <c r="F150" i="5"/>
  <c r="E150" i="5"/>
  <c r="D150" i="5"/>
  <c r="F149" i="5"/>
  <c r="E149" i="5"/>
  <c r="D149" i="5"/>
  <c r="F148" i="5"/>
  <c r="E148" i="5"/>
  <c r="D148" i="5"/>
  <c r="F147" i="5"/>
  <c r="E147" i="5"/>
  <c r="D147" i="5"/>
  <c r="F146" i="5"/>
  <c r="E146" i="5"/>
  <c r="D146" i="5"/>
  <c r="F145" i="5"/>
  <c r="E145" i="5"/>
  <c r="D145" i="5"/>
  <c r="F144" i="5"/>
  <c r="E144" i="5"/>
  <c r="D144" i="5"/>
  <c r="F143" i="5"/>
  <c r="E143" i="5"/>
  <c r="D143" i="5"/>
  <c r="F142" i="5"/>
  <c r="E142" i="5"/>
  <c r="D142" i="5"/>
  <c r="F141" i="5"/>
  <c r="E141" i="5"/>
  <c r="D141" i="5"/>
  <c r="F140" i="5"/>
  <c r="E140" i="5"/>
  <c r="D140" i="5"/>
  <c r="F139" i="5"/>
  <c r="E139" i="5"/>
  <c r="D139" i="5"/>
  <c r="F138" i="5"/>
  <c r="E138" i="5"/>
  <c r="D138" i="5"/>
  <c r="F137" i="5"/>
  <c r="E137" i="5"/>
  <c r="D137" i="5"/>
  <c r="F136" i="5"/>
  <c r="E136" i="5"/>
  <c r="D136" i="5"/>
  <c r="F135" i="5"/>
  <c r="E135" i="5"/>
  <c r="D135" i="5"/>
  <c r="F134" i="5"/>
  <c r="E134" i="5"/>
  <c r="D134" i="5"/>
  <c r="F133" i="5"/>
  <c r="E133" i="5"/>
  <c r="D133" i="5"/>
  <c r="F132" i="5"/>
  <c r="E132" i="5"/>
  <c r="D132" i="5"/>
  <c r="F131" i="5"/>
  <c r="E131" i="5"/>
  <c r="D131" i="5"/>
  <c r="C124" i="5"/>
  <c r="F123" i="5"/>
  <c r="E123" i="5"/>
  <c r="D123" i="5"/>
  <c r="F122" i="5"/>
  <c r="E122" i="5"/>
  <c r="D122" i="5"/>
  <c r="F121" i="5"/>
  <c r="E121" i="5"/>
  <c r="D121" i="5"/>
  <c r="F120" i="5"/>
  <c r="E120" i="5"/>
  <c r="D120" i="5"/>
  <c r="F119" i="5"/>
  <c r="E119" i="5"/>
  <c r="D119" i="5"/>
  <c r="F118" i="5"/>
  <c r="E118" i="5"/>
  <c r="D118" i="5"/>
  <c r="F117" i="5"/>
  <c r="E117" i="5"/>
  <c r="D117" i="5"/>
  <c r="F116" i="5"/>
  <c r="E116" i="5"/>
  <c r="D116" i="5"/>
  <c r="F115" i="5"/>
  <c r="E115" i="5"/>
  <c r="D115" i="5"/>
  <c r="F114" i="5"/>
  <c r="E114" i="5"/>
  <c r="D114" i="5"/>
  <c r="F113" i="5"/>
  <c r="E113" i="5"/>
  <c r="D113" i="5"/>
  <c r="F112" i="5"/>
  <c r="E112" i="5"/>
  <c r="D112" i="5"/>
  <c r="F111" i="5"/>
  <c r="E111" i="5"/>
  <c r="D111" i="5"/>
  <c r="F110" i="5"/>
  <c r="E110" i="5"/>
  <c r="D110" i="5"/>
  <c r="F109" i="5"/>
  <c r="E109" i="5"/>
  <c r="D109" i="5"/>
  <c r="F108" i="5"/>
  <c r="E108" i="5"/>
  <c r="D108" i="5"/>
  <c r="F107" i="5"/>
  <c r="E107" i="5"/>
  <c r="D107" i="5"/>
  <c r="F106" i="5"/>
  <c r="E106" i="5"/>
  <c r="D106" i="5"/>
  <c r="F105" i="5"/>
  <c r="E105" i="5"/>
  <c r="D105" i="5"/>
  <c r="F104" i="5"/>
  <c r="E104" i="5"/>
  <c r="D104" i="5"/>
  <c r="F103" i="5"/>
  <c r="E103" i="5"/>
  <c r="D103" i="5"/>
  <c r="F102" i="5"/>
  <c r="E102" i="5"/>
  <c r="D102" i="5"/>
  <c r="F101" i="5"/>
  <c r="E101" i="5"/>
  <c r="D101" i="5"/>
  <c r="F100" i="5"/>
  <c r="E100" i="5"/>
  <c r="D100" i="5"/>
  <c r="F99" i="5"/>
  <c r="E99" i="5"/>
  <c r="D99" i="5"/>
  <c r="F98" i="5"/>
  <c r="E98" i="5"/>
  <c r="D98" i="5"/>
  <c r="F97" i="5"/>
  <c r="E97" i="5"/>
  <c r="D97" i="5"/>
  <c r="F96" i="5"/>
  <c r="E96" i="5"/>
  <c r="D96" i="5"/>
  <c r="F95" i="5"/>
  <c r="E95" i="5"/>
  <c r="D95" i="5"/>
  <c r="F94" i="5"/>
  <c r="E94" i="5"/>
  <c r="D94" i="5"/>
  <c r="F93" i="5"/>
  <c r="E93" i="5"/>
  <c r="D93" i="5"/>
  <c r="F92" i="5"/>
  <c r="E92" i="5"/>
  <c r="D92" i="5"/>
  <c r="F91" i="5"/>
  <c r="E91" i="5"/>
  <c r="D91" i="5"/>
  <c r="F90" i="5"/>
  <c r="E90" i="5"/>
  <c r="D90" i="5"/>
  <c r="F89" i="5"/>
  <c r="E89" i="5"/>
  <c r="D89" i="5"/>
  <c r="F88" i="5"/>
  <c r="E88" i="5"/>
  <c r="D88" i="5"/>
  <c r="F87" i="5"/>
  <c r="E87" i="5"/>
  <c r="D87" i="5"/>
  <c r="F86" i="5"/>
  <c r="E86" i="5"/>
  <c r="D86" i="5"/>
  <c r="F85" i="5"/>
  <c r="E85" i="5"/>
  <c r="D85" i="5"/>
  <c r="F84" i="5"/>
  <c r="E84" i="5"/>
  <c r="D84" i="5"/>
  <c r="F83" i="5"/>
  <c r="E83" i="5"/>
  <c r="D83" i="5"/>
  <c r="F82" i="5"/>
  <c r="E82" i="5"/>
  <c r="D82" i="5"/>
  <c r="F81" i="5"/>
  <c r="E81" i="5"/>
  <c r="D81" i="5"/>
  <c r="F80" i="5"/>
  <c r="E80" i="5"/>
  <c r="D80" i="5"/>
  <c r="F79" i="5"/>
  <c r="E79" i="5"/>
  <c r="D79" i="5"/>
  <c r="F78" i="5"/>
  <c r="E78" i="5"/>
  <c r="D78" i="5"/>
  <c r="F77" i="5"/>
  <c r="E77" i="5"/>
  <c r="D77" i="5"/>
  <c r="F76" i="5"/>
  <c r="E76" i="5"/>
  <c r="D76" i="5"/>
  <c r="F75" i="5"/>
  <c r="E75" i="5"/>
  <c r="D75" i="5"/>
  <c r="F74" i="5"/>
  <c r="E74" i="5"/>
  <c r="D74" i="5"/>
  <c r="F73" i="5"/>
  <c r="E73" i="5"/>
  <c r="D73" i="5"/>
  <c r="F72" i="5"/>
  <c r="E72" i="5"/>
  <c r="D72" i="5"/>
  <c r="F71" i="5"/>
  <c r="E71" i="5"/>
  <c r="D71" i="5"/>
  <c r="F70" i="5"/>
  <c r="E70" i="5"/>
  <c r="D70" i="5"/>
  <c r="F69" i="5"/>
  <c r="E69" i="5"/>
  <c r="D69" i="5"/>
  <c r="F68" i="5"/>
  <c r="E68" i="5"/>
  <c r="D68" i="5"/>
  <c r="F67" i="5"/>
  <c r="E67" i="5"/>
  <c r="D67" i="5"/>
  <c r="F66" i="5"/>
  <c r="E66" i="5"/>
  <c r="D66" i="5"/>
  <c r="F65" i="5"/>
  <c r="E65" i="5"/>
  <c r="D65" i="5"/>
  <c r="F64" i="5"/>
  <c r="E64" i="5"/>
  <c r="D64" i="5"/>
  <c r="F63" i="5"/>
  <c r="E63" i="5"/>
  <c r="D63" i="5"/>
  <c r="F62" i="5"/>
  <c r="E62" i="5"/>
  <c r="D62" i="5"/>
  <c r="F61" i="5"/>
  <c r="E61" i="5"/>
  <c r="D61" i="5"/>
  <c r="F60" i="5"/>
  <c r="E60" i="5"/>
  <c r="D60" i="5"/>
  <c r="F59" i="5"/>
  <c r="E59" i="5"/>
  <c r="D59" i="5"/>
  <c r="F58" i="5"/>
  <c r="E58" i="5"/>
  <c r="D58" i="5"/>
  <c r="F57" i="5"/>
  <c r="E57" i="5"/>
  <c r="D57" i="5"/>
  <c r="F56" i="5"/>
  <c r="E56" i="5"/>
  <c r="D56" i="5"/>
  <c r="F55" i="5"/>
  <c r="E55" i="5"/>
  <c r="D55" i="5"/>
  <c r="F54" i="5"/>
  <c r="E54" i="5"/>
  <c r="D54" i="5"/>
  <c r="F53" i="5"/>
  <c r="E53" i="5"/>
  <c r="D53" i="5"/>
  <c r="F52" i="5"/>
  <c r="E52" i="5"/>
  <c r="D52" i="5"/>
  <c r="F51" i="5"/>
  <c r="E51" i="5"/>
  <c r="D51" i="5"/>
  <c r="F50" i="5"/>
  <c r="E50" i="5"/>
  <c r="D50" i="5"/>
  <c r="F49" i="5"/>
  <c r="E49" i="5"/>
  <c r="D49" i="5"/>
  <c r="F48" i="5"/>
  <c r="E48" i="5"/>
  <c r="D48" i="5"/>
  <c r="F47" i="5"/>
  <c r="E47" i="5"/>
  <c r="D47" i="5"/>
  <c r="F46" i="5"/>
  <c r="E46" i="5"/>
  <c r="D46" i="5"/>
  <c r="F45" i="5"/>
  <c r="E45" i="5"/>
  <c r="D45" i="5"/>
  <c r="F44" i="5"/>
  <c r="E44" i="5"/>
  <c r="D44" i="5"/>
  <c r="F43" i="5"/>
  <c r="E43" i="5"/>
  <c r="D43" i="5"/>
  <c r="F42" i="5"/>
  <c r="E42" i="5"/>
  <c r="D42" i="5"/>
  <c r="F41" i="5"/>
  <c r="E41" i="5"/>
  <c r="D41" i="5"/>
  <c r="F40" i="5"/>
  <c r="E40" i="5"/>
  <c r="D40" i="5"/>
  <c r="F39" i="5"/>
  <c r="E39" i="5"/>
  <c r="D39" i="5"/>
  <c r="F38" i="5"/>
  <c r="E38" i="5"/>
  <c r="D38" i="5"/>
  <c r="F37" i="5"/>
  <c r="E37" i="5"/>
  <c r="D37" i="5"/>
  <c r="F36" i="5"/>
  <c r="E36" i="5"/>
  <c r="D36" i="5"/>
  <c r="F35" i="5"/>
  <c r="E35" i="5"/>
  <c r="D35" i="5"/>
  <c r="F34" i="5"/>
  <c r="E34" i="5"/>
  <c r="D34" i="5"/>
  <c r="F33" i="5"/>
  <c r="E33" i="5"/>
  <c r="D33" i="5"/>
  <c r="F32" i="5"/>
  <c r="E32" i="5"/>
  <c r="D32" i="5"/>
  <c r="F31" i="5"/>
  <c r="E31" i="5"/>
  <c r="D31" i="5"/>
  <c r="F30" i="5"/>
  <c r="E30" i="5"/>
  <c r="D30" i="5"/>
  <c r="F29" i="5"/>
  <c r="E29" i="5"/>
  <c r="D29" i="5"/>
  <c r="F28" i="5"/>
  <c r="E28" i="5"/>
  <c r="D28" i="5"/>
  <c r="F27" i="5"/>
  <c r="E27" i="5"/>
  <c r="D27" i="5"/>
  <c r="L26" i="5"/>
  <c r="F26" i="5"/>
  <c r="E26" i="5"/>
  <c r="D26" i="5"/>
  <c r="L25" i="5"/>
  <c r="F25" i="5"/>
  <c r="E25" i="5"/>
  <c r="D25" i="5"/>
  <c r="F24" i="5"/>
  <c r="E24" i="5"/>
  <c r="D24" i="5"/>
  <c r="F23" i="5"/>
  <c r="E23" i="5"/>
  <c r="D23" i="5"/>
  <c r="F22" i="5"/>
  <c r="E22" i="5"/>
  <c r="D22" i="5"/>
  <c r="F21" i="5"/>
  <c r="E21" i="5"/>
  <c r="D21" i="5"/>
  <c r="F20" i="5"/>
  <c r="E20" i="5"/>
  <c r="D20" i="5"/>
  <c r="F19" i="5"/>
  <c r="E19" i="5"/>
  <c r="D19" i="5"/>
  <c r="F18" i="5"/>
  <c r="E18" i="5"/>
  <c r="D18" i="5"/>
  <c r="F17" i="5"/>
  <c r="E17" i="5"/>
  <c r="D17" i="5"/>
  <c r="F16" i="5"/>
  <c r="E16" i="5"/>
  <c r="D16" i="5"/>
  <c r="F15" i="5"/>
  <c r="E15" i="5"/>
  <c r="D15" i="5"/>
  <c r="F14" i="5"/>
  <c r="E14" i="5"/>
  <c r="D14" i="5"/>
  <c r="F13" i="5"/>
  <c r="E13" i="5"/>
  <c r="D13" i="5"/>
  <c r="F12" i="5"/>
  <c r="E12" i="5"/>
  <c r="D12" i="5"/>
  <c r="F11" i="5"/>
  <c r="E11" i="5"/>
  <c r="D11" i="5"/>
  <c r="F10" i="5"/>
  <c r="E10" i="5"/>
  <c r="D10" i="5"/>
  <c r="F9" i="5"/>
  <c r="E9" i="5"/>
  <c r="D9" i="5"/>
  <c r="F8" i="5"/>
  <c r="E8" i="5"/>
  <c r="D8" i="5"/>
  <c r="F7" i="5"/>
  <c r="E7" i="5"/>
  <c r="D7" i="5"/>
  <c r="F6" i="5"/>
  <c r="E6" i="5"/>
  <c r="D6" i="5"/>
  <c r="F5" i="5"/>
  <c r="E5" i="5"/>
  <c r="D5" i="5"/>
  <c r="F4" i="5"/>
  <c r="E4" i="5"/>
  <c r="D4" i="5"/>
  <c r="C759" i="4"/>
  <c r="F758" i="4"/>
  <c r="E758" i="4"/>
  <c r="D758" i="4"/>
  <c r="F757" i="4"/>
  <c r="E757" i="4"/>
  <c r="D757" i="4"/>
  <c r="F756" i="4"/>
  <c r="E756" i="4"/>
  <c r="D756" i="4"/>
  <c r="F755" i="4"/>
  <c r="E755" i="4"/>
  <c r="D755" i="4"/>
  <c r="F754" i="4"/>
  <c r="E754" i="4"/>
  <c r="D754" i="4"/>
  <c r="F753" i="4"/>
  <c r="E753" i="4"/>
  <c r="D753" i="4"/>
  <c r="F752" i="4"/>
  <c r="E752" i="4"/>
  <c r="D752" i="4"/>
  <c r="F751" i="4"/>
  <c r="E751" i="4"/>
  <c r="D751" i="4"/>
  <c r="F750" i="4"/>
  <c r="E750" i="4"/>
  <c r="D750" i="4"/>
  <c r="F749" i="4"/>
  <c r="E749" i="4"/>
  <c r="D749" i="4"/>
  <c r="F748" i="4"/>
  <c r="E748" i="4"/>
  <c r="D748" i="4"/>
  <c r="F747" i="4"/>
  <c r="E747" i="4"/>
  <c r="D747" i="4"/>
  <c r="F746" i="4"/>
  <c r="E746" i="4"/>
  <c r="D746" i="4"/>
  <c r="F745" i="4"/>
  <c r="E745" i="4"/>
  <c r="D745" i="4"/>
  <c r="F744" i="4"/>
  <c r="E744" i="4"/>
  <c r="D744" i="4"/>
  <c r="F743" i="4"/>
  <c r="E743" i="4"/>
  <c r="D743" i="4"/>
  <c r="F742" i="4"/>
  <c r="E742" i="4"/>
  <c r="D742" i="4"/>
  <c r="F741" i="4"/>
  <c r="E741" i="4"/>
  <c r="D741" i="4"/>
  <c r="F740" i="4"/>
  <c r="E740" i="4"/>
  <c r="D740" i="4"/>
  <c r="F739" i="4"/>
  <c r="E739" i="4"/>
  <c r="D739" i="4"/>
  <c r="F738" i="4"/>
  <c r="E738" i="4"/>
  <c r="D738" i="4"/>
  <c r="F737" i="4"/>
  <c r="E737" i="4"/>
  <c r="D737" i="4"/>
  <c r="F736" i="4"/>
  <c r="E736" i="4"/>
  <c r="D736" i="4"/>
  <c r="F735" i="4"/>
  <c r="E735" i="4"/>
  <c r="D735" i="4"/>
  <c r="F734" i="4"/>
  <c r="E734" i="4"/>
  <c r="D734" i="4"/>
  <c r="F733" i="4"/>
  <c r="E733" i="4"/>
  <c r="D733" i="4"/>
  <c r="F732" i="4"/>
  <c r="E732" i="4"/>
  <c r="D732" i="4"/>
  <c r="F731" i="4"/>
  <c r="E731" i="4"/>
  <c r="D731" i="4"/>
  <c r="F730" i="4"/>
  <c r="E730" i="4"/>
  <c r="D730" i="4"/>
  <c r="F729" i="4"/>
  <c r="E729" i="4"/>
  <c r="D729" i="4"/>
  <c r="F728" i="4"/>
  <c r="E728" i="4"/>
  <c r="D728" i="4"/>
  <c r="F727" i="4"/>
  <c r="E727" i="4"/>
  <c r="D727" i="4"/>
  <c r="F726" i="4"/>
  <c r="E726" i="4"/>
  <c r="D726" i="4"/>
  <c r="F725" i="4"/>
  <c r="E725" i="4"/>
  <c r="D725" i="4"/>
  <c r="F724" i="4"/>
  <c r="E724" i="4"/>
  <c r="D724" i="4"/>
  <c r="F723" i="4"/>
  <c r="E723" i="4"/>
  <c r="D723" i="4"/>
  <c r="F722" i="4"/>
  <c r="E722" i="4"/>
  <c r="D722" i="4"/>
  <c r="F721" i="4"/>
  <c r="E721" i="4"/>
  <c r="D721" i="4"/>
  <c r="F720" i="4"/>
  <c r="E720" i="4"/>
  <c r="D720" i="4"/>
  <c r="F719" i="4"/>
  <c r="E719" i="4"/>
  <c r="D719" i="4"/>
  <c r="F718" i="4"/>
  <c r="E718" i="4"/>
  <c r="D718" i="4"/>
  <c r="F717" i="4"/>
  <c r="E717" i="4"/>
  <c r="D717" i="4"/>
  <c r="F716" i="4"/>
  <c r="E716" i="4"/>
  <c r="D716" i="4"/>
  <c r="F715" i="4"/>
  <c r="E715" i="4"/>
  <c r="D715" i="4"/>
  <c r="F714" i="4"/>
  <c r="E714" i="4"/>
  <c r="D714" i="4"/>
  <c r="F713" i="4"/>
  <c r="E713" i="4"/>
  <c r="D713" i="4"/>
  <c r="F712" i="4"/>
  <c r="E712" i="4"/>
  <c r="D712" i="4"/>
  <c r="F711" i="4"/>
  <c r="E711" i="4"/>
  <c r="D711" i="4"/>
  <c r="F710" i="4"/>
  <c r="E710" i="4"/>
  <c r="D710" i="4"/>
  <c r="F709" i="4"/>
  <c r="E709" i="4"/>
  <c r="D709" i="4"/>
  <c r="F708" i="4"/>
  <c r="E708" i="4"/>
  <c r="D708" i="4"/>
  <c r="F707" i="4"/>
  <c r="E707" i="4"/>
  <c r="D707" i="4"/>
  <c r="F706" i="4"/>
  <c r="E706" i="4"/>
  <c r="D706" i="4"/>
  <c r="F705" i="4"/>
  <c r="E705" i="4"/>
  <c r="D705" i="4"/>
  <c r="F704" i="4"/>
  <c r="E704" i="4"/>
  <c r="D704" i="4"/>
  <c r="F703" i="4"/>
  <c r="E703" i="4"/>
  <c r="D703" i="4"/>
  <c r="F702" i="4"/>
  <c r="E702" i="4"/>
  <c r="D702" i="4"/>
  <c r="F701" i="4"/>
  <c r="E701" i="4"/>
  <c r="D701" i="4"/>
  <c r="F700" i="4"/>
  <c r="E700" i="4"/>
  <c r="D700" i="4"/>
  <c r="F699" i="4"/>
  <c r="E699" i="4"/>
  <c r="D699" i="4"/>
  <c r="F698" i="4"/>
  <c r="E698" i="4"/>
  <c r="D698" i="4"/>
  <c r="F697" i="4"/>
  <c r="E697" i="4"/>
  <c r="D697" i="4"/>
  <c r="F696" i="4"/>
  <c r="E696" i="4"/>
  <c r="D696" i="4"/>
  <c r="F695" i="4"/>
  <c r="E695" i="4"/>
  <c r="D695" i="4"/>
  <c r="F694" i="4"/>
  <c r="E694" i="4"/>
  <c r="D694" i="4"/>
  <c r="F693" i="4"/>
  <c r="E693" i="4"/>
  <c r="D693" i="4"/>
  <c r="F692" i="4"/>
  <c r="E692" i="4"/>
  <c r="D692" i="4"/>
  <c r="F691" i="4"/>
  <c r="E691" i="4"/>
  <c r="D691" i="4"/>
  <c r="F690" i="4"/>
  <c r="E690" i="4"/>
  <c r="D690" i="4"/>
  <c r="F689" i="4"/>
  <c r="E689" i="4"/>
  <c r="D689" i="4"/>
  <c r="F688" i="4"/>
  <c r="E688" i="4"/>
  <c r="D688" i="4"/>
  <c r="F687" i="4"/>
  <c r="E687" i="4"/>
  <c r="D687" i="4"/>
  <c r="F686" i="4"/>
  <c r="E686" i="4"/>
  <c r="D686" i="4"/>
  <c r="F685" i="4"/>
  <c r="E685" i="4"/>
  <c r="D685" i="4"/>
  <c r="F684" i="4"/>
  <c r="E684" i="4"/>
  <c r="D684" i="4"/>
  <c r="F683" i="4"/>
  <c r="E683" i="4"/>
  <c r="D683" i="4"/>
  <c r="F682" i="4"/>
  <c r="E682" i="4"/>
  <c r="D682" i="4"/>
  <c r="F681" i="4"/>
  <c r="E681" i="4"/>
  <c r="D681" i="4"/>
  <c r="F680" i="4"/>
  <c r="E680" i="4"/>
  <c r="D680" i="4"/>
  <c r="F679" i="4"/>
  <c r="E679" i="4"/>
  <c r="D679" i="4"/>
  <c r="F678" i="4"/>
  <c r="E678" i="4"/>
  <c r="D678" i="4"/>
  <c r="F677" i="4"/>
  <c r="E677" i="4"/>
  <c r="D677" i="4"/>
  <c r="F676" i="4"/>
  <c r="E676" i="4"/>
  <c r="D676" i="4"/>
  <c r="F675" i="4"/>
  <c r="E675" i="4"/>
  <c r="D675" i="4"/>
  <c r="F674" i="4"/>
  <c r="E674" i="4"/>
  <c r="D674" i="4"/>
  <c r="F673" i="4"/>
  <c r="E673" i="4"/>
  <c r="D673" i="4"/>
  <c r="F672" i="4"/>
  <c r="E672" i="4"/>
  <c r="D672" i="4"/>
  <c r="F671" i="4"/>
  <c r="E671" i="4"/>
  <c r="D671" i="4"/>
  <c r="F670" i="4"/>
  <c r="E670" i="4"/>
  <c r="D670" i="4"/>
  <c r="F669" i="4"/>
  <c r="E669" i="4"/>
  <c r="D669" i="4"/>
  <c r="F668" i="4"/>
  <c r="E668" i="4"/>
  <c r="D668" i="4"/>
  <c r="F667" i="4"/>
  <c r="E667" i="4"/>
  <c r="D667" i="4"/>
  <c r="F666" i="4"/>
  <c r="E666" i="4"/>
  <c r="D666" i="4"/>
  <c r="F665" i="4"/>
  <c r="E665" i="4"/>
  <c r="D665" i="4"/>
  <c r="F664" i="4"/>
  <c r="E664" i="4"/>
  <c r="D664" i="4"/>
  <c r="F663" i="4"/>
  <c r="E663" i="4"/>
  <c r="D663" i="4"/>
  <c r="F662" i="4"/>
  <c r="E662" i="4"/>
  <c r="D662" i="4"/>
  <c r="L661" i="4"/>
  <c r="F661" i="4"/>
  <c r="E661" i="4"/>
  <c r="D661" i="4"/>
  <c r="L660" i="4"/>
  <c r="F660" i="4"/>
  <c r="E660" i="4"/>
  <c r="D660" i="4"/>
  <c r="F659" i="4"/>
  <c r="E659" i="4"/>
  <c r="D659" i="4"/>
  <c r="F658" i="4"/>
  <c r="E658" i="4"/>
  <c r="D658" i="4"/>
  <c r="F657" i="4"/>
  <c r="E657" i="4"/>
  <c r="D657" i="4"/>
  <c r="F656" i="4"/>
  <c r="E656" i="4"/>
  <c r="D656" i="4"/>
  <c r="F655" i="4"/>
  <c r="E655" i="4"/>
  <c r="D655" i="4"/>
  <c r="F654" i="4"/>
  <c r="E654" i="4"/>
  <c r="D654" i="4"/>
  <c r="F653" i="4"/>
  <c r="E653" i="4"/>
  <c r="D653" i="4"/>
  <c r="F652" i="4"/>
  <c r="E652" i="4"/>
  <c r="D652" i="4"/>
  <c r="F651" i="4"/>
  <c r="E651" i="4"/>
  <c r="D651" i="4"/>
  <c r="F650" i="4"/>
  <c r="E650" i="4"/>
  <c r="D650" i="4"/>
  <c r="F649" i="4"/>
  <c r="E649" i="4"/>
  <c r="D649" i="4"/>
  <c r="F648" i="4"/>
  <c r="E648" i="4"/>
  <c r="D648" i="4"/>
  <c r="F647" i="4"/>
  <c r="E647" i="4"/>
  <c r="D647" i="4"/>
  <c r="F646" i="4"/>
  <c r="E646" i="4"/>
  <c r="D646" i="4"/>
  <c r="F645" i="4"/>
  <c r="E645" i="4"/>
  <c r="D645" i="4"/>
  <c r="F644" i="4"/>
  <c r="E644" i="4"/>
  <c r="D644" i="4"/>
  <c r="F643" i="4"/>
  <c r="E643" i="4"/>
  <c r="D643" i="4"/>
  <c r="F642" i="4"/>
  <c r="E642" i="4"/>
  <c r="D642" i="4"/>
  <c r="F641" i="4"/>
  <c r="E641" i="4"/>
  <c r="D641" i="4"/>
  <c r="F640" i="4"/>
  <c r="E640" i="4"/>
  <c r="D640" i="4"/>
  <c r="F639" i="4"/>
  <c r="E639" i="4"/>
  <c r="D639" i="4"/>
  <c r="C632" i="4"/>
  <c r="F631" i="4"/>
  <c r="E631" i="4"/>
  <c r="D631" i="4"/>
  <c r="F630" i="4"/>
  <c r="E630" i="4"/>
  <c r="D630" i="4"/>
  <c r="F629" i="4"/>
  <c r="E629" i="4"/>
  <c r="D629" i="4"/>
  <c r="F628" i="4"/>
  <c r="E628" i="4"/>
  <c r="D628" i="4"/>
  <c r="F627" i="4"/>
  <c r="E627" i="4"/>
  <c r="D627" i="4"/>
  <c r="F626" i="4"/>
  <c r="E626" i="4"/>
  <c r="D626" i="4"/>
  <c r="F625" i="4"/>
  <c r="E625" i="4"/>
  <c r="D625" i="4"/>
  <c r="F624" i="4"/>
  <c r="E624" i="4"/>
  <c r="D624" i="4"/>
  <c r="F623" i="4"/>
  <c r="E623" i="4"/>
  <c r="D623" i="4"/>
  <c r="F622" i="4"/>
  <c r="E622" i="4"/>
  <c r="D622" i="4"/>
  <c r="F621" i="4"/>
  <c r="E621" i="4"/>
  <c r="D621" i="4"/>
  <c r="F620" i="4"/>
  <c r="E620" i="4"/>
  <c r="D620" i="4"/>
  <c r="F619" i="4"/>
  <c r="E619" i="4"/>
  <c r="D619" i="4"/>
  <c r="F618" i="4"/>
  <c r="E618" i="4"/>
  <c r="D618" i="4"/>
  <c r="F617" i="4"/>
  <c r="E617" i="4"/>
  <c r="D617" i="4"/>
  <c r="F616" i="4"/>
  <c r="E616" i="4"/>
  <c r="D616" i="4"/>
  <c r="F615" i="4"/>
  <c r="E615" i="4"/>
  <c r="D615" i="4"/>
  <c r="F614" i="4"/>
  <c r="E614" i="4"/>
  <c r="D614" i="4"/>
  <c r="F613" i="4"/>
  <c r="E613" i="4"/>
  <c r="D613" i="4"/>
  <c r="F612" i="4"/>
  <c r="E612" i="4"/>
  <c r="D612" i="4"/>
  <c r="F611" i="4"/>
  <c r="E611" i="4"/>
  <c r="D611" i="4"/>
  <c r="F610" i="4"/>
  <c r="E610" i="4"/>
  <c r="D610" i="4"/>
  <c r="F609" i="4"/>
  <c r="E609" i="4"/>
  <c r="D609" i="4"/>
  <c r="F608" i="4"/>
  <c r="E608" i="4"/>
  <c r="D608" i="4"/>
  <c r="F607" i="4"/>
  <c r="E607" i="4"/>
  <c r="D607" i="4"/>
  <c r="F606" i="4"/>
  <c r="E606" i="4"/>
  <c r="D606" i="4"/>
  <c r="F605" i="4"/>
  <c r="E605" i="4"/>
  <c r="D605" i="4"/>
  <c r="F604" i="4"/>
  <c r="E604" i="4"/>
  <c r="D604" i="4"/>
  <c r="F603" i="4"/>
  <c r="E603" i="4"/>
  <c r="D603" i="4"/>
  <c r="F602" i="4"/>
  <c r="E602" i="4"/>
  <c r="D602" i="4"/>
  <c r="F601" i="4"/>
  <c r="E601" i="4"/>
  <c r="D601" i="4"/>
  <c r="F600" i="4"/>
  <c r="E600" i="4"/>
  <c r="D600" i="4"/>
  <c r="F599" i="4"/>
  <c r="E599" i="4"/>
  <c r="D599" i="4"/>
  <c r="F598" i="4"/>
  <c r="E598" i="4"/>
  <c r="D598" i="4"/>
  <c r="F597" i="4"/>
  <c r="E597" i="4"/>
  <c r="D597" i="4"/>
  <c r="F596" i="4"/>
  <c r="E596" i="4"/>
  <c r="D596" i="4"/>
  <c r="F595" i="4"/>
  <c r="E595" i="4"/>
  <c r="D595" i="4"/>
  <c r="F594" i="4"/>
  <c r="E594" i="4"/>
  <c r="D594" i="4"/>
  <c r="F593" i="4"/>
  <c r="E593" i="4"/>
  <c r="D593" i="4"/>
  <c r="F592" i="4"/>
  <c r="E592" i="4"/>
  <c r="D592" i="4"/>
  <c r="F591" i="4"/>
  <c r="E591" i="4"/>
  <c r="D591" i="4"/>
  <c r="F590" i="4"/>
  <c r="E590" i="4"/>
  <c r="D590" i="4"/>
  <c r="F589" i="4"/>
  <c r="E589" i="4"/>
  <c r="D589" i="4"/>
  <c r="F588" i="4"/>
  <c r="E588" i="4"/>
  <c r="D588" i="4"/>
  <c r="F587" i="4"/>
  <c r="E587" i="4"/>
  <c r="D587" i="4"/>
  <c r="F586" i="4"/>
  <c r="E586" i="4"/>
  <c r="D586" i="4"/>
  <c r="F585" i="4"/>
  <c r="E585" i="4"/>
  <c r="D585" i="4"/>
  <c r="F584" i="4"/>
  <c r="E584" i="4"/>
  <c r="D584" i="4"/>
  <c r="F583" i="4"/>
  <c r="E583" i="4"/>
  <c r="D583" i="4"/>
  <c r="F582" i="4"/>
  <c r="E582" i="4"/>
  <c r="D582" i="4"/>
  <c r="F581" i="4"/>
  <c r="E581" i="4"/>
  <c r="D581" i="4"/>
  <c r="F580" i="4"/>
  <c r="E580" i="4"/>
  <c r="D580" i="4"/>
  <c r="F579" i="4"/>
  <c r="E579" i="4"/>
  <c r="D579" i="4"/>
  <c r="F578" i="4"/>
  <c r="E578" i="4"/>
  <c r="D578" i="4"/>
  <c r="F577" i="4"/>
  <c r="E577" i="4"/>
  <c r="D577" i="4"/>
  <c r="F576" i="4"/>
  <c r="E576" i="4"/>
  <c r="D576" i="4"/>
  <c r="F575" i="4"/>
  <c r="E575" i="4"/>
  <c r="D575" i="4"/>
  <c r="F574" i="4"/>
  <c r="E574" i="4"/>
  <c r="D574" i="4"/>
  <c r="F573" i="4"/>
  <c r="E573" i="4"/>
  <c r="D573" i="4"/>
  <c r="F572" i="4"/>
  <c r="E572" i="4"/>
  <c r="D572" i="4"/>
  <c r="F571" i="4"/>
  <c r="E571" i="4"/>
  <c r="D571" i="4"/>
  <c r="F570" i="4"/>
  <c r="E570" i="4"/>
  <c r="D570" i="4"/>
  <c r="F569" i="4"/>
  <c r="E569" i="4"/>
  <c r="D569" i="4"/>
  <c r="F568" i="4"/>
  <c r="E568" i="4"/>
  <c r="D568" i="4"/>
  <c r="F567" i="4"/>
  <c r="E567" i="4"/>
  <c r="D567" i="4"/>
  <c r="F566" i="4"/>
  <c r="E566" i="4"/>
  <c r="D566" i="4"/>
  <c r="F565" i="4"/>
  <c r="E565" i="4"/>
  <c r="D565" i="4"/>
  <c r="F564" i="4"/>
  <c r="E564" i="4"/>
  <c r="D564" i="4"/>
  <c r="F563" i="4"/>
  <c r="E563" i="4"/>
  <c r="D563" i="4"/>
  <c r="F562" i="4"/>
  <c r="E562" i="4"/>
  <c r="D562" i="4"/>
  <c r="F561" i="4"/>
  <c r="E561" i="4"/>
  <c r="D561" i="4"/>
  <c r="F560" i="4"/>
  <c r="E560" i="4"/>
  <c r="D560" i="4"/>
  <c r="F559" i="4"/>
  <c r="E559" i="4"/>
  <c r="D559" i="4"/>
  <c r="F558" i="4"/>
  <c r="E558" i="4"/>
  <c r="D558" i="4"/>
  <c r="F557" i="4"/>
  <c r="E557" i="4"/>
  <c r="D557" i="4"/>
  <c r="F556" i="4"/>
  <c r="E556" i="4"/>
  <c r="D556" i="4"/>
  <c r="F555" i="4"/>
  <c r="E555" i="4"/>
  <c r="D555" i="4"/>
  <c r="F554" i="4"/>
  <c r="E554" i="4"/>
  <c r="D554" i="4"/>
  <c r="F553" i="4"/>
  <c r="E553" i="4"/>
  <c r="D553" i="4"/>
  <c r="F552" i="4"/>
  <c r="E552" i="4"/>
  <c r="D552" i="4"/>
  <c r="F551" i="4"/>
  <c r="E551" i="4"/>
  <c r="D551" i="4"/>
  <c r="F550" i="4"/>
  <c r="E550" i="4"/>
  <c r="D550" i="4"/>
  <c r="F549" i="4"/>
  <c r="E549" i="4"/>
  <c r="D549" i="4"/>
  <c r="F548" i="4"/>
  <c r="E548" i="4"/>
  <c r="D548" i="4"/>
  <c r="F547" i="4"/>
  <c r="E547" i="4"/>
  <c r="D547" i="4"/>
  <c r="F546" i="4"/>
  <c r="E546" i="4"/>
  <c r="D546" i="4"/>
  <c r="F545" i="4"/>
  <c r="E545" i="4"/>
  <c r="D545" i="4"/>
  <c r="F544" i="4"/>
  <c r="E544" i="4"/>
  <c r="D544" i="4"/>
  <c r="F543" i="4"/>
  <c r="E543" i="4"/>
  <c r="D543" i="4"/>
  <c r="F542" i="4"/>
  <c r="E542" i="4"/>
  <c r="D542" i="4"/>
  <c r="F541" i="4"/>
  <c r="E541" i="4"/>
  <c r="D541" i="4"/>
  <c r="F540" i="4"/>
  <c r="E540" i="4"/>
  <c r="D540" i="4"/>
  <c r="F539" i="4"/>
  <c r="E539" i="4"/>
  <c r="D539" i="4"/>
  <c r="F538" i="4"/>
  <c r="E538" i="4"/>
  <c r="D538" i="4"/>
  <c r="F537" i="4"/>
  <c r="E537" i="4"/>
  <c r="D537" i="4"/>
  <c r="F536" i="4"/>
  <c r="E536" i="4"/>
  <c r="D536" i="4"/>
  <c r="F535" i="4"/>
  <c r="E535" i="4"/>
  <c r="D535" i="4"/>
  <c r="L534" i="4"/>
  <c r="E770" i="4" s="1"/>
  <c r="F534" i="4"/>
  <c r="E534" i="4"/>
  <c r="D534" i="4"/>
  <c r="L533" i="4"/>
  <c r="E769" i="4" s="1"/>
  <c r="F533" i="4"/>
  <c r="E533" i="4"/>
  <c r="D533" i="4"/>
  <c r="F532" i="4"/>
  <c r="E532" i="4"/>
  <c r="D532" i="4"/>
  <c r="F531" i="4"/>
  <c r="E531" i="4"/>
  <c r="D531" i="4"/>
  <c r="F530" i="4"/>
  <c r="E530" i="4"/>
  <c r="D530" i="4"/>
  <c r="F529" i="4"/>
  <c r="E529" i="4"/>
  <c r="D529" i="4"/>
  <c r="F528" i="4"/>
  <c r="E528" i="4"/>
  <c r="D528" i="4"/>
  <c r="F527" i="4"/>
  <c r="E527" i="4"/>
  <c r="D527" i="4"/>
  <c r="F526" i="4"/>
  <c r="E526" i="4"/>
  <c r="D526" i="4"/>
  <c r="F525" i="4"/>
  <c r="E525" i="4"/>
  <c r="D525" i="4"/>
  <c r="F524" i="4"/>
  <c r="E524" i="4"/>
  <c r="D524" i="4"/>
  <c r="F523" i="4"/>
  <c r="E523" i="4"/>
  <c r="D523" i="4"/>
  <c r="F522" i="4"/>
  <c r="E522" i="4"/>
  <c r="D522" i="4"/>
  <c r="F521" i="4"/>
  <c r="E521" i="4"/>
  <c r="D521" i="4"/>
  <c r="F520" i="4"/>
  <c r="E520" i="4"/>
  <c r="D520" i="4"/>
  <c r="F519" i="4"/>
  <c r="E519" i="4"/>
  <c r="D519" i="4"/>
  <c r="F518" i="4"/>
  <c r="E518" i="4"/>
  <c r="D518" i="4"/>
  <c r="F517" i="4"/>
  <c r="E517" i="4"/>
  <c r="D517" i="4"/>
  <c r="F516" i="4"/>
  <c r="E516" i="4"/>
  <c r="D516" i="4"/>
  <c r="F515" i="4"/>
  <c r="E515" i="4"/>
  <c r="D515" i="4"/>
  <c r="F514" i="4"/>
  <c r="E514" i="4"/>
  <c r="D514" i="4"/>
  <c r="F513" i="4"/>
  <c r="E513" i="4"/>
  <c r="D513" i="4"/>
  <c r="F512" i="4"/>
  <c r="E512" i="4"/>
  <c r="D512" i="4"/>
  <c r="C505" i="4"/>
  <c r="F504" i="4"/>
  <c r="E504" i="4"/>
  <c r="D504" i="4"/>
  <c r="F503" i="4"/>
  <c r="E503" i="4"/>
  <c r="D503" i="4"/>
  <c r="F502" i="4"/>
  <c r="E502" i="4"/>
  <c r="D502" i="4"/>
  <c r="F501" i="4"/>
  <c r="E501" i="4"/>
  <c r="D501" i="4"/>
  <c r="F500" i="4"/>
  <c r="E500" i="4"/>
  <c r="D500" i="4"/>
  <c r="F499" i="4"/>
  <c r="E499" i="4"/>
  <c r="D499" i="4"/>
  <c r="F498" i="4"/>
  <c r="E498" i="4"/>
  <c r="D498" i="4"/>
  <c r="F497" i="4"/>
  <c r="E497" i="4"/>
  <c r="D497" i="4"/>
  <c r="F496" i="4"/>
  <c r="E496" i="4"/>
  <c r="D496" i="4"/>
  <c r="F495" i="4"/>
  <c r="E495" i="4"/>
  <c r="D495" i="4"/>
  <c r="F494" i="4"/>
  <c r="E494" i="4"/>
  <c r="D494" i="4"/>
  <c r="F493" i="4"/>
  <c r="E493" i="4"/>
  <c r="D493" i="4"/>
  <c r="F492" i="4"/>
  <c r="E492" i="4"/>
  <c r="D492" i="4"/>
  <c r="F491" i="4"/>
  <c r="E491" i="4"/>
  <c r="D491" i="4"/>
  <c r="F490" i="4"/>
  <c r="E490" i="4"/>
  <c r="D490" i="4"/>
  <c r="F489" i="4"/>
  <c r="E489" i="4"/>
  <c r="D489" i="4"/>
  <c r="F488" i="4"/>
  <c r="E488" i="4"/>
  <c r="D488" i="4"/>
  <c r="F487" i="4"/>
  <c r="E487" i="4"/>
  <c r="D487" i="4"/>
  <c r="F486" i="4"/>
  <c r="E486" i="4"/>
  <c r="D486" i="4"/>
  <c r="F485" i="4"/>
  <c r="E485" i="4"/>
  <c r="D485" i="4"/>
  <c r="F484" i="4"/>
  <c r="E484" i="4"/>
  <c r="D484" i="4"/>
  <c r="F483" i="4"/>
  <c r="E483" i="4"/>
  <c r="D483" i="4"/>
  <c r="F482" i="4"/>
  <c r="E482" i="4"/>
  <c r="D482" i="4"/>
  <c r="F481" i="4"/>
  <c r="E481" i="4"/>
  <c r="D481" i="4"/>
  <c r="F480" i="4"/>
  <c r="E480" i="4"/>
  <c r="D480" i="4"/>
  <c r="F479" i="4"/>
  <c r="E479" i="4"/>
  <c r="D479" i="4"/>
  <c r="F478" i="4"/>
  <c r="E478" i="4"/>
  <c r="D478" i="4"/>
  <c r="F477" i="4"/>
  <c r="E477" i="4"/>
  <c r="D477" i="4"/>
  <c r="F476" i="4"/>
  <c r="E476" i="4"/>
  <c r="D476" i="4"/>
  <c r="F475" i="4"/>
  <c r="E475" i="4"/>
  <c r="D475" i="4"/>
  <c r="F474" i="4"/>
  <c r="E474" i="4"/>
  <c r="D474" i="4"/>
  <c r="F473" i="4"/>
  <c r="E473" i="4"/>
  <c r="D473" i="4"/>
  <c r="F472" i="4"/>
  <c r="E472" i="4"/>
  <c r="D472" i="4"/>
  <c r="F471" i="4"/>
  <c r="E471" i="4"/>
  <c r="D471" i="4"/>
  <c r="F470" i="4"/>
  <c r="E470" i="4"/>
  <c r="D470" i="4"/>
  <c r="F469" i="4"/>
  <c r="E469" i="4"/>
  <c r="D469" i="4"/>
  <c r="F468" i="4"/>
  <c r="E468" i="4"/>
  <c r="D468" i="4"/>
  <c r="F467" i="4"/>
  <c r="E467" i="4"/>
  <c r="D467" i="4"/>
  <c r="F466" i="4"/>
  <c r="E466" i="4"/>
  <c r="D466" i="4"/>
  <c r="F465" i="4"/>
  <c r="E465" i="4"/>
  <c r="D465" i="4"/>
  <c r="F464" i="4"/>
  <c r="E464" i="4"/>
  <c r="D464" i="4"/>
  <c r="F463" i="4"/>
  <c r="E463" i="4"/>
  <c r="D463" i="4"/>
  <c r="F462" i="4"/>
  <c r="E462" i="4"/>
  <c r="D462" i="4"/>
  <c r="F461" i="4"/>
  <c r="E461" i="4"/>
  <c r="D461" i="4"/>
  <c r="F460" i="4"/>
  <c r="E460" i="4"/>
  <c r="D460" i="4"/>
  <c r="F459" i="4"/>
  <c r="E459" i="4"/>
  <c r="D459" i="4"/>
  <c r="F458" i="4"/>
  <c r="E458" i="4"/>
  <c r="D458" i="4"/>
  <c r="F457" i="4"/>
  <c r="E457" i="4"/>
  <c r="D457" i="4"/>
  <c r="F456" i="4"/>
  <c r="E456" i="4"/>
  <c r="D456" i="4"/>
  <c r="F455" i="4"/>
  <c r="E455" i="4"/>
  <c r="D455" i="4"/>
  <c r="F454" i="4"/>
  <c r="E454" i="4"/>
  <c r="D454" i="4"/>
  <c r="F453" i="4"/>
  <c r="E453" i="4"/>
  <c r="D453" i="4"/>
  <c r="F452" i="4"/>
  <c r="E452" i="4"/>
  <c r="D452" i="4"/>
  <c r="F451" i="4"/>
  <c r="E451" i="4"/>
  <c r="D451" i="4"/>
  <c r="F450" i="4"/>
  <c r="E450" i="4"/>
  <c r="D450" i="4"/>
  <c r="F449" i="4"/>
  <c r="E449" i="4"/>
  <c r="D449" i="4"/>
  <c r="F448" i="4"/>
  <c r="E448" i="4"/>
  <c r="D448" i="4"/>
  <c r="F447" i="4"/>
  <c r="E447" i="4"/>
  <c r="D447" i="4"/>
  <c r="F446" i="4"/>
  <c r="E446" i="4"/>
  <c r="D446" i="4"/>
  <c r="F445" i="4"/>
  <c r="E445" i="4"/>
  <c r="D445" i="4"/>
  <c r="F444" i="4"/>
  <c r="E444" i="4"/>
  <c r="D444" i="4"/>
  <c r="F443" i="4"/>
  <c r="E443" i="4"/>
  <c r="D443" i="4"/>
  <c r="F442" i="4"/>
  <c r="E442" i="4"/>
  <c r="D442" i="4"/>
  <c r="F441" i="4"/>
  <c r="E441" i="4"/>
  <c r="D441" i="4"/>
  <c r="F440" i="4"/>
  <c r="E440" i="4"/>
  <c r="D440" i="4"/>
  <c r="F439" i="4"/>
  <c r="E439" i="4"/>
  <c r="D439" i="4"/>
  <c r="F438" i="4"/>
  <c r="E438" i="4"/>
  <c r="D438" i="4"/>
  <c r="F437" i="4"/>
  <c r="E437" i="4"/>
  <c r="D437" i="4"/>
  <c r="F436" i="4"/>
  <c r="E436" i="4"/>
  <c r="D436" i="4"/>
  <c r="F435" i="4"/>
  <c r="E435" i="4"/>
  <c r="D435" i="4"/>
  <c r="F434" i="4"/>
  <c r="E434" i="4"/>
  <c r="D434" i="4"/>
  <c r="F433" i="4"/>
  <c r="E433" i="4"/>
  <c r="D433" i="4"/>
  <c r="F432" i="4"/>
  <c r="E432" i="4"/>
  <c r="D432" i="4"/>
  <c r="F431" i="4"/>
  <c r="E431" i="4"/>
  <c r="D431" i="4"/>
  <c r="F430" i="4"/>
  <c r="E430" i="4"/>
  <c r="D430" i="4"/>
  <c r="F429" i="4"/>
  <c r="E429" i="4"/>
  <c r="D429" i="4"/>
  <c r="F428" i="4"/>
  <c r="E428" i="4"/>
  <c r="D428" i="4"/>
  <c r="F427" i="4"/>
  <c r="E427" i="4"/>
  <c r="D427" i="4"/>
  <c r="F426" i="4"/>
  <c r="E426" i="4"/>
  <c r="D426" i="4"/>
  <c r="F425" i="4"/>
  <c r="E425" i="4"/>
  <c r="D425" i="4"/>
  <c r="F424" i="4"/>
  <c r="E424" i="4"/>
  <c r="D424" i="4"/>
  <c r="F423" i="4"/>
  <c r="E423" i="4"/>
  <c r="D423" i="4"/>
  <c r="F422" i="4"/>
  <c r="E422" i="4"/>
  <c r="D422" i="4"/>
  <c r="F421" i="4"/>
  <c r="E421" i="4"/>
  <c r="D421" i="4"/>
  <c r="F420" i="4"/>
  <c r="E420" i="4"/>
  <c r="D420" i="4"/>
  <c r="F419" i="4"/>
  <c r="E419" i="4"/>
  <c r="D419" i="4"/>
  <c r="F418" i="4"/>
  <c r="E418" i="4"/>
  <c r="D418" i="4"/>
  <c r="F417" i="4"/>
  <c r="E417" i="4"/>
  <c r="D417" i="4"/>
  <c r="F416" i="4"/>
  <c r="E416" i="4"/>
  <c r="D416" i="4"/>
  <c r="F415" i="4"/>
  <c r="E415" i="4"/>
  <c r="D415" i="4"/>
  <c r="F414" i="4"/>
  <c r="E414" i="4"/>
  <c r="D414" i="4"/>
  <c r="F413" i="4"/>
  <c r="E413" i="4"/>
  <c r="D413" i="4"/>
  <c r="F412" i="4"/>
  <c r="E412" i="4"/>
  <c r="D412" i="4"/>
  <c r="F411" i="4"/>
  <c r="E411" i="4"/>
  <c r="D411" i="4"/>
  <c r="F410" i="4"/>
  <c r="E410" i="4"/>
  <c r="D410" i="4"/>
  <c r="F409" i="4"/>
  <c r="E409" i="4"/>
  <c r="D409" i="4"/>
  <c r="F408" i="4"/>
  <c r="E408" i="4"/>
  <c r="D408" i="4"/>
  <c r="L407" i="4"/>
  <c r="F407" i="4"/>
  <c r="E407" i="4"/>
  <c r="D407" i="4"/>
  <c r="L406" i="4"/>
  <c r="F406" i="4"/>
  <c r="E406" i="4"/>
  <c r="D406" i="4"/>
  <c r="F405" i="4"/>
  <c r="E405" i="4"/>
  <c r="D405" i="4"/>
  <c r="F404" i="4"/>
  <c r="E404" i="4"/>
  <c r="D404" i="4"/>
  <c r="F403" i="4"/>
  <c r="E403" i="4"/>
  <c r="D403" i="4"/>
  <c r="F402" i="4"/>
  <c r="E402" i="4"/>
  <c r="D402" i="4"/>
  <c r="F401" i="4"/>
  <c r="E401" i="4"/>
  <c r="D401" i="4"/>
  <c r="F400" i="4"/>
  <c r="E400" i="4"/>
  <c r="D400" i="4"/>
  <c r="F399" i="4"/>
  <c r="E399" i="4"/>
  <c r="D399" i="4"/>
  <c r="F398" i="4"/>
  <c r="E398" i="4"/>
  <c r="D398" i="4"/>
  <c r="F397" i="4"/>
  <c r="E397" i="4"/>
  <c r="D397" i="4"/>
  <c r="F396" i="4"/>
  <c r="E396" i="4"/>
  <c r="D396" i="4"/>
  <c r="F395" i="4"/>
  <c r="E395" i="4"/>
  <c r="D395" i="4"/>
  <c r="F394" i="4"/>
  <c r="E394" i="4"/>
  <c r="D394" i="4"/>
  <c r="F393" i="4"/>
  <c r="E393" i="4"/>
  <c r="D393" i="4"/>
  <c r="F392" i="4"/>
  <c r="E392" i="4"/>
  <c r="D392" i="4"/>
  <c r="F391" i="4"/>
  <c r="E391" i="4"/>
  <c r="D391" i="4"/>
  <c r="F390" i="4"/>
  <c r="E390" i="4"/>
  <c r="D390" i="4"/>
  <c r="F389" i="4"/>
  <c r="E389" i="4"/>
  <c r="D389" i="4"/>
  <c r="F388" i="4"/>
  <c r="E388" i="4"/>
  <c r="D388" i="4"/>
  <c r="F387" i="4"/>
  <c r="E387" i="4"/>
  <c r="D387" i="4"/>
  <c r="F386" i="4"/>
  <c r="E386" i="4"/>
  <c r="D386" i="4"/>
  <c r="F385" i="4"/>
  <c r="E385" i="4"/>
  <c r="D385" i="4"/>
  <c r="C378" i="4"/>
  <c r="F377" i="4"/>
  <c r="E377" i="4"/>
  <c r="D377" i="4"/>
  <c r="F376" i="4"/>
  <c r="E376" i="4"/>
  <c r="D376" i="4"/>
  <c r="F375" i="4"/>
  <c r="E375" i="4"/>
  <c r="D375" i="4"/>
  <c r="F374" i="4"/>
  <c r="E374" i="4"/>
  <c r="D374" i="4"/>
  <c r="F373" i="4"/>
  <c r="E373" i="4"/>
  <c r="D373" i="4"/>
  <c r="F372" i="4"/>
  <c r="E372" i="4"/>
  <c r="D372" i="4"/>
  <c r="F371" i="4"/>
  <c r="E371" i="4"/>
  <c r="D371" i="4"/>
  <c r="F370" i="4"/>
  <c r="E370" i="4"/>
  <c r="D370" i="4"/>
  <c r="F369" i="4"/>
  <c r="E369" i="4"/>
  <c r="D369" i="4"/>
  <c r="F368" i="4"/>
  <c r="E368" i="4"/>
  <c r="D368" i="4"/>
  <c r="F367" i="4"/>
  <c r="E367" i="4"/>
  <c r="D367" i="4"/>
  <c r="F366" i="4"/>
  <c r="E366" i="4"/>
  <c r="D366" i="4"/>
  <c r="F365" i="4"/>
  <c r="E365" i="4"/>
  <c r="D365" i="4"/>
  <c r="F364" i="4"/>
  <c r="E364" i="4"/>
  <c r="D364" i="4"/>
  <c r="F363" i="4"/>
  <c r="E363" i="4"/>
  <c r="D363" i="4"/>
  <c r="F362" i="4"/>
  <c r="E362" i="4"/>
  <c r="D362" i="4"/>
  <c r="F361" i="4"/>
  <c r="E361" i="4"/>
  <c r="D361" i="4"/>
  <c r="F360" i="4"/>
  <c r="E360" i="4"/>
  <c r="D360" i="4"/>
  <c r="F359" i="4"/>
  <c r="E359" i="4"/>
  <c r="D359" i="4"/>
  <c r="F358" i="4"/>
  <c r="E358" i="4"/>
  <c r="D358" i="4"/>
  <c r="F357" i="4"/>
  <c r="E357" i="4"/>
  <c r="D357" i="4"/>
  <c r="F356" i="4"/>
  <c r="E356" i="4"/>
  <c r="D356" i="4"/>
  <c r="F355" i="4"/>
  <c r="E355" i="4"/>
  <c r="D355" i="4"/>
  <c r="F354" i="4"/>
  <c r="E354" i="4"/>
  <c r="D354" i="4"/>
  <c r="F353" i="4"/>
  <c r="E353" i="4"/>
  <c r="D353" i="4"/>
  <c r="F352" i="4"/>
  <c r="E352" i="4"/>
  <c r="D352" i="4"/>
  <c r="F351" i="4"/>
  <c r="E351" i="4"/>
  <c r="D351" i="4"/>
  <c r="F350" i="4"/>
  <c r="E350" i="4"/>
  <c r="D350" i="4"/>
  <c r="F349" i="4"/>
  <c r="E349" i="4"/>
  <c r="D349" i="4"/>
  <c r="F348" i="4"/>
  <c r="E348" i="4"/>
  <c r="D348" i="4"/>
  <c r="F347" i="4"/>
  <c r="E347" i="4"/>
  <c r="D347" i="4"/>
  <c r="F346" i="4"/>
  <c r="E346" i="4"/>
  <c r="D346" i="4"/>
  <c r="F345" i="4"/>
  <c r="E345" i="4"/>
  <c r="D345" i="4"/>
  <c r="F344" i="4"/>
  <c r="E344" i="4"/>
  <c r="D344" i="4"/>
  <c r="F343" i="4"/>
  <c r="E343" i="4"/>
  <c r="D343" i="4"/>
  <c r="F342" i="4"/>
  <c r="E342" i="4"/>
  <c r="D342" i="4"/>
  <c r="F341" i="4"/>
  <c r="E341" i="4"/>
  <c r="D341" i="4"/>
  <c r="F340" i="4"/>
  <c r="E340" i="4"/>
  <c r="D340" i="4"/>
  <c r="F339" i="4"/>
  <c r="E339" i="4"/>
  <c r="D339" i="4"/>
  <c r="F338" i="4"/>
  <c r="E338" i="4"/>
  <c r="D338" i="4"/>
  <c r="F337" i="4"/>
  <c r="E337" i="4"/>
  <c r="D337" i="4"/>
  <c r="F336" i="4"/>
  <c r="E336" i="4"/>
  <c r="D336" i="4"/>
  <c r="F335" i="4"/>
  <c r="E335" i="4"/>
  <c r="D335" i="4"/>
  <c r="F334" i="4"/>
  <c r="E334" i="4"/>
  <c r="D334" i="4"/>
  <c r="F333" i="4"/>
  <c r="E333" i="4"/>
  <c r="D333" i="4"/>
  <c r="F332" i="4"/>
  <c r="E332" i="4"/>
  <c r="D332" i="4"/>
  <c r="F331" i="4"/>
  <c r="E331" i="4"/>
  <c r="D331" i="4"/>
  <c r="F330" i="4"/>
  <c r="E330" i="4"/>
  <c r="D330" i="4"/>
  <c r="F329" i="4"/>
  <c r="E329" i="4"/>
  <c r="D329" i="4"/>
  <c r="F328" i="4"/>
  <c r="E328" i="4"/>
  <c r="D328" i="4"/>
  <c r="F327" i="4"/>
  <c r="E327" i="4"/>
  <c r="D327" i="4"/>
  <c r="F326" i="4"/>
  <c r="E326" i="4"/>
  <c r="D326" i="4"/>
  <c r="F325" i="4"/>
  <c r="E325" i="4"/>
  <c r="D325" i="4"/>
  <c r="F324" i="4"/>
  <c r="E324" i="4"/>
  <c r="D324" i="4"/>
  <c r="F323" i="4"/>
  <c r="E323" i="4"/>
  <c r="D323" i="4"/>
  <c r="F322" i="4"/>
  <c r="E322" i="4"/>
  <c r="D322" i="4"/>
  <c r="F321" i="4"/>
  <c r="E321" i="4"/>
  <c r="D321" i="4"/>
  <c r="F320" i="4"/>
  <c r="E320" i="4"/>
  <c r="D320" i="4"/>
  <c r="F319" i="4"/>
  <c r="E319" i="4"/>
  <c r="D319" i="4"/>
  <c r="F318" i="4"/>
  <c r="E318" i="4"/>
  <c r="D318" i="4"/>
  <c r="F317" i="4"/>
  <c r="E317" i="4"/>
  <c r="D317" i="4"/>
  <c r="F316" i="4"/>
  <c r="E316" i="4"/>
  <c r="D316" i="4"/>
  <c r="F315" i="4"/>
  <c r="E315" i="4"/>
  <c r="D315" i="4"/>
  <c r="F314" i="4"/>
  <c r="E314" i="4"/>
  <c r="D314" i="4"/>
  <c r="F313" i="4"/>
  <c r="E313" i="4"/>
  <c r="D313" i="4"/>
  <c r="F312" i="4"/>
  <c r="E312" i="4"/>
  <c r="D312" i="4"/>
  <c r="F311" i="4"/>
  <c r="E311" i="4"/>
  <c r="D311" i="4"/>
  <c r="F310" i="4"/>
  <c r="E310" i="4"/>
  <c r="D310" i="4"/>
  <c r="F309" i="4"/>
  <c r="E309" i="4"/>
  <c r="D309" i="4"/>
  <c r="F308" i="4"/>
  <c r="E308" i="4"/>
  <c r="D308" i="4"/>
  <c r="F307" i="4"/>
  <c r="E307" i="4"/>
  <c r="D307" i="4"/>
  <c r="F306" i="4"/>
  <c r="E306" i="4"/>
  <c r="D306" i="4"/>
  <c r="F305" i="4"/>
  <c r="E305" i="4"/>
  <c r="D305" i="4"/>
  <c r="F304" i="4"/>
  <c r="E304" i="4"/>
  <c r="D304" i="4"/>
  <c r="F303" i="4"/>
  <c r="E303" i="4"/>
  <c r="D303" i="4"/>
  <c r="F302" i="4"/>
  <c r="E302" i="4"/>
  <c r="D302" i="4"/>
  <c r="F301" i="4"/>
  <c r="E301" i="4"/>
  <c r="D301" i="4"/>
  <c r="F300" i="4"/>
  <c r="E300" i="4"/>
  <c r="D300" i="4"/>
  <c r="F299" i="4"/>
  <c r="E299" i="4"/>
  <c r="D299" i="4"/>
  <c r="F298" i="4"/>
  <c r="E298" i="4"/>
  <c r="D298" i="4"/>
  <c r="F297" i="4"/>
  <c r="E297" i="4"/>
  <c r="D297" i="4"/>
  <c r="F296" i="4"/>
  <c r="E296" i="4"/>
  <c r="D296" i="4"/>
  <c r="F295" i="4"/>
  <c r="E295" i="4"/>
  <c r="D295" i="4"/>
  <c r="F294" i="4"/>
  <c r="E294" i="4"/>
  <c r="D294" i="4"/>
  <c r="F293" i="4"/>
  <c r="E293" i="4"/>
  <c r="D293" i="4"/>
  <c r="F292" i="4"/>
  <c r="E292" i="4"/>
  <c r="D292" i="4"/>
  <c r="F291" i="4"/>
  <c r="E291" i="4"/>
  <c r="D291" i="4"/>
  <c r="F290" i="4"/>
  <c r="E290" i="4"/>
  <c r="D290" i="4"/>
  <c r="F289" i="4"/>
  <c r="E289" i="4"/>
  <c r="D289" i="4"/>
  <c r="F288" i="4"/>
  <c r="E288" i="4"/>
  <c r="D288" i="4"/>
  <c r="F287" i="4"/>
  <c r="E287" i="4"/>
  <c r="D287" i="4"/>
  <c r="F286" i="4"/>
  <c r="E286" i="4"/>
  <c r="D286" i="4"/>
  <c r="F285" i="4"/>
  <c r="E285" i="4"/>
  <c r="D285" i="4"/>
  <c r="F284" i="4"/>
  <c r="E284" i="4"/>
  <c r="D284" i="4"/>
  <c r="F283" i="4"/>
  <c r="E283" i="4"/>
  <c r="D283" i="4"/>
  <c r="F282" i="4"/>
  <c r="E282" i="4"/>
  <c r="D282" i="4"/>
  <c r="F281" i="4"/>
  <c r="E281" i="4"/>
  <c r="D281" i="4"/>
  <c r="L280" i="4"/>
  <c r="F280" i="4"/>
  <c r="E280" i="4"/>
  <c r="D280" i="4"/>
  <c r="L279" i="4"/>
  <c r="F279" i="4"/>
  <c r="E279" i="4"/>
  <c r="D279" i="4"/>
  <c r="F278" i="4"/>
  <c r="E278" i="4"/>
  <c r="D278" i="4"/>
  <c r="F277" i="4"/>
  <c r="E277" i="4"/>
  <c r="D277" i="4"/>
  <c r="F276" i="4"/>
  <c r="E276" i="4"/>
  <c r="D276" i="4"/>
  <c r="F275" i="4"/>
  <c r="E275" i="4"/>
  <c r="D275" i="4"/>
  <c r="F274" i="4"/>
  <c r="E274" i="4"/>
  <c r="D274" i="4"/>
  <c r="F273" i="4"/>
  <c r="E273" i="4"/>
  <c r="D273" i="4"/>
  <c r="F272" i="4"/>
  <c r="E272" i="4"/>
  <c r="D272" i="4"/>
  <c r="F271" i="4"/>
  <c r="E271" i="4"/>
  <c r="D271" i="4"/>
  <c r="F270" i="4"/>
  <c r="E270" i="4"/>
  <c r="D270" i="4"/>
  <c r="F269" i="4"/>
  <c r="E269" i="4"/>
  <c r="D269" i="4"/>
  <c r="F268" i="4"/>
  <c r="E268" i="4"/>
  <c r="D268" i="4"/>
  <c r="F267" i="4"/>
  <c r="E267" i="4"/>
  <c r="D267" i="4"/>
  <c r="F266" i="4"/>
  <c r="E266" i="4"/>
  <c r="D266" i="4"/>
  <c r="F265" i="4"/>
  <c r="E265" i="4"/>
  <c r="D265" i="4"/>
  <c r="F264" i="4"/>
  <c r="E264" i="4"/>
  <c r="D264" i="4"/>
  <c r="F263" i="4"/>
  <c r="E263" i="4"/>
  <c r="D263" i="4"/>
  <c r="F262" i="4"/>
  <c r="E262" i="4"/>
  <c r="D262" i="4"/>
  <c r="F261" i="4"/>
  <c r="E261" i="4"/>
  <c r="D261" i="4"/>
  <c r="F260" i="4"/>
  <c r="E260" i="4"/>
  <c r="D260" i="4"/>
  <c r="F259" i="4"/>
  <c r="E259" i="4"/>
  <c r="D259" i="4"/>
  <c r="F258" i="4"/>
  <c r="E258" i="4"/>
  <c r="D258" i="4"/>
  <c r="C251" i="4"/>
  <c r="F250" i="4"/>
  <c r="E250" i="4"/>
  <c r="D250" i="4"/>
  <c r="F249" i="4"/>
  <c r="E249" i="4"/>
  <c r="D249" i="4"/>
  <c r="F248" i="4"/>
  <c r="E248" i="4"/>
  <c r="D248" i="4"/>
  <c r="F247" i="4"/>
  <c r="E247" i="4"/>
  <c r="D247" i="4"/>
  <c r="F246" i="4"/>
  <c r="E246" i="4"/>
  <c r="D246" i="4"/>
  <c r="F245" i="4"/>
  <c r="E245" i="4"/>
  <c r="D245" i="4"/>
  <c r="F244" i="4"/>
  <c r="E244" i="4"/>
  <c r="D244" i="4"/>
  <c r="F243" i="4"/>
  <c r="E243" i="4"/>
  <c r="D243" i="4"/>
  <c r="F242" i="4"/>
  <c r="E242" i="4"/>
  <c r="D242" i="4"/>
  <c r="F241" i="4"/>
  <c r="E241" i="4"/>
  <c r="D241" i="4"/>
  <c r="F240" i="4"/>
  <c r="E240" i="4"/>
  <c r="D240" i="4"/>
  <c r="F239" i="4"/>
  <c r="E239" i="4"/>
  <c r="D239" i="4"/>
  <c r="F238" i="4"/>
  <c r="E238" i="4"/>
  <c r="D238" i="4"/>
  <c r="F237" i="4"/>
  <c r="E237" i="4"/>
  <c r="D237" i="4"/>
  <c r="F236" i="4"/>
  <c r="E236" i="4"/>
  <c r="D236" i="4"/>
  <c r="F235" i="4"/>
  <c r="E235" i="4"/>
  <c r="D235" i="4"/>
  <c r="F234" i="4"/>
  <c r="E234" i="4"/>
  <c r="D234" i="4"/>
  <c r="F233" i="4"/>
  <c r="E233" i="4"/>
  <c r="D233" i="4"/>
  <c r="F232" i="4"/>
  <c r="E232" i="4"/>
  <c r="D232" i="4"/>
  <c r="F231" i="4"/>
  <c r="E231" i="4"/>
  <c r="D231" i="4"/>
  <c r="F230" i="4"/>
  <c r="E230" i="4"/>
  <c r="D230" i="4"/>
  <c r="F229" i="4"/>
  <c r="E229" i="4"/>
  <c r="D229" i="4"/>
  <c r="F228" i="4"/>
  <c r="E228" i="4"/>
  <c r="D228" i="4"/>
  <c r="F227" i="4"/>
  <c r="E227" i="4"/>
  <c r="D227" i="4"/>
  <c r="F226" i="4"/>
  <c r="E226" i="4"/>
  <c r="D226" i="4"/>
  <c r="F225" i="4"/>
  <c r="E225" i="4"/>
  <c r="D225" i="4"/>
  <c r="F224" i="4"/>
  <c r="E224" i="4"/>
  <c r="D224" i="4"/>
  <c r="F223" i="4"/>
  <c r="E223" i="4"/>
  <c r="D223" i="4"/>
  <c r="F222" i="4"/>
  <c r="E222" i="4"/>
  <c r="D222" i="4"/>
  <c r="F221" i="4"/>
  <c r="E221" i="4"/>
  <c r="D221" i="4"/>
  <c r="F220" i="4"/>
  <c r="E220" i="4"/>
  <c r="D220" i="4"/>
  <c r="F219" i="4"/>
  <c r="E219" i="4"/>
  <c r="D219" i="4"/>
  <c r="F218" i="4"/>
  <c r="E218" i="4"/>
  <c r="D218" i="4"/>
  <c r="F217" i="4"/>
  <c r="E217" i="4"/>
  <c r="D217" i="4"/>
  <c r="F216" i="4"/>
  <c r="E216" i="4"/>
  <c r="D216" i="4"/>
  <c r="F215" i="4"/>
  <c r="E215" i="4"/>
  <c r="D215" i="4"/>
  <c r="F214" i="4"/>
  <c r="E214" i="4"/>
  <c r="D214" i="4"/>
  <c r="F213" i="4"/>
  <c r="E213" i="4"/>
  <c r="D213" i="4"/>
  <c r="F212" i="4"/>
  <c r="E212" i="4"/>
  <c r="D212" i="4"/>
  <c r="F211" i="4"/>
  <c r="E211" i="4"/>
  <c r="D211" i="4"/>
  <c r="F210" i="4"/>
  <c r="E210" i="4"/>
  <c r="D210" i="4"/>
  <c r="F209" i="4"/>
  <c r="E209" i="4"/>
  <c r="D209" i="4"/>
  <c r="F208" i="4"/>
  <c r="E208" i="4"/>
  <c r="D208" i="4"/>
  <c r="F207" i="4"/>
  <c r="E207" i="4"/>
  <c r="D207" i="4"/>
  <c r="F206" i="4"/>
  <c r="E206" i="4"/>
  <c r="D206" i="4"/>
  <c r="F205" i="4"/>
  <c r="E205" i="4"/>
  <c r="D205" i="4"/>
  <c r="F204" i="4"/>
  <c r="E204" i="4"/>
  <c r="D204" i="4"/>
  <c r="F203" i="4"/>
  <c r="E203" i="4"/>
  <c r="D203" i="4"/>
  <c r="F202" i="4"/>
  <c r="E202" i="4"/>
  <c r="D202" i="4"/>
  <c r="F201" i="4"/>
  <c r="E201" i="4"/>
  <c r="D201" i="4"/>
  <c r="F200" i="4"/>
  <c r="E200" i="4"/>
  <c r="D200" i="4"/>
  <c r="F199" i="4"/>
  <c r="E199" i="4"/>
  <c r="D199" i="4"/>
  <c r="F198" i="4"/>
  <c r="E198" i="4"/>
  <c r="D198" i="4"/>
  <c r="F197" i="4"/>
  <c r="E197" i="4"/>
  <c r="D197" i="4"/>
  <c r="F196" i="4"/>
  <c r="E196" i="4"/>
  <c r="D196" i="4"/>
  <c r="F195" i="4"/>
  <c r="E195" i="4"/>
  <c r="D195" i="4"/>
  <c r="F194" i="4"/>
  <c r="E194" i="4"/>
  <c r="D194" i="4"/>
  <c r="F193" i="4"/>
  <c r="E193" i="4"/>
  <c r="D193" i="4"/>
  <c r="F192" i="4"/>
  <c r="E192" i="4"/>
  <c r="D192" i="4"/>
  <c r="F191" i="4"/>
  <c r="E191" i="4"/>
  <c r="D191" i="4"/>
  <c r="F190" i="4"/>
  <c r="E190" i="4"/>
  <c r="D190" i="4"/>
  <c r="F189" i="4"/>
  <c r="E189" i="4"/>
  <c r="D189" i="4"/>
  <c r="F188" i="4"/>
  <c r="E188" i="4"/>
  <c r="D188" i="4"/>
  <c r="F187" i="4"/>
  <c r="E187" i="4"/>
  <c r="D187" i="4"/>
  <c r="F186" i="4"/>
  <c r="E186" i="4"/>
  <c r="D186" i="4"/>
  <c r="F185" i="4"/>
  <c r="E185" i="4"/>
  <c r="D185" i="4"/>
  <c r="F184" i="4"/>
  <c r="E184" i="4"/>
  <c r="D184" i="4"/>
  <c r="F183" i="4"/>
  <c r="E183" i="4"/>
  <c r="D183" i="4"/>
  <c r="F182" i="4"/>
  <c r="E182" i="4"/>
  <c r="D182" i="4"/>
  <c r="F181" i="4"/>
  <c r="E181" i="4"/>
  <c r="D181" i="4"/>
  <c r="F180" i="4"/>
  <c r="E180" i="4"/>
  <c r="D180" i="4"/>
  <c r="F179" i="4"/>
  <c r="E179" i="4"/>
  <c r="D179" i="4"/>
  <c r="F178" i="4"/>
  <c r="E178" i="4"/>
  <c r="D178" i="4"/>
  <c r="F177" i="4"/>
  <c r="E177" i="4"/>
  <c r="D177" i="4"/>
  <c r="F176" i="4"/>
  <c r="E176" i="4"/>
  <c r="D176" i="4"/>
  <c r="F175" i="4"/>
  <c r="E175" i="4"/>
  <c r="D175" i="4"/>
  <c r="F174" i="4"/>
  <c r="E174" i="4"/>
  <c r="D174" i="4"/>
  <c r="F173" i="4"/>
  <c r="E173" i="4"/>
  <c r="D173" i="4"/>
  <c r="F172" i="4"/>
  <c r="E172" i="4"/>
  <c r="D172" i="4"/>
  <c r="F171" i="4"/>
  <c r="E171" i="4"/>
  <c r="D171" i="4"/>
  <c r="F170" i="4"/>
  <c r="E170" i="4"/>
  <c r="D170" i="4"/>
  <c r="F169" i="4"/>
  <c r="E169" i="4"/>
  <c r="D169" i="4"/>
  <c r="F168" i="4"/>
  <c r="E168" i="4"/>
  <c r="D168" i="4"/>
  <c r="F167" i="4"/>
  <c r="E167" i="4"/>
  <c r="D167" i="4"/>
  <c r="F166" i="4"/>
  <c r="E166" i="4"/>
  <c r="D166" i="4"/>
  <c r="F165" i="4"/>
  <c r="E165" i="4"/>
  <c r="D165" i="4"/>
  <c r="F164" i="4"/>
  <c r="E164" i="4"/>
  <c r="D164" i="4"/>
  <c r="F163" i="4"/>
  <c r="E163" i="4"/>
  <c r="D163" i="4"/>
  <c r="F162" i="4"/>
  <c r="E162" i="4"/>
  <c r="D162" i="4"/>
  <c r="F161" i="4"/>
  <c r="E161" i="4"/>
  <c r="D161" i="4"/>
  <c r="F160" i="4"/>
  <c r="E160" i="4"/>
  <c r="D160" i="4"/>
  <c r="F159" i="4"/>
  <c r="E159" i="4"/>
  <c r="D159" i="4"/>
  <c r="F158" i="4"/>
  <c r="E158" i="4"/>
  <c r="D158" i="4"/>
  <c r="F157" i="4"/>
  <c r="E157" i="4"/>
  <c r="D157" i="4"/>
  <c r="F156" i="4"/>
  <c r="E156" i="4"/>
  <c r="D156" i="4"/>
  <c r="F155" i="4"/>
  <c r="E155" i="4"/>
  <c r="D155" i="4"/>
  <c r="F154" i="4"/>
  <c r="E154" i="4"/>
  <c r="D154" i="4"/>
  <c r="L153" i="4"/>
  <c r="F153" i="4"/>
  <c r="E153" i="4"/>
  <c r="D153" i="4"/>
  <c r="L152" i="4"/>
  <c r="F152" i="4"/>
  <c r="E152" i="4"/>
  <c r="D152" i="4"/>
  <c r="F151" i="4"/>
  <c r="E151" i="4"/>
  <c r="D151" i="4"/>
  <c r="F150" i="4"/>
  <c r="E150" i="4"/>
  <c r="D150" i="4"/>
  <c r="F149" i="4"/>
  <c r="E149" i="4"/>
  <c r="D149" i="4"/>
  <c r="F148" i="4"/>
  <c r="E148" i="4"/>
  <c r="D148" i="4"/>
  <c r="F147" i="4"/>
  <c r="E147" i="4"/>
  <c r="D147" i="4"/>
  <c r="F146" i="4"/>
  <c r="E146" i="4"/>
  <c r="D146" i="4"/>
  <c r="F145" i="4"/>
  <c r="E145" i="4"/>
  <c r="D145" i="4"/>
  <c r="F144" i="4"/>
  <c r="E144" i="4"/>
  <c r="D144" i="4"/>
  <c r="F143" i="4"/>
  <c r="E143" i="4"/>
  <c r="D143" i="4"/>
  <c r="F142" i="4"/>
  <c r="E142" i="4"/>
  <c r="D142" i="4"/>
  <c r="F141" i="4"/>
  <c r="E141" i="4"/>
  <c r="D141" i="4"/>
  <c r="F140" i="4"/>
  <c r="E140" i="4"/>
  <c r="D140" i="4"/>
  <c r="F139" i="4"/>
  <c r="E139" i="4"/>
  <c r="D139" i="4"/>
  <c r="F138" i="4"/>
  <c r="E138" i="4"/>
  <c r="D138" i="4"/>
  <c r="F137" i="4"/>
  <c r="E137" i="4"/>
  <c r="D137" i="4"/>
  <c r="F136" i="4"/>
  <c r="E136" i="4"/>
  <c r="D136" i="4"/>
  <c r="F135" i="4"/>
  <c r="E135" i="4"/>
  <c r="D135" i="4"/>
  <c r="F134" i="4"/>
  <c r="E134" i="4"/>
  <c r="D134" i="4"/>
  <c r="F133" i="4"/>
  <c r="E133" i="4"/>
  <c r="D133" i="4"/>
  <c r="F132" i="4"/>
  <c r="E132" i="4"/>
  <c r="D132" i="4"/>
  <c r="F131" i="4"/>
  <c r="E131" i="4"/>
  <c r="D131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L26" i="4"/>
  <c r="L25" i="4"/>
  <c r="C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165" i="14" l="1"/>
  <c r="D171" i="14"/>
  <c r="I241" i="14"/>
  <c r="D251" i="14" s="1"/>
  <c r="D253" i="14" s="1"/>
  <c r="D225" i="14"/>
  <c r="D172" i="14"/>
  <c r="C329" i="14"/>
  <c r="D337" i="14" s="1"/>
  <c r="C311" i="14"/>
  <c r="D319" i="14" s="1"/>
  <c r="C293" i="14"/>
  <c r="D301" i="14" s="1"/>
  <c r="I255" i="14"/>
  <c r="D265" i="14" s="1"/>
  <c r="D267" i="14" s="1"/>
  <c r="C275" i="14"/>
  <c r="D283" i="14" s="1"/>
  <c r="D205" i="14"/>
  <c r="D235" i="14"/>
  <c r="D215" i="14"/>
  <c r="N156" i="7"/>
  <c r="N158" i="7" s="1"/>
  <c r="O156" i="7"/>
  <c r="Q156" i="7"/>
  <c r="P156" i="7"/>
  <c r="AG140" i="6" a="1"/>
  <c r="F759" i="5"/>
  <c r="F632" i="5"/>
  <c r="O544" i="5" s="1"/>
  <c r="F505" i="5"/>
  <c r="O417" i="5" s="1"/>
  <c r="F378" i="5"/>
  <c r="O290" i="5" s="1"/>
  <c r="F251" i="5"/>
  <c r="O163" i="5" s="1"/>
  <c r="F124" i="5"/>
  <c r="O36" i="5" s="1"/>
  <c r="D378" i="5"/>
  <c r="O283" i="5" s="1"/>
  <c r="D251" i="5"/>
  <c r="O156" i="5" s="1"/>
  <c r="D759" i="5"/>
  <c r="O664" i="5" s="1"/>
  <c r="D124" i="5"/>
  <c r="D632" i="5"/>
  <c r="O537" i="5" s="1"/>
  <c r="D124" i="4"/>
  <c r="O29" i="4" s="1"/>
  <c r="O671" i="5"/>
  <c r="E759" i="5"/>
  <c r="O668" i="5" s="1"/>
  <c r="M683" i="5" s="1"/>
  <c r="M686" i="5" s="1"/>
  <c r="E632" i="5"/>
  <c r="O541" i="5" s="1"/>
  <c r="E505" i="5"/>
  <c r="O414" i="5" s="1"/>
  <c r="D505" i="5"/>
  <c r="O410" i="5" s="1"/>
  <c r="E378" i="5"/>
  <c r="O287" i="5" s="1"/>
  <c r="E251" i="5"/>
  <c r="O160" i="5" s="1"/>
  <c r="E124" i="5"/>
  <c r="O33" i="5" s="1"/>
  <c r="E378" i="4"/>
  <c r="O287" i="4" s="1"/>
  <c r="E505" i="4"/>
  <c r="O414" i="4" s="1"/>
  <c r="E632" i="4"/>
  <c r="O541" i="4" s="1"/>
  <c r="E772" i="4" s="1"/>
  <c r="E759" i="4"/>
  <c r="O668" i="4" s="1"/>
  <c r="F124" i="4"/>
  <c r="O36" i="4" s="1"/>
  <c r="E251" i="4"/>
  <c r="O160" i="4" s="1"/>
  <c r="E124" i="4"/>
  <c r="O33" i="4" s="1"/>
  <c r="F759" i="4"/>
  <c r="O671" i="4" s="1"/>
  <c r="D759" i="4"/>
  <c r="O664" i="4" s="1"/>
  <c r="F632" i="4"/>
  <c r="O544" i="4" s="1"/>
  <c r="D632" i="4"/>
  <c r="O537" i="4" s="1"/>
  <c r="D505" i="4"/>
  <c r="O410" i="4" s="1"/>
  <c r="M429" i="4" s="1"/>
  <c r="M432" i="4" s="1"/>
  <c r="F505" i="4"/>
  <c r="O417" i="4" s="1"/>
  <c r="D378" i="4"/>
  <c r="O283" i="4" s="1"/>
  <c r="F378" i="4"/>
  <c r="O290" i="4" s="1"/>
  <c r="F251" i="4"/>
  <c r="O163" i="4" s="1"/>
  <c r="D251" i="4"/>
  <c r="O156" i="4" s="1"/>
  <c r="G266" i="14" l="1"/>
  <c r="G267" i="14"/>
  <c r="D320" i="14"/>
  <c r="D338" i="14"/>
  <c r="G252" i="14"/>
  <c r="G253" i="14"/>
  <c r="H214" i="14"/>
  <c r="D219" i="14"/>
  <c r="D302" i="14"/>
  <c r="H234" i="14"/>
  <c r="D239" i="14"/>
  <c r="H224" i="14"/>
  <c r="D229" i="14"/>
  <c r="H204" i="14"/>
  <c r="D209" i="14"/>
  <c r="D284" i="14"/>
  <c r="E171" i="14"/>
  <c r="A196" i="14" s="1"/>
  <c r="D154" i="7"/>
  <c r="D156" i="7"/>
  <c r="AG142" i="6"/>
  <c r="H225" i="6" s="1"/>
  <c r="AG146" i="6"/>
  <c r="H265" i="6" s="1"/>
  <c r="AG141" i="6"/>
  <c r="H215" i="6" s="1"/>
  <c r="AG140" i="6"/>
  <c r="AG145" i="6"/>
  <c r="H255" i="6" s="1"/>
  <c r="AG144" i="6"/>
  <c r="H245" i="6" s="1"/>
  <c r="AG143" i="6"/>
  <c r="H235" i="6" s="1"/>
  <c r="D775" i="4"/>
  <c r="E775" i="4" s="1"/>
  <c r="E771" i="4"/>
  <c r="E773" i="4"/>
  <c r="G502" i="4"/>
  <c r="H502" i="4" s="1"/>
  <c r="I502" i="4" s="1"/>
  <c r="G494" i="4"/>
  <c r="H494" i="4" s="1"/>
  <c r="I494" i="4" s="1"/>
  <c r="G486" i="4"/>
  <c r="H486" i="4" s="1"/>
  <c r="I486" i="4" s="1"/>
  <c r="G478" i="4"/>
  <c r="H478" i="4" s="1"/>
  <c r="I478" i="4" s="1"/>
  <c r="G470" i="4"/>
  <c r="H470" i="4" s="1"/>
  <c r="I470" i="4" s="1"/>
  <c r="G462" i="4"/>
  <c r="H462" i="4" s="1"/>
  <c r="I462" i="4" s="1"/>
  <c r="G454" i="4"/>
  <c r="H454" i="4" s="1"/>
  <c r="I454" i="4" s="1"/>
  <c r="G446" i="4"/>
  <c r="H446" i="4" s="1"/>
  <c r="I446" i="4" s="1"/>
  <c r="G438" i="4"/>
  <c r="H438" i="4" s="1"/>
  <c r="I438" i="4" s="1"/>
  <c r="G430" i="4"/>
  <c r="H430" i="4" s="1"/>
  <c r="I430" i="4" s="1"/>
  <c r="G422" i="4"/>
  <c r="H422" i="4" s="1"/>
  <c r="I422" i="4" s="1"/>
  <c r="G414" i="4"/>
  <c r="H414" i="4" s="1"/>
  <c r="I414" i="4" s="1"/>
  <c r="G406" i="4"/>
  <c r="H406" i="4" s="1"/>
  <c r="I406" i="4" s="1"/>
  <c r="G398" i="4"/>
  <c r="H398" i="4" s="1"/>
  <c r="I398" i="4" s="1"/>
  <c r="G390" i="4"/>
  <c r="H390" i="4" s="1"/>
  <c r="I390" i="4" s="1"/>
  <c r="G501" i="4"/>
  <c r="H501" i="4" s="1"/>
  <c r="I501" i="4" s="1"/>
  <c r="G493" i="4"/>
  <c r="H493" i="4" s="1"/>
  <c r="I493" i="4" s="1"/>
  <c r="G485" i="4"/>
  <c r="H485" i="4" s="1"/>
  <c r="I485" i="4" s="1"/>
  <c r="G477" i="4"/>
  <c r="H477" i="4" s="1"/>
  <c r="I477" i="4" s="1"/>
  <c r="G469" i="4"/>
  <c r="H469" i="4" s="1"/>
  <c r="I469" i="4" s="1"/>
  <c r="G461" i="4"/>
  <c r="H461" i="4" s="1"/>
  <c r="I461" i="4" s="1"/>
  <c r="G453" i="4"/>
  <c r="H453" i="4" s="1"/>
  <c r="I453" i="4" s="1"/>
  <c r="G445" i="4"/>
  <c r="H445" i="4" s="1"/>
  <c r="I445" i="4" s="1"/>
  <c r="G437" i="4"/>
  <c r="H437" i="4" s="1"/>
  <c r="I437" i="4" s="1"/>
  <c r="G429" i="4"/>
  <c r="H429" i="4" s="1"/>
  <c r="I429" i="4" s="1"/>
  <c r="G421" i="4"/>
  <c r="H421" i="4" s="1"/>
  <c r="I421" i="4" s="1"/>
  <c r="G413" i="4"/>
  <c r="H413" i="4" s="1"/>
  <c r="I413" i="4" s="1"/>
  <c r="G405" i="4"/>
  <c r="H405" i="4" s="1"/>
  <c r="I405" i="4" s="1"/>
  <c r="G397" i="4"/>
  <c r="H397" i="4" s="1"/>
  <c r="I397" i="4" s="1"/>
  <c r="G500" i="4"/>
  <c r="H500" i="4" s="1"/>
  <c r="I500" i="4" s="1"/>
  <c r="G490" i="4"/>
  <c r="H490" i="4" s="1"/>
  <c r="I490" i="4" s="1"/>
  <c r="G480" i="4"/>
  <c r="H480" i="4" s="1"/>
  <c r="I480" i="4" s="1"/>
  <c r="G468" i="4"/>
  <c r="H468" i="4" s="1"/>
  <c r="I468" i="4" s="1"/>
  <c r="G458" i="4"/>
  <c r="H458" i="4" s="1"/>
  <c r="I458" i="4" s="1"/>
  <c r="G448" i="4"/>
  <c r="H448" i="4" s="1"/>
  <c r="I448" i="4" s="1"/>
  <c r="G436" i="4"/>
  <c r="H436" i="4" s="1"/>
  <c r="I436" i="4" s="1"/>
  <c r="G426" i="4"/>
  <c r="H426" i="4" s="1"/>
  <c r="I426" i="4" s="1"/>
  <c r="G416" i="4"/>
  <c r="H416" i="4" s="1"/>
  <c r="I416" i="4" s="1"/>
  <c r="G404" i="4"/>
  <c r="H404" i="4" s="1"/>
  <c r="I404" i="4" s="1"/>
  <c r="G394" i="4"/>
  <c r="H394" i="4" s="1"/>
  <c r="I394" i="4" s="1"/>
  <c r="G499" i="4"/>
  <c r="H499" i="4" s="1"/>
  <c r="I499" i="4" s="1"/>
  <c r="G489" i="4"/>
  <c r="G479" i="4"/>
  <c r="H479" i="4" s="1"/>
  <c r="I479" i="4" s="1"/>
  <c r="G467" i="4"/>
  <c r="H467" i="4" s="1"/>
  <c r="I467" i="4" s="1"/>
  <c r="G457" i="4"/>
  <c r="G447" i="4"/>
  <c r="H447" i="4" s="1"/>
  <c r="I447" i="4" s="1"/>
  <c r="G435" i="4"/>
  <c r="H435" i="4" s="1"/>
  <c r="I435" i="4" s="1"/>
  <c r="G425" i="4"/>
  <c r="G415" i="4"/>
  <c r="H415" i="4" s="1"/>
  <c r="I415" i="4" s="1"/>
  <c r="G403" i="4"/>
  <c r="H403" i="4" s="1"/>
  <c r="I403" i="4" s="1"/>
  <c r="G393" i="4"/>
  <c r="G498" i="4"/>
  <c r="H498" i="4" s="1"/>
  <c r="I498" i="4" s="1"/>
  <c r="G488" i="4"/>
  <c r="H488" i="4" s="1"/>
  <c r="I488" i="4" s="1"/>
  <c r="G476" i="4"/>
  <c r="H476" i="4" s="1"/>
  <c r="I476" i="4" s="1"/>
  <c r="G466" i="4"/>
  <c r="H466" i="4" s="1"/>
  <c r="I466" i="4" s="1"/>
  <c r="G456" i="4"/>
  <c r="H456" i="4" s="1"/>
  <c r="I456" i="4" s="1"/>
  <c r="G444" i="4"/>
  <c r="H444" i="4" s="1"/>
  <c r="I444" i="4" s="1"/>
  <c r="G434" i="4"/>
  <c r="H434" i="4" s="1"/>
  <c r="I434" i="4" s="1"/>
  <c r="G424" i="4"/>
  <c r="H424" i="4" s="1"/>
  <c r="I424" i="4" s="1"/>
  <c r="G412" i="4"/>
  <c r="H412" i="4" s="1"/>
  <c r="I412" i="4" s="1"/>
  <c r="G402" i="4"/>
  <c r="H402" i="4" s="1"/>
  <c r="I402" i="4" s="1"/>
  <c r="G392" i="4"/>
  <c r="H392" i="4" s="1"/>
  <c r="I392" i="4" s="1"/>
  <c r="G497" i="4"/>
  <c r="G487" i="4"/>
  <c r="H487" i="4" s="1"/>
  <c r="I487" i="4" s="1"/>
  <c r="G475" i="4"/>
  <c r="H475" i="4" s="1"/>
  <c r="I475" i="4" s="1"/>
  <c r="G496" i="4"/>
  <c r="H496" i="4" s="1"/>
  <c r="I496" i="4" s="1"/>
  <c r="G484" i="4"/>
  <c r="H484" i="4" s="1"/>
  <c r="I484" i="4" s="1"/>
  <c r="G474" i="4"/>
  <c r="H474" i="4" s="1"/>
  <c r="I474" i="4" s="1"/>
  <c r="G464" i="4"/>
  <c r="H464" i="4" s="1"/>
  <c r="I464" i="4" s="1"/>
  <c r="G452" i="4"/>
  <c r="H452" i="4" s="1"/>
  <c r="I452" i="4" s="1"/>
  <c r="G442" i="4"/>
  <c r="H442" i="4" s="1"/>
  <c r="I442" i="4" s="1"/>
  <c r="G432" i="4"/>
  <c r="H432" i="4" s="1"/>
  <c r="I432" i="4" s="1"/>
  <c r="G420" i="4"/>
  <c r="H420" i="4" s="1"/>
  <c r="I420" i="4" s="1"/>
  <c r="G410" i="4"/>
  <c r="H410" i="4" s="1"/>
  <c r="I410" i="4" s="1"/>
  <c r="G400" i="4"/>
  <c r="H400" i="4" s="1"/>
  <c r="I400" i="4" s="1"/>
  <c r="G389" i="4"/>
  <c r="H389" i="4" s="1"/>
  <c r="I389" i="4" s="1"/>
  <c r="G483" i="4"/>
  <c r="H483" i="4" s="1"/>
  <c r="I483" i="4" s="1"/>
  <c r="G460" i="4"/>
  <c r="H460" i="4" s="1"/>
  <c r="I460" i="4" s="1"/>
  <c r="G440" i="4"/>
  <c r="H440" i="4" s="1"/>
  <c r="I440" i="4" s="1"/>
  <c r="G418" i="4"/>
  <c r="H418" i="4" s="1"/>
  <c r="I418" i="4" s="1"/>
  <c r="G396" i="4"/>
  <c r="H396" i="4" s="1"/>
  <c r="I396" i="4" s="1"/>
  <c r="G482" i="4"/>
  <c r="H482" i="4" s="1"/>
  <c r="I482" i="4" s="1"/>
  <c r="G459" i="4"/>
  <c r="H459" i="4" s="1"/>
  <c r="I459" i="4" s="1"/>
  <c r="G439" i="4"/>
  <c r="H439" i="4" s="1"/>
  <c r="I439" i="4" s="1"/>
  <c r="G417" i="4"/>
  <c r="G395" i="4"/>
  <c r="H395" i="4" s="1"/>
  <c r="I395" i="4" s="1"/>
  <c r="G481" i="4"/>
  <c r="G455" i="4"/>
  <c r="H455" i="4" s="1"/>
  <c r="I455" i="4" s="1"/>
  <c r="G433" i="4"/>
  <c r="G411" i="4"/>
  <c r="H411" i="4" s="1"/>
  <c r="I411" i="4" s="1"/>
  <c r="G391" i="4"/>
  <c r="H391" i="4" s="1"/>
  <c r="I391" i="4" s="1"/>
  <c r="G504" i="4"/>
  <c r="H504" i="4" s="1"/>
  <c r="I504" i="4" s="1"/>
  <c r="G473" i="4"/>
  <c r="G451" i="4"/>
  <c r="H451" i="4" s="1"/>
  <c r="I451" i="4" s="1"/>
  <c r="G431" i="4"/>
  <c r="H431" i="4" s="1"/>
  <c r="I431" i="4" s="1"/>
  <c r="G409" i="4"/>
  <c r="G388" i="4"/>
  <c r="H388" i="4" s="1"/>
  <c r="I388" i="4" s="1"/>
  <c r="G495" i="4"/>
  <c r="H495" i="4" s="1"/>
  <c r="I495" i="4" s="1"/>
  <c r="G471" i="4"/>
  <c r="H471" i="4" s="1"/>
  <c r="I471" i="4" s="1"/>
  <c r="G449" i="4"/>
  <c r="G427" i="4"/>
  <c r="H427" i="4" s="1"/>
  <c r="I427" i="4" s="1"/>
  <c r="G407" i="4"/>
  <c r="H407" i="4" s="1"/>
  <c r="I407" i="4" s="1"/>
  <c r="G386" i="4"/>
  <c r="H386" i="4" s="1"/>
  <c r="I386" i="4" s="1"/>
  <c r="G503" i="4"/>
  <c r="H503" i="4" s="1"/>
  <c r="I503" i="4" s="1"/>
  <c r="G441" i="4"/>
  <c r="G401" i="4"/>
  <c r="G492" i="4"/>
  <c r="H492" i="4" s="1"/>
  <c r="I492" i="4" s="1"/>
  <c r="G428" i="4"/>
  <c r="H428" i="4" s="1"/>
  <c r="I428" i="4" s="1"/>
  <c r="G491" i="4"/>
  <c r="H491" i="4" s="1"/>
  <c r="I491" i="4" s="1"/>
  <c r="G423" i="4"/>
  <c r="H423" i="4" s="1"/>
  <c r="I423" i="4" s="1"/>
  <c r="G472" i="4"/>
  <c r="H472" i="4" s="1"/>
  <c r="I472" i="4" s="1"/>
  <c r="G419" i="4"/>
  <c r="H419" i="4" s="1"/>
  <c r="I419" i="4" s="1"/>
  <c r="G465" i="4"/>
  <c r="G408" i="4"/>
  <c r="H408" i="4" s="1"/>
  <c r="I408" i="4" s="1"/>
  <c r="G463" i="4"/>
  <c r="H463" i="4" s="1"/>
  <c r="I463" i="4" s="1"/>
  <c r="G450" i="4"/>
  <c r="H450" i="4" s="1"/>
  <c r="I450" i="4" s="1"/>
  <c r="G399" i="4"/>
  <c r="H399" i="4" s="1"/>
  <c r="I399" i="4" s="1"/>
  <c r="G443" i="4"/>
  <c r="H443" i="4" s="1"/>
  <c r="I443" i="4" s="1"/>
  <c r="G387" i="4"/>
  <c r="H387" i="4" s="1"/>
  <c r="I387" i="4" s="1"/>
  <c r="D777" i="4"/>
  <c r="N675" i="4"/>
  <c r="Q675" i="4" s="1"/>
  <c r="N548" i="5"/>
  <c r="M48" i="5"/>
  <c r="M51" i="5" s="1"/>
  <c r="M175" i="5"/>
  <c r="M178" i="5" s="1"/>
  <c r="M429" i="5"/>
  <c r="M432" i="5" s="1"/>
  <c r="M48" i="4"/>
  <c r="M51" i="4" s="1"/>
  <c r="N294" i="5"/>
  <c r="M683" i="4"/>
  <c r="M686" i="4" s="1"/>
  <c r="N548" i="4"/>
  <c r="M175" i="4"/>
  <c r="M178" i="4" s="1"/>
  <c r="N675" i="5"/>
  <c r="M556" i="5"/>
  <c r="M559" i="5" s="1"/>
  <c r="N421" i="5"/>
  <c r="M302" i="5"/>
  <c r="M305" i="5" s="1"/>
  <c r="N167" i="5"/>
  <c r="N40" i="5"/>
  <c r="M556" i="4"/>
  <c r="N167" i="4"/>
  <c r="M302" i="4"/>
  <c r="M305" i="4" s="1"/>
  <c r="N421" i="4"/>
  <c r="N294" i="4"/>
  <c r="B152" i="6" l="1"/>
  <c r="G209" i="14"/>
  <c r="G208" i="14"/>
  <c r="G229" i="14"/>
  <c r="G228" i="14"/>
  <c r="J252" i="14"/>
  <c r="G218" i="14"/>
  <c r="G219" i="14"/>
  <c r="J266" i="14"/>
  <c r="G238" i="14"/>
  <c r="G239" i="14"/>
  <c r="C171" i="7"/>
  <c r="D159" i="7"/>
  <c r="C186" i="7"/>
  <c r="C187" i="7"/>
  <c r="D162" i="7"/>
  <c r="C172" i="7"/>
  <c r="Q162" i="6" a="1"/>
  <c r="R162" i="6" s="1"/>
  <c r="M559" i="4"/>
  <c r="E765" i="4"/>
  <c r="E766" i="4" s="1"/>
  <c r="Q294" i="4"/>
  <c r="H409" i="4"/>
  <c r="I409" i="4" s="1"/>
  <c r="F765" i="4"/>
  <c r="F766" i="4" s="1"/>
  <c r="Q421" i="4"/>
  <c r="G123" i="4"/>
  <c r="H123" i="4" s="1"/>
  <c r="I123" i="4" s="1"/>
  <c r="G115" i="4"/>
  <c r="H115" i="4" s="1"/>
  <c r="I115" i="4" s="1"/>
  <c r="G107" i="4"/>
  <c r="H107" i="4" s="1"/>
  <c r="I107" i="4" s="1"/>
  <c r="G99" i="4"/>
  <c r="H99" i="4" s="1"/>
  <c r="I99" i="4" s="1"/>
  <c r="G91" i="4"/>
  <c r="H91" i="4" s="1"/>
  <c r="I91" i="4" s="1"/>
  <c r="G83" i="4"/>
  <c r="H83" i="4" s="1"/>
  <c r="I83" i="4" s="1"/>
  <c r="G75" i="4"/>
  <c r="H75" i="4" s="1"/>
  <c r="I75" i="4" s="1"/>
  <c r="G67" i="4"/>
  <c r="H67" i="4" s="1"/>
  <c r="I67" i="4" s="1"/>
  <c r="G59" i="4"/>
  <c r="H59" i="4" s="1"/>
  <c r="I59" i="4" s="1"/>
  <c r="G51" i="4"/>
  <c r="H51" i="4" s="1"/>
  <c r="I51" i="4" s="1"/>
  <c r="G43" i="4"/>
  <c r="H43" i="4" s="1"/>
  <c r="I43" i="4" s="1"/>
  <c r="G35" i="4"/>
  <c r="H35" i="4" s="1"/>
  <c r="I35" i="4" s="1"/>
  <c r="G27" i="4"/>
  <c r="H27" i="4" s="1"/>
  <c r="I27" i="4" s="1"/>
  <c r="G19" i="4"/>
  <c r="H19" i="4" s="1"/>
  <c r="I19" i="4" s="1"/>
  <c r="G11" i="4"/>
  <c r="H11" i="4" s="1"/>
  <c r="I11" i="4" s="1"/>
  <c r="G80" i="4"/>
  <c r="H80" i="4" s="1"/>
  <c r="I80" i="4" s="1"/>
  <c r="G56" i="4"/>
  <c r="H56" i="4" s="1"/>
  <c r="I56" i="4" s="1"/>
  <c r="G32" i="4"/>
  <c r="H32" i="4" s="1"/>
  <c r="I32" i="4" s="1"/>
  <c r="G16" i="4"/>
  <c r="H16" i="4" s="1"/>
  <c r="I16" i="4" s="1"/>
  <c r="G122" i="4"/>
  <c r="H122" i="4" s="1"/>
  <c r="I122" i="4" s="1"/>
  <c r="G114" i="4"/>
  <c r="H114" i="4" s="1"/>
  <c r="I114" i="4" s="1"/>
  <c r="G106" i="4"/>
  <c r="H106" i="4" s="1"/>
  <c r="I106" i="4" s="1"/>
  <c r="G98" i="4"/>
  <c r="H98" i="4" s="1"/>
  <c r="I98" i="4" s="1"/>
  <c r="G90" i="4"/>
  <c r="H90" i="4" s="1"/>
  <c r="I90" i="4" s="1"/>
  <c r="G82" i="4"/>
  <c r="H82" i="4" s="1"/>
  <c r="I82" i="4" s="1"/>
  <c r="G74" i="4"/>
  <c r="H74" i="4" s="1"/>
  <c r="I74" i="4" s="1"/>
  <c r="G66" i="4"/>
  <c r="H66" i="4" s="1"/>
  <c r="I66" i="4" s="1"/>
  <c r="G58" i="4"/>
  <c r="H58" i="4" s="1"/>
  <c r="I58" i="4" s="1"/>
  <c r="G50" i="4"/>
  <c r="H50" i="4" s="1"/>
  <c r="I50" i="4" s="1"/>
  <c r="G42" i="4"/>
  <c r="H42" i="4" s="1"/>
  <c r="I42" i="4" s="1"/>
  <c r="G34" i="4"/>
  <c r="H34" i="4" s="1"/>
  <c r="I34" i="4" s="1"/>
  <c r="G26" i="4"/>
  <c r="H26" i="4" s="1"/>
  <c r="I26" i="4" s="1"/>
  <c r="G18" i="4"/>
  <c r="H18" i="4" s="1"/>
  <c r="I18" i="4" s="1"/>
  <c r="G10" i="4"/>
  <c r="H10" i="4" s="1"/>
  <c r="I10" i="4" s="1"/>
  <c r="G121" i="4"/>
  <c r="H121" i="4" s="1"/>
  <c r="I121" i="4" s="1"/>
  <c r="G113" i="4"/>
  <c r="H113" i="4" s="1"/>
  <c r="I113" i="4" s="1"/>
  <c r="G105" i="4"/>
  <c r="H105" i="4" s="1"/>
  <c r="I105" i="4" s="1"/>
  <c r="G97" i="4"/>
  <c r="H97" i="4" s="1"/>
  <c r="I97" i="4" s="1"/>
  <c r="G89" i="4"/>
  <c r="H89" i="4" s="1"/>
  <c r="I89" i="4" s="1"/>
  <c r="G81" i="4"/>
  <c r="H81" i="4" s="1"/>
  <c r="I81" i="4" s="1"/>
  <c r="G73" i="4"/>
  <c r="H73" i="4" s="1"/>
  <c r="I73" i="4" s="1"/>
  <c r="G65" i="4"/>
  <c r="H65" i="4" s="1"/>
  <c r="I65" i="4" s="1"/>
  <c r="G57" i="4"/>
  <c r="H57" i="4" s="1"/>
  <c r="I57" i="4" s="1"/>
  <c r="G49" i="4"/>
  <c r="H49" i="4" s="1"/>
  <c r="I49" i="4" s="1"/>
  <c r="G41" i="4"/>
  <c r="H41" i="4" s="1"/>
  <c r="I41" i="4" s="1"/>
  <c r="G33" i="4"/>
  <c r="H33" i="4" s="1"/>
  <c r="I33" i="4" s="1"/>
  <c r="G25" i="4"/>
  <c r="H25" i="4" s="1"/>
  <c r="I25" i="4" s="1"/>
  <c r="G17" i="4"/>
  <c r="H17" i="4" s="1"/>
  <c r="I17" i="4" s="1"/>
  <c r="G9" i="4"/>
  <c r="H9" i="4" s="1"/>
  <c r="I9" i="4" s="1"/>
  <c r="G120" i="4"/>
  <c r="H120" i="4" s="1"/>
  <c r="I120" i="4" s="1"/>
  <c r="G112" i="4"/>
  <c r="H112" i="4" s="1"/>
  <c r="I112" i="4" s="1"/>
  <c r="G104" i="4"/>
  <c r="H104" i="4" s="1"/>
  <c r="I104" i="4" s="1"/>
  <c r="G96" i="4"/>
  <c r="H96" i="4" s="1"/>
  <c r="I96" i="4" s="1"/>
  <c r="G88" i="4"/>
  <c r="H88" i="4" s="1"/>
  <c r="I88" i="4" s="1"/>
  <c r="G72" i="4"/>
  <c r="H72" i="4" s="1"/>
  <c r="I72" i="4" s="1"/>
  <c r="G64" i="4"/>
  <c r="H64" i="4" s="1"/>
  <c r="I64" i="4" s="1"/>
  <c r="G48" i="4"/>
  <c r="H48" i="4" s="1"/>
  <c r="I48" i="4" s="1"/>
  <c r="G40" i="4"/>
  <c r="H40" i="4" s="1"/>
  <c r="I40" i="4" s="1"/>
  <c r="G24" i="4"/>
  <c r="H24" i="4" s="1"/>
  <c r="I24" i="4" s="1"/>
  <c r="G8" i="4"/>
  <c r="H8" i="4" s="1"/>
  <c r="I8" i="4" s="1"/>
  <c r="G119" i="4"/>
  <c r="H119" i="4" s="1"/>
  <c r="I119" i="4" s="1"/>
  <c r="G111" i="4"/>
  <c r="H111" i="4" s="1"/>
  <c r="I111" i="4" s="1"/>
  <c r="G103" i="4"/>
  <c r="H103" i="4" s="1"/>
  <c r="I103" i="4" s="1"/>
  <c r="G95" i="4"/>
  <c r="H95" i="4" s="1"/>
  <c r="I95" i="4" s="1"/>
  <c r="G87" i="4"/>
  <c r="H87" i="4" s="1"/>
  <c r="I87" i="4" s="1"/>
  <c r="G79" i="4"/>
  <c r="H79" i="4" s="1"/>
  <c r="I79" i="4" s="1"/>
  <c r="G71" i="4"/>
  <c r="H71" i="4" s="1"/>
  <c r="I71" i="4" s="1"/>
  <c r="G63" i="4"/>
  <c r="H63" i="4" s="1"/>
  <c r="I63" i="4" s="1"/>
  <c r="G55" i="4"/>
  <c r="H55" i="4" s="1"/>
  <c r="I55" i="4" s="1"/>
  <c r="G47" i="4"/>
  <c r="H47" i="4" s="1"/>
  <c r="I47" i="4" s="1"/>
  <c r="G39" i="4"/>
  <c r="H39" i="4" s="1"/>
  <c r="I39" i="4" s="1"/>
  <c r="G31" i="4"/>
  <c r="H31" i="4" s="1"/>
  <c r="I31" i="4" s="1"/>
  <c r="G23" i="4"/>
  <c r="H23" i="4" s="1"/>
  <c r="I23" i="4" s="1"/>
  <c r="G15" i="4"/>
  <c r="H15" i="4" s="1"/>
  <c r="I15" i="4" s="1"/>
  <c r="G7" i="4"/>
  <c r="H7" i="4" s="1"/>
  <c r="I7" i="4" s="1"/>
  <c r="G117" i="4"/>
  <c r="H117" i="4" s="1"/>
  <c r="I117" i="4" s="1"/>
  <c r="G109" i="4"/>
  <c r="H109" i="4" s="1"/>
  <c r="I109" i="4" s="1"/>
  <c r="G101" i="4"/>
  <c r="H101" i="4" s="1"/>
  <c r="I101" i="4" s="1"/>
  <c r="G93" i="4"/>
  <c r="H93" i="4" s="1"/>
  <c r="I93" i="4" s="1"/>
  <c r="G85" i="4"/>
  <c r="H85" i="4" s="1"/>
  <c r="I85" i="4" s="1"/>
  <c r="G77" i="4"/>
  <c r="H77" i="4" s="1"/>
  <c r="I77" i="4" s="1"/>
  <c r="G69" i="4"/>
  <c r="H69" i="4" s="1"/>
  <c r="I69" i="4" s="1"/>
  <c r="G61" i="4"/>
  <c r="H61" i="4" s="1"/>
  <c r="I61" i="4" s="1"/>
  <c r="G53" i="4"/>
  <c r="H53" i="4" s="1"/>
  <c r="I53" i="4" s="1"/>
  <c r="G45" i="4"/>
  <c r="H45" i="4" s="1"/>
  <c r="I45" i="4" s="1"/>
  <c r="G37" i="4"/>
  <c r="H37" i="4" s="1"/>
  <c r="I37" i="4" s="1"/>
  <c r="G29" i="4"/>
  <c r="H29" i="4" s="1"/>
  <c r="I29" i="4" s="1"/>
  <c r="G21" i="4"/>
  <c r="H21" i="4" s="1"/>
  <c r="I21" i="4" s="1"/>
  <c r="G13" i="4"/>
  <c r="H13" i="4" s="1"/>
  <c r="I13" i="4" s="1"/>
  <c r="G5" i="4"/>
  <c r="H5" i="4" s="1"/>
  <c r="I5" i="4" s="1"/>
  <c r="G102" i="4"/>
  <c r="H102" i="4" s="1"/>
  <c r="I102" i="4" s="1"/>
  <c r="G70" i="4"/>
  <c r="H70" i="4" s="1"/>
  <c r="I70" i="4" s="1"/>
  <c r="G38" i="4"/>
  <c r="H38" i="4" s="1"/>
  <c r="I38" i="4" s="1"/>
  <c r="G6" i="4"/>
  <c r="H6" i="4" s="1"/>
  <c r="I6" i="4" s="1"/>
  <c r="G68" i="4"/>
  <c r="H68" i="4" s="1"/>
  <c r="I68" i="4" s="1"/>
  <c r="G36" i="4"/>
  <c r="H36" i="4" s="1"/>
  <c r="I36" i="4" s="1"/>
  <c r="G4" i="4"/>
  <c r="G94" i="4"/>
  <c r="H94" i="4" s="1"/>
  <c r="I94" i="4" s="1"/>
  <c r="G62" i="4"/>
  <c r="H62" i="4" s="1"/>
  <c r="I62" i="4" s="1"/>
  <c r="G52" i="4"/>
  <c r="H52" i="4" s="1"/>
  <c r="I52" i="4" s="1"/>
  <c r="G78" i="4"/>
  <c r="H78" i="4" s="1"/>
  <c r="I78" i="4" s="1"/>
  <c r="G14" i="4"/>
  <c r="H14" i="4" s="1"/>
  <c r="I14" i="4" s="1"/>
  <c r="G44" i="4"/>
  <c r="H44" i="4" s="1"/>
  <c r="I44" i="4" s="1"/>
  <c r="G100" i="4"/>
  <c r="H100" i="4" s="1"/>
  <c r="I100" i="4" s="1"/>
  <c r="G20" i="4"/>
  <c r="H20" i="4" s="1"/>
  <c r="I20" i="4" s="1"/>
  <c r="G30" i="4"/>
  <c r="H30" i="4" s="1"/>
  <c r="I30" i="4" s="1"/>
  <c r="G116" i="4"/>
  <c r="H116" i="4" s="1"/>
  <c r="I116" i="4" s="1"/>
  <c r="G76" i="4"/>
  <c r="H76" i="4" s="1"/>
  <c r="I76" i="4" s="1"/>
  <c r="G92" i="4"/>
  <c r="H92" i="4" s="1"/>
  <c r="I92" i="4" s="1"/>
  <c r="G60" i="4"/>
  <c r="H60" i="4" s="1"/>
  <c r="I60" i="4" s="1"/>
  <c r="G28" i="4"/>
  <c r="H28" i="4" s="1"/>
  <c r="I28" i="4" s="1"/>
  <c r="G118" i="4"/>
  <c r="H118" i="4" s="1"/>
  <c r="I118" i="4" s="1"/>
  <c r="G86" i="4"/>
  <c r="H86" i="4" s="1"/>
  <c r="I86" i="4" s="1"/>
  <c r="G54" i="4"/>
  <c r="H54" i="4" s="1"/>
  <c r="I54" i="4" s="1"/>
  <c r="G22" i="4"/>
  <c r="H22" i="4" s="1"/>
  <c r="I22" i="4" s="1"/>
  <c r="G84" i="4"/>
  <c r="H84" i="4" s="1"/>
  <c r="I84" i="4" s="1"/>
  <c r="G110" i="4"/>
  <c r="H110" i="4" s="1"/>
  <c r="I110" i="4" s="1"/>
  <c r="G46" i="4"/>
  <c r="H46" i="4" s="1"/>
  <c r="I46" i="4" s="1"/>
  <c r="G108" i="4"/>
  <c r="H108" i="4" s="1"/>
  <c r="I108" i="4" s="1"/>
  <c r="G12" i="4"/>
  <c r="H12" i="4" s="1"/>
  <c r="I12" i="4" s="1"/>
  <c r="H481" i="4"/>
  <c r="I481" i="4" s="1"/>
  <c r="I497" i="4"/>
  <c r="H497" i="4"/>
  <c r="H401" i="4"/>
  <c r="I401" i="4" s="1"/>
  <c r="H765" i="4"/>
  <c r="H766" i="4" s="1"/>
  <c r="G370" i="4"/>
  <c r="H370" i="4" s="1"/>
  <c r="I370" i="4" s="1"/>
  <c r="G362" i="4"/>
  <c r="H362" i="4" s="1"/>
  <c r="I362" i="4" s="1"/>
  <c r="G354" i="4"/>
  <c r="H354" i="4" s="1"/>
  <c r="I354" i="4" s="1"/>
  <c r="G346" i="4"/>
  <c r="H346" i="4" s="1"/>
  <c r="I346" i="4" s="1"/>
  <c r="G338" i="4"/>
  <c r="H338" i="4" s="1"/>
  <c r="I338" i="4" s="1"/>
  <c r="G330" i="4"/>
  <c r="H330" i="4" s="1"/>
  <c r="I330" i="4" s="1"/>
  <c r="G322" i="4"/>
  <c r="H322" i="4" s="1"/>
  <c r="I322" i="4" s="1"/>
  <c r="G314" i="4"/>
  <c r="H314" i="4" s="1"/>
  <c r="I314" i="4" s="1"/>
  <c r="G306" i="4"/>
  <c r="H306" i="4" s="1"/>
  <c r="I306" i="4" s="1"/>
  <c r="G298" i="4"/>
  <c r="H298" i="4" s="1"/>
  <c r="I298" i="4" s="1"/>
  <c r="G290" i="4"/>
  <c r="H290" i="4" s="1"/>
  <c r="I290" i="4" s="1"/>
  <c r="G282" i="4"/>
  <c r="H282" i="4" s="1"/>
  <c r="I282" i="4" s="1"/>
  <c r="G274" i="4"/>
  <c r="H274" i="4" s="1"/>
  <c r="I274" i="4" s="1"/>
  <c r="G266" i="4"/>
  <c r="H266" i="4" s="1"/>
  <c r="I266" i="4" s="1"/>
  <c r="G258" i="4"/>
  <c r="G377" i="4"/>
  <c r="H377" i="4" s="1"/>
  <c r="I377" i="4" s="1"/>
  <c r="G369" i="4"/>
  <c r="H369" i="4" s="1"/>
  <c r="I369" i="4" s="1"/>
  <c r="G361" i="4"/>
  <c r="H361" i="4" s="1"/>
  <c r="I361" i="4" s="1"/>
  <c r="G353" i="4"/>
  <c r="H353" i="4" s="1"/>
  <c r="I353" i="4" s="1"/>
  <c r="G345" i="4"/>
  <c r="H345" i="4" s="1"/>
  <c r="I345" i="4" s="1"/>
  <c r="G337" i="4"/>
  <c r="H337" i="4" s="1"/>
  <c r="I337" i="4" s="1"/>
  <c r="G329" i="4"/>
  <c r="H329" i="4" s="1"/>
  <c r="I329" i="4" s="1"/>
  <c r="G321" i="4"/>
  <c r="H321" i="4" s="1"/>
  <c r="I321" i="4" s="1"/>
  <c r="G313" i="4"/>
  <c r="H313" i="4" s="1"/>
  <c r="I313" i="4" s="1"/>
  <c r="G305" i="4"/>
  <c r="H305" i="4" s="1"/>
  <c r="I305" i="4" s="1"/>
  <c r="G297" i="4"/>
  <c r="H297" i="4" s="1"/>
  <c r="I297" i="4" s="1"/>
  <c r="G289" i="4"/>
  <c r="H289" i="4" s="1"/>
  <c r="I289" i="4" s="1"/>
  <c r="G281" i="4"/>
  <c r="H281" i="4" s="1"/>
  <c r="I281" i="4" s="1"/>
  <c r="G273" i="4"/>
  <c r="H273" i="4" s="1"/>
  <c r="I273" i="4" s="1"/>
  <c r="G265" i="4"/>
  <c r="H265" i="4" s="1"/>
  <c r="I265" i="4" s="1"/>
  <c r="G376" i="4"/>
  <c r="H376" i="4" s="1"/>
  <c r="I376" i="4" s="1"/>
  <c r="G368" i="4"/>
  <c r="H368" i="4" s="1"/>
  <c r="I368" i="4" s="1"/>
  <c r="G360" i="4"/>
  <c r="H360" i="4" s="1"/>
  <c r="I360" i="4" s="1"/>
  <c r="G352" i="4"/>
  <c r="H352" i="4" s="1"/>
  <c r="I352" i="4" s="1"/>
  <c r="G344" i="4"/>
  <c r="H344" i="4" s="1"/>
  <c r="I344" i="4" s="1"/>
  <c r="G336" i="4"/>
  <c r="H336" i="4" s="1"/>
  <c r="I336" i="4" s="1"/>
  <c r="G328" i="4"/>
  <c r="H328" i="4" s="1"/>
  <c r="I328" i="4" s="1"/>
  <c r="G320" i="4"/>
  <c r="H320" i="4" s="1"/>
  <c r="I320" i="4" s="1"/>
  <c r="G312" i="4"/>
  <c r="H312" i="4" s="1"/>
  <c r="I312" i="4" s="1"/>
  <c r="G304" i="4"/>
  <c r="H304" i="4" s="1"/>
  <c r="I304" i="4" s="1"/>
  <c r="G296" i="4"/>
  <c r="H296" i="4" s="1"/>
  <c r="I296" i="4" s="1"/>
  <c r="G288" i="4"/>
  <c r="H288" i="4" s="1"/>
  <c r="I288" i="4" s="1"/>
  <c r="G280" i="4"/>
  <c r="H280" i="4" s="1"/>
  <c r="I280" i="4" s="1"/>
  <c r="G272" i="4"/>
  <c r="H272" i="4" s="1"/>
  <c r="I272" i="4" s="1"/>
  <c r="G264" i="4"/>
  <c r="H264" i="4" s="1"/>
  <c r="I264" i="4" s="1"/>
  <c r="G374" i="4"/>
  <c r="H374" i="4" s="1"/>
  <c r="I374" i="4" s="1"/>
  <c r="G366" i="4"/>
  <c r="H366" i="4" s="1"/>
  <c r="I366" i="4" s="1"/>
  <c r="G358" i="4"/>
  <c r="H358" i="4" s="1"/>
  <c r="I358" i="4" s="1"/>
  <c r="G350" i="4"/>
  <c r="H350" i="4" s="1"/>
  <c r="I350" i="4" s="1"/>
  <c r="G342" i="4"/>
  <c r="H342" i="4" s="1"/>
  <c r="I342" i="4" s="1"/>
  <c r="G334" i="4"/>
  <c r="H334" i="4" s="1"/>
  <c r="I334" i="4" s="1"/>
  <c r="G326" i="4"/>
  <c r="H326" i="4" s="1"/>
  <c r="I326" i="4" s="1"/>
  <c r="G318" i="4"/>
  <c r="H318" i="4" s="1"/>
  <c r="I318" i="4" s="1"/>
  <c r="G310" i="4"/>
  <c r="H310" i="4" s="1"/>
  <c r="I310" i="4" s="1"/>
  <c r="G302" i="4"/>
  <c r="H302" i="4" s="1"/>
  <c r="I302" i="4" s="1"/>
  <c r="G294" i="4"/>
  <c r="H294" i="4" s="1"/>
  <c r="I294" i="4" s="1"/>
  <c r="G286" i="4"/>
  <c r="H286" i="4" s="1"/>
  <c r="I286" i="4" s="1"/>
  <c r="G278" i="4"/>
  <c r="H278" i="4" s="1"/>
  <c r="I278" i="4" s="1"/>
  <c r="G270" i="4"/>
  <c r="H270" i="4" s="1"/>
  <c r="I270" i="4" s="1"/>
  <c r="G262" i="4"/>
  <c r="H262" i="4" s="1"/>
  <c r="I262" i="4" s="1"/>
  <c r="G372" i="4"/>
  <c r="H372" i="4" s="1"/>
  <c r="I372" i="4" s="1"/>
  <c r="G356" i="4"/>
  <c r="H356" i="4" s="1"/>
  <c r="I356" i="4" s="1"/>
  <c r="G340" i="4"/>
  <c r="H340" i="4" s="1"/>
  <c r="I340" i="4" s="1"/>
  <c r="G324" i="4"/>
  <c r="H324" i="4" s="1"/>
  <c r="I324" i="4" s="1"/>
  <c r="G308" i="4"/>
  <c r="H308" i="4" s="1"/>
  <c r="I308" i="4" s="1"/>
  <c r="G292" i="4"/>
  <c r="H292" i="4" s="1"/>
  <c r="I292" i="4" s="1"/>
  <c r="G276" i="4"/>
  <c r="H276" i="4" s="1"/>
  <c r="I276" i="4" s="1"/>
  <c r="G260" i="4"/>
  <c r="H260" i="4" s="1"/>
  <c r="I260" i="4" s="1"/>
  <c r="G371" i="4"/>
  <c r="H371" i="4" s="1"/>
  <c r="I371" i="4" s="1"/>
  <c r="G355" i="4"/>
  <c r="H355" i="4" s="1"/>
  <c r="I355" i="4" s="1"/>
  <c r="G339" i="4"/>
  <c r="H339" i="4" s="1"/>
  <c r="I339" i="4" s="1"/>
  <c r="G323" i="4"/>
  <c r="H323" i="4" s="1"/>
  <c r="I323" i="4" s="1"/>
  <c r="G307" i="4"/>
  <c r="H307" i="4" s="1"/>
  <c r="I307" i="4" s="1"/>
  <c r="G291" i="4"/>
  <c r="H291" i="4" s="1"/>
  <c r="I291" i="4" s="1"/>
  <c r="G275" i="4"/>
  <c r="H275" i="4" s="1"/>
  <c r="I275" i="4" s="1"/>
  <c r="G259" i="4"/>
  <c r="H259" i="4" s="1"/>
  <c r="I259" i="4" s="1"/>
  <c r="G367" i="4"/>
  <c r="H367" i="4" s="1"/>
  <c r="I367" i="4" s="1"/>
  <c r="G351" i="4"/>
  <c r="H351" i="4" s="1"/>
  <c r="I351" i="4" s="1"/>
  <c r="G335" i="4"/>
  <c r="H335" i="4" s="1"/>
  <c r="I335" i="4" s="1"/>
  <c r="G319" i="4"/>
  <c r="H319" i="4" s="1"/>
  <c r="I319" i="4" s="1"/>
  <c r="G303" i="4"/>
  <c r="H303" i="4" s="1"/>
  <c r="I303" i="4" s="1"/>
  <c r="G287" i="4"/>
  <c r="H287" i="4" s="1"/>
  <c r="I287" i="4" s="1"/>
  <c r="G271" i="4"/>
  <c r="H271" i="4" s="1"/>
  <c r="I271" i="4" s="1"/>
  <c r="G365" i="4"/>
  <c r="H365" i="4" s="1"/>
  <c r="I365" i="4" s="1"/>
  <c r="G349" i="4"/>
  <c r="H349" i="4" s="1"/>
  <c r="I349" i="4" s="1"/>
  <c r="G333" i="4"/>
  <c r="H333" i="4" s="1"/>
  <c r="I333" i="4" s="1"/>
  <c r="G317" i="4"/>
  <c r="H317" i="4" s="1"/>
  <c r="I317" i="4" s="1"/>
  <c r="G301" i="4"/>
  <c r="H301" i="4" s="1"/>
  <c r="I301" i="4" s="1"/>
  <c r="G285" i="4"/>
  <c r="H285" i="4" s="1"/>
  <c r="I285" i="4" s="1"/>
  <c r="G269" i="4"/>
  <c r="H269" i="4" s="1"/>
  <c r="I269" i="4" s="1"/>
  <c r="G363" i="4"/>
  <c r="H363" i="4" s="1"/>
  <c r="I363" i="4" s="1"/>
  <c r="G347" i="4"/>
  <c r="H347" i="4" s="1"/>
  <c r="I347" i="4" s="1"/>
  <c r="G331" i="4"/>
  <c r="H331" i="4" s="1"/>
  <c r="I331" i="4" s="1"/>
  <c r="G315" i="4"/>
  <c r="H315" i="4" s="1"/>
  <c r="I315" i="4" s="1"/>
  <c r="G299" i="4"/>
  <c r="H299" i="4" s="1"/>
  <c r="I299" i="4" s="1"/>
  <c r="G283" i="4"/>
  <c r="H283" i="4" s="1"/>
  <c r="I283" i="4" s="1"/>
  <c r="G267" i="4"/>
  <c r="H267" i="4" s="1"/>
  <c r="I267" i="4" s="1"/>
  <c r="G375" i="4"/>
  <c r="H375" i="4" s="1"/>
  <c r="I375" i="4" s="1"/>
  <c r="G332" i="4"/>
  <c r="H332" i="4" s="1"/>
  <c r="I332" i="4" s="1"/>
  <c r="G293" i="4"/>
  <c r="H293" i="4" s="1"/>
  <c r="I293" i="4" s="1"/>
  <c r="G263" i="4"/>
  <c r="H263" i="4" s="1"/>
  <c r="I263" i="4" s="1"/>
  <c r="G373" i="4"/>
  <c r="H373" i="4" s="1"/>
  <c r="I373" i="4" s="1"/>
  <c r="G327" i="4"/>
  <c r="H327" i="4" s="1"/>
  <c r="I327" i="4" s="1"/>
  <c r="G284" i="4"/>
  <c r="H284" i="4" s="1"/>
  <c r="I284" i="4" s="1"/>
  <c r="G364" i="4"/>
  <c r="H364" i="4" s="1"/>
  <c r="I364" i="4" s="1"/>
  <c r="G325" i="4"/>
  <c r="H325" i="4" s="1"/>
  <c r="I325" i="4" s="1"/>
  <c r="G279" i="4"/>
  <c r="H279" i="4" s="1"/>
  <c r="I279" i="4" s="1"/>
  <c r="G359" i="4"/>
  <c r="H359" i="4" s="1"/>
  <c r="I359" i="4" s="1"/>
  <c r="G316" i="4"/>
  <c r="H316" i="4" s="1"/>
  <c r="I316" i="4" s="1"/>
  <c r="G277" i="4"/>
  <c r="H277" i="4" s="1"/>
  <c r="I277" i="4" s="1"/>
  <c r="G357" i="4"/>
  <c r="H357" i="4" s="1"/>
  <c r="I357" i="4" s="1"/>
  <c r="G311" i="4"/>
  <c r="H311" i="4" s="1"/>
  <c r="I311" i="4" s="1"/>
  <c r="G268" i="4"/>
  <c r="H268" i="4" s="1"/>
  <c r="I268" i="4" s="1"/>
  <c r="G309" i="4"/>
  <c r="H309" i="4" s="1"/>
  <c r="I309" i="4" s="1"/>
  <c r="G343" i="4"/>
  <c r="H343" i="4" s="1"/>
  <c r="I343" i="4" s="1"/>
  <c r="G300" i="4"/>
  <c r="H300" i="4" s="1"/>
  <c r="I300" i="4" s="1"/>
  <c r="G261" i="4"/>
  <c r="H261" i="4" s="1"/>
  <c r="I261" i="4" s="1"/>
  <c r="G348" i="4"/>
  <c r="H348" i="4" s="1"/>
  <c r="I348" i="4" s="1"/>
  <c r="G341" i="4"/>
  <c r="H341" i="4" s="1"/>
  <c r="I341" i="4" s="1"/>
  <c r="G295" i="4"/>
  <c r="H295" i="4" s="1"/>
  <c r="I295" i="4" s="1"/>
  <c r="H473" i="4"/>
  <c r="I473" i="4" s="1"/>
  <c r="I417" i="4"/>
  <c r="H417" i="4"/>
  <c r="H457" i="4"/>
  <c r="I457" i="4" s="1"/>
  <c r="G765" i="4"/>
  <c r="G766" i="4" s="1"/>
  <c r="Q548" i="4"/>
  <c r="D765" i="4"/>
  <c r="D766" i="4" s="1"/>
  <c r="Q167" i="4"/>
  <c r="H449" i="4"/>
  <c r="I449" i="4" s="1"/>
  <c r="C765" i="4"/>
  <c r="Q40" i="4"/>
  <c r="G629" i="4"/>
  <c r="H629" i="4" s="1"/>
  <c r="I629" i="4" s="1"/>
  <c r="G621" i="4"/>
  <c r="H621" i="4" s="1"/>
  <c r="I621" i="4" s="1"/>
  <c r="G613" i="4"/>
  <c r="H613" i="4" s="1"/>
  <c r="I613" i="4" s="1"/>
  <c r="G605" i="4"/>
  <c r="H605" i="4" s="1"/>
  <c r="I605" i="4" s="1"/>
  <c r="G597" i="4"/>
  <c r="H597" i="4" s="1"/>
  <c r="I597" i="4" s="1"/>
  <c r="G589" i="4"/>
  <c r="H589" i="4" s="1"/>
  <c r="I589" i="4" s="1"/>
  <c r="G581" i="4"/>
  <c r="H581" i="4" s="1"/>
  <c r="I581" i="4" s="1"/>
  <c r="G573" i="4"/>
  <c r="H573" i="4" s="1"/>
  <c r="I573" i="4" s="1"/>
  <c r="G565" i="4"/>
  <c r="H565" i="4" s="1"/>
  <c r="I565" i="4" s="1"/>
  <c r="G557" i="4"/>
  <c r="H557" i="4" s="1"/>
  <c r="I557" i="4" s="1"/>
  <c r="G549" i="4"/>
  <c r="H549" i="4" s="1"/>
  <c r="I549" i="4" s="1"/>
  <c r="G541" i="4"/>
  <c r="H541" i="4" s="1"/>
  <c r="I541" i="4" s="1"/>
  <c r="G533" i="4"/>
  <c r="H533" i="4" s="1"/>
  <c r="I533" i="4" s="1"/>
  <c r="G525" i="4"/>
  <c r="H525" i="4" s="1"/>
  <c r="I525" i="4" s="1"/>
  <c r="G517" i="4"/>
  <c r="H517" i="4" s="1"/>
  <c r="I517" i="4" s="1"/>
  <c r="G628" i="4"/>
  <c r="H628" i="4" s="1"/>
  <c r="I628" i="4" s="1"/>
  <c r="G620" i="4"/>
  <c r="H620" i="4" s="1"/>
  <c r="I620" i="4" s="1"/>
  <c r="G612" i="4"/>
  <c r="H612" i="4" s="1"/>
  <c r="I612" i="4" s="1"/>
  <c r="G604" i="4"/>
  <c r="H604" i="4" s="1"/>
  <c r="I604" i="4" s="1"/>
  <c r="G596" i="4"/>
  <c r="H596" i="4" s="1"/>
  <c r="I596" i="4" s="1"/>
  <c r="G588" i="4"/>
  <c r="H588" i="4" s="1"/>
  <c r="I588" i="4" s="1"/>
  <c r="G580" i="4"/>
  <c r="H580" i="4" s="1"/>
  <c r="I580" i="4" s="1"/>
  <c r="G572" i="4"/>
  <c r="H572" i="4" s="1"/>
  <c r="I572" i="4" s="1"/>
  <c r="G564" i="4"/>
  <c r="H564" i="4" s="1"/>
  <c r="I564" i="4" s="1"/>
  <c r="G556" i="4"/>
  <c r="H556" i="4" s="1"/>
  <c r="I556" i="4" s="1"/>
  <c r="G548" i="4"/>
  <c r="H548" i="4" s="1"/>
  <c r="I548" i="4" s="1"/>
  <c r="G540" i="4"/>
  <c r="H540" i="4" s="1"/>
  <c r="I540" i="4" s="1"/>
  <c r="G532" i="4"/>
  <c r="H532" i="4" s="1"/>
  <c r="I532" i="4" s="1"/>
  <c r="G524" i="4"/>
  <c r="H524" i="4" s="1"/>
  <c r="I524" i="4" s="1"/>
  <c r="G516" i="4"/>
  <c r="H516" i="4" s="1"/>
  <c r="I516" i="4" s="1"/>
  <c r="G625" i="4"/>
  <c r="H625" i="4" s="1"/>
  <c r="I625" i="4" s="1"/>
  <c r="G615" i="4"/>
  <c r="H615" i="4" s="1"/>
  <c r="I615" i="4" s="1"/>
  <c r="G603" i="4"/>
  <c r="G593" i="4"/>
  <c r="H593" i="4" s="1"/>
  <c r="I593" i="4" s="1"/>
  <c r="G583" i="4"/>
  <c r="G571" i="4"/>
  <c r="G561" i="4"/>
  <c r="H561" i="4" s="1"/>
  <c r="I561" i="4" s="1"/>
  <c r="G551" i="4"/>
  <c r="G539" i="4"/>
  <c r="G529" i="4"/>
  <c r="H529" i="4" s="1"/>
  <c r="I529" i="4" s="1"/>
  <c r="G519" i="4"/>
  <c r="G624" i="4"/>
  <c r="H624" i="4" s="1"/>
  <c r="I624" i="4" s="1"/>
  <c r="G614" i="4"/>
  <c r="G602" i="4"/>
  <c r="H602" i="4" s="1"/>
  <c r="I602" i="4" s="1"/>
  <c r="G592" i="4"/>
  <c r="H592" i="4" s="1"/>
  <c r="I592" i="4" s="1"/>
  <c r="G582" i="4"/>
  <c r="G570" i="4"/>
  <c r="H570" i="4" s="1"/>
  <c r="I570" i="4" s="1"/>
  <c r="G560" i="4"/>
  <c r="H560" i="4" s="1"/>
  <c r="I560" i="4" s="1"/>
  <c r="G550" i="4"/>
  <c r="G538" i="4"/>
  <c r="H538" i="4" s="1"/>
  <c r="I538" i="4" s="1"/>
  <c r="G528" i="4"/>
  <c r="H528" i="4" s="1"/>
  <c r="I528" i="4" s="1"/>
  <c r="G518" i="4"/>
  <c r="G623" i="4"/>
  <c r="H623" i="4" s="1"/>
  <c r="I623" i="4" s="1"/>
  <c r="G611" i="4"/>
  <c r="H611" i="4" s="1"/>
  <c r="I611" i="4" s="1"/>
  <c r="G601" i="4"/>
  <c r="H601" i="4" s="1"/>
  <c r="I601" i="4" s="1"/>
  <c r="G591" i="4"/>
  <c r="G579" i="4"/>
  <c r="G569" i="4"/>
  <c r="H569" i="4" s="1"/>
  <c r="I569" i="4" s="1"/>
  <c r="G559" i="4"/>
  <c r="G547" i="4"/>
  <c r="G537" i="4"/>
  <c r="H537" i="4" s="1"/>
  <c r="I537" i="4" s="1"/>
  <c r="G527" i="4"/>
  <c r="G515" i="4"/>
  <c r="G622" i="4"/>
  <c r="H622" i="4" s="1"/>
  <c r="I622" i="4" s="1"/>
  <c r="G610" i="4"/>
  <c r="H610" i="4" s="1"/>
  <c r="I610" i="4" s="1"/>
  <c r="G600" i="4"/>
  <c r="H600" i="4" s="1"/>
  <c r="I600" i="4" s="1"/>
  <c r="G590" i="4"/>
  <c r="G578" i="4"/>
  <c r="H578" i="4" s="1"/>
  <c r="I578" i="4" s="1"/>
  <c r="G568" i="4"/>
  <c r="H568" i="4" s="1"/>
  <c r="I568" i="4" s="1"/>
  <c r="G558" i="4"/>
  <c r="G546" i="4"/>
  <c r="H546" i="4" s="1"/>
  <c r="I546" i="4" s="1"/>
  <c r="G536" i="4"/>
  <c r="H536" i="4" s="1"/>
  <c r="I536" i="4" s="1"/>
  <c r="G526" i="4"/>
  <c r="G514" i="4"/>
  <c r="H514" i="4" s="1"/>
  <c r="I514" i="4" s="1"/>
  <c r="G631" i="4"/>
  <c r="G619" i="4"/>
  <c r="H619" i="4" s="1"/>
  <c r="I619" i="4" s="1"/>
  <c r="G609" i="4"/>
  <c r="H609" i="4" s="1"/>
  <c r="I609" i="4" s="1"/>
  <c r="G599" i="4"/>
  <c r="G587" i="4"/>
  <c r="G577" i="4"/>
  <c r="H577" i="4" s="1"/>
  <c r="I577" i="4" s="1"/>
  <c r="G567" i="4"/>
  <c r="G555" i="4"/>
  <c r="G545" i="4"/>
  <c r="H545" i="4" s="1"/>
  <c r="I545" i="4" s="1"/>
  <c r="G535" i="4"/>
  <c r="G523" i="4"/>
  <c r="G513" i="4"/>
  <c r="H513" i="4" s="1"/>
  <c r="I513" i="4" s="1"/>
  <c r="G630" i="4"/>
  <c r="G618" i="4"/>
  <c r="H618" i="4" s="1"/>
  <c r="I618" i="4" s="1"/>
  <c r="G608" i="4"/>
  <c r="H608" i="4" s="1"/>
  <c r="I608" i="4" s="1"/>
  <c r="G598" i="4"/>
  <c r="G586" i="4"/>
  <c r="H586" i="4" s="1"/>
  <c r="I586" i="4" s="1"/>
  <c r="G576" i="4"/>
  <c r="H576" i="4" s="1"/>
  <c r="I576" i="4" s="1"/>
  <c r="G566" i="4"/>
  <c r="G554" i="4"/>
  <c r="H554" i="4" s="1"/>
  <c r="I554" i="4" s="1"/>
  <c r="G544" i="4"/>
  <c r="H544" i="4" s="1"/>
  <c r="I544" i="4" s="1"/>
  <c r="G534" i="4"/>
  <c r="G522" i="4"/>
  <c r="H522" i="4" s="1"/>
  <c r="I522" i="4" s="1"/>
  <c r="G607" i="4"/>
  <c r="G563" i="4"/>
  <c r="G521" i="4"/>
  <c r="H521" i="4" s="1"/>
  <c r="I521" i="4" s="1"/>
  <c r="G606" i="4"/>
  <c r="G562" i="4"/>
  <c r="H562" i="4" s="1"/>
  <c r="I562" i="4" s="1"/>
  <c r="G520" i="4"/>
  <c r="H520" i="4" s="1"/>
  <c r="I520" i="4" s="1"/>
  <c r="G595" i="4"/>
  <c r="G553" i="4"/>
  <c r="H553" i="4" s="1"/>
  <c r="I553" i="4" s="1"/>
  <c r="G512" i="4"/>
  <c r="G594" i="4"/>
  <c r="H594" i="4" s="1"/>
  <c r="I594" i="4" s="1"/>
  <c r="G552" i="4"/>
  <c r="H552" i="4" s="1"/>
  <c r="I552" i="4" s="1"/>
  <c r="G626" i="4"/>
  <c r="H626" i="4" s="1"/>
  <c r="I626" i="4" s="1"/>
  <c r="G584" i="4"/>
  <c r="H584" i="4" s="1"/>
  <c r="I584" i="4" s="1"/>
  <c r="G542" i="4"/>
  <c r="G617" i="4"/>
  <c r="H617" i="4" s="1"/>
  <c r="I617" i="4" s="1"/>
  <c r="G543" i="4"/>
  <c r="G616" i="4"/>
  <c r="H616" i="4" s="1"/>
  <c r="I616" i="4" s="1"/>
  <c r="G585" i="4"/>
  <c r="H585" i="4" s="1"/>
  <c r="I585" i="4" s="1"/>
  <c r="G575" i="4"/>
  <c r="G574" i="4"/>
  <c r="G531" i="4"/>
  <c r="G627" i="4"/>
  <c r="G530" i="4"/>
  <c r="H530" i="4" s="1"/>
  <c r="I530" i="4" s="1"/>
  <c r="G244" i="4"/>
  <c r="H244" i="4" s="1"/>
  <c r="I244" i="4" s="1"/>
  <c r="G236" i="4"/>
  <c r="H236" i="4" s="1"/>
  <c r="I236" i="4" s="1"/>
  <c r="G228" i="4"/>
  <c r="H228" i="4" s="1"/>
  <c r="I228" i="4" s="1"/>
  <c r="G220" i="4"/>
  <c r="H220" i="4" s="1"/>
  <c r="I220" i="4" s="1"/>
  <c r="G212" i="4"/>
  <c r="H212" i="4" s="1"/>
  <c r="I212" i="4" s="1"/>
  <c r="G204" i="4"/>
  <c r="H204" i="4" s="1"/>
  <c r="I204" i="4" s="1"/>
  <c r="G196" i="4"/>
  <c r="H196" i="4" s="1"/>
  <c r="I196" i="4" s="1"/>
  <c r="G188" i="4"/>
  <c r="H188" i="4" s="1"/>
  <c r="I188" i="4" s="1"/>
  <c r="G180" i="4"/>
  <c r="H180" i="4" s="1"/>
  <c r="I180" i="4" s="1"/>
  <c r="G172" i="4"/>
  <c r="H172" i="4" s="1"/>
  <c r="I172" i="4" s="1"/>
  <c r="G164" i="4"/>
  <c r="H164" i="4" s="1"/>
  <c r="I164" i="4" s="1"/>
  <c r="G243" i="4"/>
  <c r="H243" i="4" s="1"/>
  <c r="I243" i="4" s="1"/>
  <c r="G235" i="4"/>
  <c r="H235" i="4" s="1"/>
  <c r="I235" i="4" s="1"/>
  <c r="G227" i="4"/>
  <c r="H227" i="4" s="1"/>
  <c r="I227" i="4" s="1"/>
  <c r="G219" i="4"/>
  <c r="H219" i="4" s="1"/>
  <c r="I219" i="4" s="1"/>
  <c r="G211" i="4"/>
  <c r="H211" i="4" s="1"/>
  <c r="I211" i="4" s="1"/>
  <c r="G203" i="4"/>
  <c r="H203" i="4" s="1"/>
  <c r="I203" i="4" s="1"/>
  <c r="G195" i="4"/>
  <c r="H195" i="4" s="1"/>
  <c r="I195" i="4" s="1"/>
  <c r="G187" i="4"/>
  <c r="H187" i="4" s="1"/>
  <c r="I187" i="4" s="1"/>
  <c r="G179" i="4"/>
  <c r="H179" i="4" s="1"/>
  <c r="I179" i="4" s="1"/>
  <c r="G171" i="4"/>
  <c r="H171" i="4" s="1"/>
  <c r="I171" i="4" s="1"/>
  <c r="G163" i="4"/>
  <c r="H163" i="4" s="1"/>
  <c r="I163" i="4" s="1"/>
  <c r="G155" i="4"/>
  <c r="H155" i="4" s="1"/>
  <c r="I155" i="4" s="1"/>
  <c r="G147" i="4"/>
  <c r="H147" i="4" s="1"/>
  <c r="I147" i="4" s="1"/>
  <c r="G139" i="4"/>
  <c r="H139" i="4" s="1"/>
  <c r="I139" i="4" s="1"/>
  <c r="G250" i="4"/>
  <c r="G242" i="4"/>
  <c r="H242" i="4" s="1"/>
  <c r="I242" i="4" s="1"/>
  <c r="G234" i="4"/>
  <c r="H234" i="4" s="1"/>
  <c r="I234" i="4" s="1"/>
  <c r="G226" i="4"/>
  <c r="H226" i="4" s="1"/>
  <c r="I226" i="4" s="1"/>
  <c r="G218" i="4"/>
  <c r="H218" i="4" s="1"/>
  <c r="I218" i="4" s="1"/>
  <c r="G210" i="4"/>
  <c r="H210" i="4" s="1"/>
  <c r="I210" i="4" s="1"/>
  <c r="G202" i="4"/>
  <c r="H202" i="4" s="1"/>
  <c r="I202" i="4" s="1"/>
  <c r="G194" i="4"/>
  <c r="H194" i="4" s="1"/>
  <c r="I194" i="4" s="1"/>
  <c r="G186" i="4"/>
  <c r="H186" i="4" s="1"/>
  <c r="I186" i="4" s="1"/>
  <c r="G178" i="4"/>
  <c r="H178" i="4" s="1"/>
  <c r="I178" i="4" s="1"/>
  <c r="G170" i="4"/>
  <c r="H170" i="4" s="1"/>
  <c r="I170" i="4" s="1"/>
  <c r="G162" i="4"/>
  <c r="H162" i="4" s="1"/>
  <c r="I162" i="4" s="1"/>
  <c r="G248" i="4"/>
  <c r="G240" i="4"/>
  <c r="G232" i="4"/>
  <c r="G224" i="4"/>
  <c r="G238" i="4"/>
  <c r="H238" i="4" s="1"/>
  <c r="I238" i="4" s="1"/>
  <c r="G222" i="4"/>
  <c r="H222" i="4" s="1"/>
  <c r="I222" i="4" s="1"/>
  <c r="G208" i="4"/>
  <c r="G197" i="4"/>
  <c r="H197" i="4" s="1"/>
  <c r="I197" i="4" s="1"/>
  <c r="G183" i="4"/>
  <c r="H183" i="4" s="1"/>
  <c r="I183" i="4" s="1"/>
  <c r="G169" i="4"/>
  <c r="H169" i="4" s="1"/>
  <c r="I169" i="4" s="1"/>
  <c r="G158" i="4"/>
  <c r="H158" i="4" s="1"/>
  <c r="I158" i="4" s="1"/>
  <c r="G149" i="4"/>
  <c r="G140" i="4"/>
  <c r="H140" i="4" s="1"/>
  <c r="I140" i="4" s="1"/>
  <c r="G237" i="4"/>
  <c r="H237" i="4" s="1"/>
  <c r="I237" i="4" s="1"/>
  <c r="G221" i="4"/>
  <c r="H221" i="4" s="1"/>
  <c r="I221" i="4" s="1"/>
  <c r="G207" i="4"/>
  <c r="H207" i="4" s="1"/>
  <c r="I207" i="4" s="1"/>
  <c r="G193" i="4"/>
  <c r="H193" i="4" s="1"/>
  <c r="I193" i="4" s="1"/>
  <c r="G182" i="4"/>
  <c r="H182" i="4" s="1"/>
  <c r="I182" i="4" s="1"/>
  <c r="G168" i="4"/>
  <c r="G249" i="4"/>
  <c r="H249" i="4" s="1"/>
  <c r="I249" i="4" s="1"/>
  <c r="G233" i="4"/>
  <c r="H233" i="4" s="1"/>
  <c r="I233" i="4" s="1"/>
  <c r="G217" i="4"/>
  <c r="H217" i="4" s="1"/>
  <c r="I217" i="4" s="1"/>
  <c r="G206" i="4"/>
  <c r="H206" i="4" s="1"/>
  <c r="I206" i="4" s="1"/>
  <c r="G192" i="4"/>
  <c r="G181" i="4"/>
  <c r="H181" i="4" s="1"/>
  <c r="I181" i="4" s="1"/>
  <c r="G167" i="4"/>
  <c r="H167" i="4" s="1"/>
  <c r="I167" i="4" s="1"/>
  <c r="G156" i="4"/>
  <c r="H156" i="4" s="1"/>
  <c r="I156" i="4" s="1"/>
  <c r="G146" i="4"/>
  <c r="H146" i="4" s="1"/>
  <c r="I146" i="4" s="1"/>
  <c r="G137" i="4"/>
  <c r="H137" i="4" s="1"/>
  <c r="I137" i="4" s="1"/>
  <c r="G247" i="4"/>
  <c r="H247" i="4" s="1"/>
  <c r="I247" i="4" s="1"/>
  <c r="G231" i="4"/>
  <c r="H231" i="4" s="1"/>
  <c r="I231" i="4" s="1"/>
  <c r="G216" i="4"/>
  <c r="H216" i="4" s="1"/>
  <c r="I216" i="4" s="1"/>
  <c r="G205" i="4"/>
  <c r="H205" i="4" s="1"/>
  <c r="I205" i="4" s="1"/>
  <c r="G191" i="4"/>
  <c r="H191" i="4" s="1"/>
  <c r="I191" i="4" s="1"/>
  <c r="G177" i="4"/>
  <c r="H177" i="4" s="1"/>
  <c r="I177" i="4" s="1"/>
  <c r="G166" i="4"/>
  <c r="H166" i="4" s="1"/>
  <c r="I166" i="4" s="1"/>
  <c r="G154" i="4"/>
  <c r="H154" i="4" s="1"/>
  <c r="I154" i="4" s="1"/>
  <c r="G145" i="4"/>
  <c r="H145" i="4" s="1"/>
  <c r="I145" i="4" s="1"/>
  <c r="G136" i="4"/>
  <c r="G131" i="4"/>
  <c r="G245" i="4"/>
  <c r="H245" i="4" s="1"/>
  <c r="I245" i="4" s="1"/>
  <c r="G229" i="4"/>
  <c r="H229" i="4" s="1"/>
  <c r="I229" i="4" s="1"/>
  <c r="G214" i="4"/>
  <c r="H214" i="4" s="1"/>
  <c r="I214" i="4" s="1"/>
  <c r="G200" i="4"/>
  <c r="G189" i="4"/>
  <c r="H189" i="4" s="1"/>
  <c r="I189" i="4" s="1"/>
  <c r="G175" i="4"/>
  <c r="H175" i="4" s="1"/>
  <c r="I175" i="4" s="1"/>
  <c r="G161" i="4"/>
  <c r="H161" i="4" s="1"/>
  <c r="I161" i="4" s="1"/>
  <c r="G152" i="4"/>
  <c r="G143" i="4"/>
  <c r="H143" i="4" s="1"/>
  <c r="I143" i="4" s="1"/>
  <c r="G134" i="4"/>
  <c r="H134" i="4" s="1"/>
  <c r="I134" i="4" s="1"/>
  <c r="G241" i="4"/>
  <c r="H241" i="4" s="1"/>
  <c r="I241" i="4" s="1"/>
  <c r="G201" i="4"/>
  <c r="H201" i="4" s="1"/>
  <c r="I201" i="4" s="1"/>
  <c r="G173" i="4"/>
  <c r="H173" i="4" s="1"/>
  <c r="I173" i="4" s="1"/>
  <c r="G148" i="4"/>
  <c r="H148" i="4" s="1"/>
  <c r="I148" i="4" s="1"/>
  <c r="G184" i="4"/>
  <c r="G239" i="4"/>
  <c r="H239" i="4" s="1"/>
  <c r="I239" i="4" s="1"/>
  <c r="G199" i="4"/>
  <c r="H199" i="4" s="1"/>
  <c r="I199" i="4" s="1"/>
  <c r="G165" i="4"/>
  <c r="H165" i="4" s="1"/>
  <c r="I165" i="4" s="1"/>
  <c r="G144" i="4"/>
  <c r="G230" i="4"/>
  <c r="H230" i="4" s="1"/>
  <c r="I230" i="4" s="1"/>
  <c r="G198" i="4"/>
  <c r="H198" i="4" s="1"/>
  <c r="I198" i="4" s="1"/>
  <c r="G160" i="4"/>
  <c r="H160" i="4" s="1"/>
  <c r="I160" i="4" s="1"/>
  <c r="G142" i="4"/>
  <c r="H142" i="4" s="1"/>
  <c r="I142" i="4" s="1"/>
  <c r="G225" i="4"/>
  <c r="H225" i="4" s="1"/>
  <c r="I225" i="4" s="1"/>
  <c r="G190" i="4"/>
  <c r="H190" i="4" s="1"/>
  <c r="I190" i="4" s="1"/>
  <c r="G159" i="4"/>
  <c r="H159" i="4" s="1"/>
  <c r="I159" i="4" s="1"/>
  <c r="G141" i="4"/>
  <c r="H141" i="4" s="1"/>
  <c r="I141" i="4" s="1"/>
  <c r="G223" i="4"/>
  <c r="H223" i="4" s="1"/>
  <c r="I223" i="4" s="1"/>
  <c r="G185" i="4"/>
  <c r="H185" i="4" s="1"/>
  <c r="I185" i="4" s="1"/>
  <c r="G157" i="4"/>
  <c r="H157" i="4" s="1"/>
  <c r="I157" i="4" s="1"/>
  <c r="G138" i="4"/>
  <c r="H138" i="4" s="1"/>
  <c r="I138" i="4" s="1"/>
  <c r="G215" i="4"/>
  <c r="H215" i="4" s="1"/>
  <c r="I215" i="4" s="1"/>
  <c r="G135" i="4"/>
  <c r="H135" i="4" s="1"/>
  <c r="I135" i="4" s="1"/>
  <c r="G213" i="4"/>
  <c r="H213" i="4" s="1"/>
  <c r="I213" i="4" s="1"/>
  <c r="G176" i="4"/>
  <c r="G151" i="4"/>
  <c r="H151" i="4" s="1"/>
  <c r="I151" i="4" s="1"/>
  <c r="G133" i="4"/>
  <c r="H133" i="4" s="1"/>
  <c r="I133" i="4" s="1"/>
  <c r="G246" i="4"/>
  <c r="H246" i="4" s="1"/>
  <c r="I246" i="4" s="1"/>
  <c r="G209" i="4"/>
  <c r="H209" i="4" s="1"/>
  <c r="I209" i="4" s="1"/>
  <c r="G174" i="4"/>
  <c r="H174" i="4" s="1"/>
  <c r="I174" i="4" s="1"/>
  <c r="G153" i="4"/>
  <c r="H153" i="4" s="1"/>
  <c r="I153" i="4" s="1"/>
  <c r="G150" i="4"/>
  <c r="H150" i="4" s="1"/>
  <c r="I150" i="4" s="1"/>
  <c r="G132" i="4"/>
  <c r="H132" i="4" s="1"/>
  <c r="I132" i="4" s="1"/>
  <c r="H393" i="4"/>
  <c r="I393" i="4" s="1"/>
  <c r="H489" i="4"/>
  <c r="I489" i="4" s="1"/>
  <c r="G758" i="4"/>
  <c r="H758" i="4" s="1"/>
  <c r="I758" i="4" s="1"/>
  <c r="G750" i="4"/>
  <c r="H750" i="4" s="1"/>
  <c r="I750" i="4" s="1"/>
  <c r="G742" i="4"/>
  <c r="H742" i="4" s="1"/>
  <c r="I742" i="4" s="1"/>
  <c r="G734" i="4"/>
  <c r="H734" i="4" s="1"/>
  <c r="I734" i="4" s="1"/>
  <c r="G726" i="4"/>
  <c r="H726" i="4" s="1"/>
  <c r="I726" i="4" s="1"/>
  <c r="G718" i="4"/>
  <c r="H718" i="4" s="1"/>
  <c r="I718" i="4" s="1"/>
  <c r="G710" i="4"/>
  <c r="H710" i="4" s="1"/>
  <c r="I710" i="4" s="1"/>
  <c r="G702" i="4"/>
  <c r="H702" i="4" s="1"/>
  <c r="I702" i="4" s="1"/>
  <c r="G694" i="4"/>
  <c r="H694" i="4" s="1"/>
  <c r="I694" i="4" s="1"/>
  <c r="G686" i="4"/>
  <c r="H686" i="4" s="1"/>
  <c r="I686" i="4" s="1"/>
  <c r="G678" i="4"/>
  <c r="H678" i="4" s="1"/>
  <c r="I678" i="4" s="1"/>
  <c r="G670" i="4"/>
  <c r="H670" i="4" s="1"/>
  <c r="I670" i="4" s="1"/>
  <c r="G757" i="4"/>
  <c r="H757" i="4" s="1"/>
  <c r="I757" i="4" s="1"/>
  <c r="G749" i="4"/>
  <c r="H749" i="4" s="1"/>
  <c r="I749" i="4" s="1"/>
  <c r="G741" i="4"/>
  <c r="H741" i="4" s="1"/>
  <c r="I741" i="4" s="1"/>
  <c r="G733" i="4"/>
  <c r="H733" i="4" s="1"/>
  <c r="I733" i="4" s="1"/>
  <c r="G725" i="4"/>
  <c r="H725" i="4" s="1"/>
  <c r="I725" i="4" s="1"/>
  <c r="G717" i="4"/>
  <c r="H717" i="4" s="1"/>
  <c r="I717" i="4" s="1"/>
  <c r="G709" i="4"/>
  <c r="H709" i="4" s="1"/>
  <c r="I709" i="4" s="1"/>
  <c r="G701" i="4"/>
  <c r="H701" i="4" s="1"/>
  <c r="I701" i="4" s="1"/>
  <c r="G693" i="4"/>
  <c r="H693" i="4" s="1"/>
  <c r="I693" i="4" s="1"/>
  <c r="G756" i="4"/>
  <c r="H756" i="4" s="1"/>
  <c r="I756" i="4" s="1"/>
  <c r="G748" i="4"/>
  <c r="H748" i="4" s="1"/>
  <c r="I748" i="4" s="1"/>
  <c r="G740" i="4"/>
  <c r="H740" i="4" s="1"/>
  <c r="I740" i="4" s="1"/>
  <c r="G732" i="4"/>
  <c r="H732" i="4" s="1"/>
  <c r="I732" i="4" s="1"/>
  <c r="G724" i="4"/>
  <c r="H724" i="4" s="1"/>
  <c r="I724" i="4" s="1"/>
  <c r="G716" i="4"/>
  <c r="H716" i="4" s="1"/>
  <c r="I716" i="4" s="1"/>
  <c r="G708" i="4"/>
  <c r="H708" i="4" s="1"/>
  <c r="I708" i="4" s="1"/>
  <c r="G700" i="4"/>
  <c r="H700" i="4" s="1"/>
  <c r="I700" i="4" s="1"/>
  <c r="G692" i="4"/>
  <c r="H692" i="4" s="1"/>
  <c r="I692" i="4" s="1"/>
  <c r="G684" i="4"/>
  <c r="H684" i="4" s="1"/>
  <c r="I684" i="4" s="1"/>
  <c r="G676" i="4"/>
  <c r="H676" i="4" s="1"/>
  <c r="I676" i="4" s="1"/>
  <c r="G668" i="4"/>
  <c r="H668" i="4" s="1"/>
  <c r="I668" i="4" s="1"/>
  <c r="G660" i="4"/>
  <c r="H660" i="4" s="1"/>
  <c r="I660" i="4" s="1"/>
  <c r="G652" i="4"/>
  <c r="H652" i="4" s="1"/>
  <c r="I652" i="4" s="1"/>
  <c r="G644" i="4"/>
  <c r="H644" i="4" s="1"/>
  <c r="I644" i="4" s="1"/>
  <c r="G755" i="4"/>
  <c r="H755" i="4" s="1"/>
  <c r="I755" i="4" s="1"/>
  <c r="G747" i="4"/>
  <c r="H747" i="4" s="1"/>
  <c r="I747" i="4" s="1"/>
  <c r="G739" i="4"/>
  <c r="H739" i="4" s="1"/>
  <c r="I739" i="4" s="1"/>
  <c r="G731" i="4"/>
  <c r="H731" i="4" s="1"/>
  <c r="I731" i="4" s="1"/>
  <c r="G723" i="4"/>
  <c r="H723" i="4" s="1"/>
  <c r="I723" i="4" s="1"/>
  <c r="G715" i="4"/>
  <c r="H715" i="4" s="1"/>
  <c r="I715" i="4" s="1"/>
  <c r="G707" i="4"/>
  <c r="H707" i="4" s="1"/>
  <c r="I707" i="4" s="1"/>
  <c r="G699" i="4"/>
  <c r="H699" i="4" s="1"/>
  <c r="I699" i="4" s="1"/>
  <c r="G691" i="4"/>
  <c r="H691" i="4" s="1"/>
  <c r="I691" i="4" s="1"/>
  <c r="G683" i="4"/>
  <c r="H683" i="4" s="1"/>
  <c r="I683" i="4" s="1"/>
  <c r="G675" i="4"/>
  <c r="H675" i="4" s="1"/>
  <c r="I675" i="4" s="1"/>
  <c r="G667" i="4"/>
  <c r="H667" i="4" s="1"/>
  <c r="I667" i="4" s="1"/>
  <c r="G659" i="4"/>
  <c r="H659" i="4" s="1"/>
  <c r="I659" i="4" s="1"/>
  <c r="G651" i="4"/>
  <c r="H651" i="4" s="1"/>
  <c r="I651" i="4" s="1"/>
  <c r="G643" i="4"/>
  <c r="H643" i="4" s="1"/>
  <c r="I643" i="4" s="1"/>
  <c r="G752" i="4"/>
  <c r="H752" i="4" s="1"/>
  <c r="I752" i="4" s="1"/>
  <c r="G744" i="4"/>
  <c r="H744" i="4" s="1"/>
  <c r="I744" i="4" s="1"/>
  <c r="G736" i="4"/>
  <c r="H736" i="4" s="1"/>
  <c r="I736" i="4" s="1"/>
  <c r="G728" i="4"/>
  <c r="H728" i="4" s="1"/>
  <c r="I728" i="4" s="1"/>
  <c r="G720" i="4"/>
  <c r="H720" i="4" s="1"/>
  <c r="I720" i="4" s="1"/>
  <c r="G712" i="4"/>
  <c r="H712" i="4" s="1"/>
  <c r="I712" i="4" s="1"/>
  <c r="G704" i="4"/>
  <c r="H704" i="4" s="1"/>
  <c r="I704" i="4" s="1"/>
  <c r="G696" i="4"/>
  <c r="H696" i="4" s="1"/>
  <c r="I696" i="4" s="1"/>
  <c r="G688" i="4"/>
  <c r="H688" i="4" s="1"/>
  <c r="I688" i="4" s="1"/>
  <c r="G680" i="4"/>
  <c r="H680" i="4" s="1"/>
  <c r="I680" i="4" s="1"/>
  <c r="G672" i="4"/>
  <c r="H672" i="4" s="1"/>
  <c r="I672" i="4" s="1"/>
  <c r="G738" i="4"/>
  <c r="H738" i="4" s="1"/>
  <c r="I738" i="4" s="1"/>
  <c r="G719" i="4"/>
  <c r="G697" i="4"/>
  <c r="H697" i="4" s="1"/>
  <c r="I697" i="4" s="1"/>
  <c r="G679" i="4"/>
  <c r="G664" i="4"/>
  <c r="H664" i="4" s="1"/>
  <c r="I664" i="4" s="1"/>
  <c r="G654" i="4"/>
  <c r="H654" i="4" s="1"/>
  <c r="I654" i="4" s="1"/>
  <c r="G642" i="4"/>
  <c r="H642" i="4" s="1"/>
  <c r="I642" i="4" s="1"/>
  <c r="G737" i="4"/>
  <c r="H737" i="4" s="1"/>
  <c r="I737" i="4" s="1"/>
  <c r="G714" i="4"/>
  <c r="H714" i="4" s="1"/>
  <c r="I714" i="4" s="1"/>
  <c r="G695" i="4"/>
  <c r="G677" i="4"/>
  <c r="H677" i="4" s="1"/>
  <c r="I677" i="4" s="1"/>
  <c r="G663" i="4"/>
  <c r="G653" i="4"/>
  <c r="H653" i="4" s="1"/>
  <c r="I653" i="4" s="1"/>
  <c r="G641" i="4"/>
  <c r="H641" i="4" s="1"/>
  <c r="I641" i="4" s="1"/>
  <c r="G754" i="4"/>
  <c r="H754" i="4" s="1"/>
  <c r="I754" i="4" s="1"/>
  <c r="G735" i="4"/>
  <c r="G713" i="4"/>
  <c r="H713" i="4" s="1"/>
  <c r="I713" i="4" s="1"/>
  <c r="G690" i="4"/>
  <c r="H690" i="4" s="1"/>
  <c r="I690" i="4" s="1"/>
  <c r="G674" i="4"/>
  <c r="H674" i="4" s="1"/>
  <c r="I674" i="4" s="1"/>
  <c r="G662" i="4"/>
  <c r="H662" i="4" s="1"/>
  <c r="I662" i="4" s="1"/>
  <c r="G650" i="4"/>
  <c r="H650" i="4" s="1"/>
  <c r="I650" i="4" s="1"/>
  <c r="G640" i="4"/>
  <c r="H640" i="4" s="1"/>
  <c r="I640" i="4" s="1"/>
  <c r="G753" i="4"/>
  <c r="H753" i="4" s="1"/>
  <c r="I753" i="4" s="1"/>
  <c r="G730" i="4"/>
  <c r="H730" i="4" s="1"/>
  <c r="I730" i="4" s="1"/>
  <c r="G711" i="4"/>
  <c r="G689" i="4"/>
  <c r="H689" i="4" s="1"/>
  <c r="I689" i="4" s="1"/>
  <c r="G673" i="4"/>
  <c r="H673" i="4" s="1"/>
  <c r="I673" i="4" s="1"/>
  <c r="G661" i="4"/>
  <c r="H661" i="4" s="1"/>
  <c r="I661" i="4" s="1"/>
  <c r="G649" i="4"/>
  <c r="H649" i="4" s="1"/>
  <c r="I649" i="4" s="1"/>
  <c r="G751" i="4"/>
  <c r="H751" i="4" s="1"/>
  <c r="I751" i="4" s="1"/>
  <c r="G729" i="4"/>
  <c r="H729" i="4" s="1"/>
  <c r="I729" i="4" s="1"/>
  <c r="G706" i="4"/>
  <c r="H706" i="4" s="1"/>
  <c r="I706" i="4" s="1"/>
  <c r="G687" i="4"/>
  <c r="H687" i="4" s="1"/>
  <c r="I687" i="4" s="1"/>
  <c r="G671" i="4"/>
  <c r="G658" i="4"/>
  <c r="H658" i="4" s="1"/>
  <c r="I658" i="4" s="1"/>
  <c r="G648" i="4"/>
  <c r="H648" i="4" s="1"/>
  <c r="I648" i="4" s="1"/>
  <c r="G746" i="4"/>
  <c r="H746" i="4" s="1"/>
  <c r="I746" i="4" s="1"/>
  <c r="G727" i="4"/>
  <c r="G705" i="4"/>
  <c r="H705" i="4" s="1"/>
  <c r="I705" i="4" s="1"/>
  <c r="G685" i="4"/>
  <c r="H685" i="4" s="1"/>
  <c r="I685" i="4" s="1"/>
  <c r="G669" i="4"/>
  <c r="H669" i="4" s="1"/>
  <c r="I669" i="4" s="1"/>
  <c r="G657" i="4"/>
  <c r="H657" i="4" s="1"/>
  <c r="I657" i="4" s="1"/>
  <c r="G647" i="4"/>
  <c r="G722" i="4"/>
  <c r="H722" i="4" s="1"/>
  <c r="I722" i="4" s="1"/>
  <c r="G656" i="4"/>
  <c r="H656" i="4" s="1"/>
  <c r="I656" i="4" s="1"/>
  <c r="G721" i="4"/>
  <c r="H721" i="4" s="1"/>
  <c r="I721" i="4" s="1"/>
  <c r="G655" i="4"/>
  <c r="G703" i="4"/>
  <c r="G646" i="4"/>
  <c r="H646" i="4" s="1"/>
  <c r="I646" i="4" s="1"/>
  <c r="G698" i="4"/>
  <c r="H698" i="4" s="1"/>
  <c r="I698" i="4" s="1"/>
  <c r="G645" i="4"/>
  <c r="H645" i="4" s="1"/>
  <c r="I645" i="4" s="1"/>
  <c r="G681" i="4"/>
  <c r="H681" i="4" s="1"/>
  <c r="I681" i="4" s="1"/>
  <c r="G745" i="4"/>
  <c r="H745" i="4" s="1"/>
  <c r="I745" i="4" s="1"/>
  <c r="G743" i="4"/>
  <c r="G682" i="4"/>
  <c r="H682" i="4" s="1"/>
  <c r="I682" i="4" s="1"/>
  <c r="G666" i="4"/>
  <c r="H666" i="4" s="1"/>
  <c r="I666" i="4" s="1"/>
  <c r="G665" i="4"/>
  <c r="H665" i="4" s="1"/>
  <c r="I665" i="4" s="1"/>
  <c r="H465" i="4"/>
  <c r="I465" i="4" s="1"/>
  <c r="H441" i="4"/>
  <c r="I441" i="4" s="1"/>
  <c r="H433" i="4"/>
  <c r="I433" i="4" s="1"/>
  <c r="I425" i="4"/>
  <c r="H425" i="4"/>
  <c r="H385" i="4"/>
  <c r="G505" i="4"/>
  <c r="D172" i="7" l="1"/>
  <c r="D215" i="7"/>
  <c r="D225" i="7"/>
  <c r="I255" i="7"/>
  <c r="D265" i="7" s="1"/>
  <c r="D267" i="7" s="1"/>
  <c r="C275" i="7"/>
  <c r="D283" i="7" s="1"/>
  <c r="I241" i="7"/>
  <c r="D251" i="7" s="1"/>
  <c r="D253" i="7" s="1"/>
  <c r="D205" i="7"/>
  <c r="D235" i="7"/>
  <c r="D171" i="7"/>
  <c r="E171" i="7" s="1"/>
  <c r="A196" i="7" s="1"/>
  <c r="D165" i="7"/>
  <c r="S162" i="6"/>
  <c r="W162" i="6"/>
  <c r="U162" i="6"/>
  <c r="V162" i="6"/>
  <c r="T162" i="6"/>
  <c r="Q162" i="6"/>
  <c r="D776" i="4"/>
  <c r="E776" i="4" s="1"/>
  <c r="F775" i="4" s="1"/>
  <c r="I772" i="4"/>
  <c r="H505" i="4"/>
  <c r="I385" i="4"/>
  <c r="I505" i="4" s="1"/>
  <c r="I606" i="4"/>
  <c r="H606" i="4"/>
  <c r="H695" i="4"/>
  <c r="I695" i="4" s="1"/>
  <c r="H719" i="4"/>
  <c r="I719" i="4" s="1"/>
  <c r="I184" i="4"/>
  <c r="H184" i="4"/>
  <c r="H136" i="4"/>
  <c r="I136" i="4" s="1"/>
  <c r="H208" i="4"/>
  <c r="I208" i="4" s="1"/>
  <c r="H575" i="4"/>
  <c r="I575" i="4" s="1"/>
  <c r="H535" i="4"/>
  <c r="I535" i="4" s="1"/>
  <c r="I547" i="4"/>
  <c r="H547" i="4"/>
  <c r="H518" i="4"/>
  <c r="I518" i="4" s="1"/>
  <c r="H571" i="4"/>
  <c r="I571" i="4" s="1"/>
  <c r="H4" i="4"/>
  <c r="G124" i="4"/>
  <c r="H131" i="4"/>
  <c r="G251" i="4"/>
  <c r="H563" i="4"/>
  <c r="I563" i="4" s="1"/>
  <c r="H631" i="4"/>
  <c r="I631" i="4" s="1"/>
  <c r="H590" i="4"/>
  <c r="I590" i="4" s="1"/>
  <c r="I559" i="4"/>
  <c r="H559" i="4"/>
  <c r="H614" i="4"/>
  <c r="I614" i="4" s="1"/>
  <c r="H583" i="4"/>
  <c r="I583" i="4" s="1"/>
  <c r="I671" i="4"/>
  <c r="H671" i="4"/>
  <c r="H703" i="4"/>
  <c r="I703" i="4" s="1"/>
  <c r="H655" i="4"/>
  <c r="I655" i="4" s="1"/>
  <c r="H735" i="4"/>
  <c r="I735" i="4" s="1"/>
  <c r="H250" i="4"/>
  <c r="I250" i="4" s="1"/>
  <c r="I512" i="4"/>
  <c r="H512" i="4"/>
  <c r="G632" i="4"/>
  <c r="H607" i="4"/>
  <c r="I607" i="4" s="1"/>
  <c r="H598" i="4"/>
  <c r="I598" i="4" s="1"/>
  <c r="H555" i="4"/>
  <c r="I555" i="4" s="1"/>
  <c r="H152" i="4"/>
  <c r="I152" i="4" s="1"/>
  <c r="I566" i="4"/>
  <c r="H566" i="4"/>
  <c r="H711" i="4"/>
  <c r="I711" i="4" s="1"/>
  <c r="H743" i="4"/>
  <c r="I743" i="4" s="1"/>
  <c r="H727" i="4"/>
  <c r="I727" i="4" s="1"/>
  <c r="I200" i="4"/>
  <c r="H200" i="4"/>
  <c r="H149" i="4"/>
  <c r="I149" i="4" s="1"/>
  <c r="H224" i="4"/>
  <c r="I224" i="4" s="1"/>
  <c r="H543" i="4"/>
  <c r="I543" i="4" s="1"/>
  <c r="H567" i="4"/>
  <c r="I567" i="4" s="1"/>
  <c r="H526" i="4"/>
  <c r="I526" i="4" s="1"/>
  <c r="H579" i="4"/>
  <c r="I579" i="4" s="1"/>
  <c r="H550" i="4"/>
  <c r="I550" i="4" s="1"/>
  <c r="I519" i="4"/>
  <c r="H519" i="4"/>
  <c r="H603" i="4"/>
  <c r="I603" i="4" s="1"/>
  <c r="H258" i="4"/>
  <c r="G378" i="4"/>
  <c r="H639" i="4"/>
  <c r="G759" i="4"/>
  <c r="H176" i="4"/>
  <c r="I176" i="4" s="1"/>
  <c r="H144" i="4"/>
  <c r="I144" i="4" s="1"/>
  <c r="H168" i="4"/>
  <c r="I168" i="4" s="1"/>
  <c r="H232" i="4"/>
  <c r="I232" i="4" s="1"/>
  <c r="H595" i="4"/>
  <c r="I595" i="4" s="1"/>
  <c r="H534" i="4"/>
  <c r="I534" i="4" s="1"/>
  <c r="H591" i="4"/>
  <c r="I591" i="4" s="1"/>
  <c r="H574" i="4"/>
  <c r="I574" i="4" s="1"/>
  <c r="I240" i="4"/>
  <c r="H240" i="4"/>
  <c r="H627" i="4"/>
  <c r="I627" i="4" s="1"/>
  <c r="H542" i="4"/>
  <c r="I542" i="4" s="1"/>
  <c r="H630" i="4"/>
  <c r="I630" i="4" s="1"/>
  <c r="I587" i="4"/>
  <c r="H587" i="4"/>
  <c r="H515" i="4"/>
  <c r="I515" i="4" s="1"/>
  <c r="H539" i="4"/>
  <c r="I539" i="4" s="1"/>
  <c r="C766" i="4"/>
  <c r="C770" i="4" s="1"/>
  <c r="C769" i="4"/>
  <c r="H192" i="4"/>
  <c r="I192" i="4" s="1"/>
  <c r="H523" i="4"/>
  <c r="I523" i="4" s="1"/>
  <c r="H647" i="4"/>
  <c r="I647" i="4" s="1"/>
  <c r="H663" i="4"/>
  <c r="I663" i="4" s="1"/>
  <c r="I679" i="4"/>
  <c r="H679" i="4"/>
  <c r="H248" i="4"/>
  <c r="I248" i="4" s="1"/>
  <c r="H531" i="4"/>
  <c r="I531" i="4" s="1"/>
  <c r="H599" i="4"/>
  <c r="I599" i="4" s="1"/>
  <c r="I558" i="4"/>
  <c r="H558" i="4"/>
  <c r="H527" i="4"/>
  <c r="I527" i="4" s="1"/>
  <c r="H582" i="4"/>
  <c r="I582" i="4" s="1"/>
  <c r="H551" i="4"/>
  <c r="I551" i="4" s="1"/>
  <c r="H234" i="7" l="1"/>
  <c r="D239" i="7"/>
  <c r="H214" i="7"/>
  <c r="D219" i="7"/>
  <c r="H204" i="7"/>
  <c r="D209" i="7"/>
  <c r="G253" i="7"/>
  <c r="G252" i="7"/>
  <c r="D284" i="7"/>
  <c r="H224" i="7"/>
  <c r="D229" i="7"/>
  <c r="G266" i="7"/>
  <c r="G267" i="7"/>
  <c r="Q164" i="6"/>
  <c r="D157" i="6" s="1"/>
  <c r="H759" i="4"/>
  <c r="I639" i="4"/>
  <c r="I759" i="4" s="1"/>
  <c r="H632" i="4"/>
  <c r="I632" i="4"/>
  <c r="H251" i="4"/>
  <c r="I131" i="4"/>
  <c r="I251" i="4" s="1"/>
  <c r="H378" i="4"/>
  <c r="I258" i="4"/>
  <c r="I378" i="4" s="1"/>
  <c r="I4" i="4"/>
  <c r="I124" i="4" s="1"/>
  <c r="H124" i="4"/>
  <c r="J252" i="7" l="1"/>
  <c r="G239" i="7"/>
  <c r="G238" i="7"/>
  <c r="G209" i="7"/>
  <c r="G208" i="7"/>
  <c r="J266" i="7"/>
  <c r="G228" i="7"/>
  <c r="G229" i="7"/>
  <c r="G219" i="7"/>
  <c r="G218" i="7"/>
  <c r="D159" i="6"/>
  <c r="D165" i="6" s="1"/>
  <c r="C190" i="6"/>
  <c r="C175" i="6"/>
  <c r="C189" i="6"/>
  <c r="C174" i="6"/>
  <c r="D162" i="6"/>
  <c r="D175" i="6" l="1"/>
  <c r="D228" i="6"/>
  <c r="D232" i="6" s="1"/>
  <c r="D218" i="6"/>
  <c r="D222" i="6" s="1"/>
  <c r="D248" i="6"/>
  <c r="D252" i="6" s="1"/>
  <c r="D268" i="6"/>
  <c r="D272" i="6" s="1"/>
  <c r="D258" i="6"/>
  <c r="D262" i="6" s="1"/>
  <c r="D208" i="6"/>
  <c r="D238" i="6"/>
  <c r="D242" i="6" s="1"/>
  <c r="D168" i="6"/>
  <c r="D174" i="6"/>
  <c r="E174" i="6" s="1"/>
  <c r="A199" i="6" s="1"/>
  <c r="G242" i="6" l="1"/>
  <c r="G241" i="6"/>
  <c r="G262" i="6"/>
  <c r="G261" i="6"/>
  <c r="G272" i="6"/>
  <c r="G271" i="6"/>
  <c r="G251" i="6"/>
  <c r="G252" i="6"/>
  <c r="G222" i="6"/>
  <c r="G221" i="6"/>
  <c r="G232" i="6"/>
  <c r="G231" i="6"/>
</calcChain>
</file>

<file path=xl/sharedStrings.xml><?xml version="1.0" encoding="utf-8"?>
<sst xmlns="http://schemas.openxmlformats.org/spreadsheetml/2006/main" count="3297" uniqueCount="140">
  <si>
    <t>date</t>
  </si>
  <si>
    <t>new_cases</t>
  </si>
  <si>
    <t>new_deaths</t>
  </si>
  <si>
    <t>reproduction_rate</t>
  </si>
  <si>
    <t>icu_patients</t>
  </si>
  <si>
    <t>hosp_patients</t>
  </si>
  <si>
    <t>new_tests</t>
  </si>
  <si>
    <t>positive_rate</t>
  </si>
  <si>
    <t>people_fully_vaccinated</t>
  </si>
  <si>
    <t>X</t>
  </si>
  <si>
    <t>Y</t>
  </si>
  <si>
    <t>X*Y</t>
  </si>
  <si>
    <t>X^2</t>
  </si>
  <si>
    <t>Y^2</t>
  </si>
  <si>
    <t>Independent variable:</t>
  </si>
  <si>
    <t>Dependent variable:</t>
  </si>
  <si>
    <t>new cases</t>
  </si>
  <si>
    <t>reproduction rate</t>
  </si>
  <si>
    <t>Sum</t>
  </si>
  <si>
    <t>n=</t>
  </si>
  <si>
    <t>average(x) =</t>
  </si>
  <si>
    <t>average(y) =</t>
  </si>
  <si>
    <t>=</t>
  </si>
  <si>
    <t>icu patients</t>
  </si>
  <si>
    <t>hospital patients</t>
  </si>
  <si>
    <t>new testes</t>
  </si>
  <si>
    <t>people fully vaccinated</t>
  </si>
  <si>
    <t>positive rate</t>
  </si>
  <si>
    <t>new death</t>
  </si>
  <si>
    <t>new deaths</t>
  </si>
  <si>
    <t>r</t>
  </si>
  <si>
    <t>Comentário: Como r varia entre -1 e 1 e r é muito póximo de 1 então existe uma relação linear muito forte entre as variáveis no sentido positivo</t>
  </si>
  <si>
    <t>r =</t>
  </si>
  <si>
    <t>X1</t>
  </si>
  <si>
    <t>X2</t>
  </si>
  <si>
    <t>X3</t>
  </si>
  <si>
    <t>X4</t>
  </si>
  <si>
    <t>X5</t>
  </si>
  <si>
    <t>X6</t>
  </si>
  <si>
    <t>r^2</t>
  </si>
  <si>
    <t>r^2 =</t>
  </si>
  <si>
    <t>SE=</t>
  </si>
  <si>
    <t>SR=</t>
  </si>
  <si>
    <t>ST=</t>
  </si>
  <si>
    <t>ANOVA</t>
  </si>
  <si>
    <t>Regressão</t>
  </si>
  <si>
    <t>Residual</t>
  </si>
  <si>
    <t>Total</t>
  </si>
  <si>
    <t>gl</t>
  </si>
  <si>
    <t>SQ</t>
  </si>
  <si>
    <t>MQ</t>
  </si>
  <si>
    <t>F</t>
  </si>
  <si>
    <t>Variação Total=</t>
  </si>
  <si>
    <t>Variação não explicada=</t>
  </si>
  <si>
    <t>Variação explicada=</t>
  </si>
  <si>
    <t>Fonte de variação</t>
  </si>
  <si>
    <t>SR</t>
  </si>
  <si>
    <t>SE</t>
  </si>
  <si>
    <t>ST</t>
  </si>
  <si>
    <t>s=</t>
  </si>
  <si>
    <t>Δ=</t>
  </si>
  <si>
    <t>nível de confiança</t>
  </si>
  <si>
    <t>⍺=</t>
  </si>
  <si>
    <t>Sxy=</t>
  </si>
  <si>
    <t>Sxx=</t>
  </si>
  <si>
    <t>Syy=</t>
  </si>
  <si>
    <t>σ≅S=</t>
  </si>
  <si>
    <t>Lim.Inf=</t>
  </si>
  <si>
    <t>Lim.Sup=</t>
  </si>
  <si>
    <t>Parâmetro</t>
  </si>
  <si>
    <t>a</t>
  </si>
  <si>
    <t>b</t>
  </si>
  <si>
    <r>
      <t>Y</t>
    </r>
    <r>
      <rPr>
        <vertAlign val="superscript"/>
        <sz val="12"/>
        <color theme="1"/>
        <rFont val="Calibri (corpo)"/>
      </rPr>
      <t>T</t>
    </r>
    <r>
      <rPr>
        <sz val="10"/>
        <rFont val="Arial"/>
        <family val="2"/>
      </rPr>
      <t>=</t>
    </r>
  </si>
  <si>
    <r>
      <t>Y</t>
    </r>
    <r>
      <rPr>
        <vertAlign val="superscript"/>
        <sz val="12"/>
        <color theme="1"/>
        <rFont val="Calibri (corpo)"/>
      </rPr>
      <t>T</t>
    </r>
    <r>
      <rPr>
        <sz val="10"/>
        <rFont val="Arial"/>
        <family val="2"/>
      </rPr>
      <t>Y=</t>
    </r>
  </si>
  <si>
    <t>Média y =</t>
  </si>
  <si>
    <t>coeficiente de determinação</t>
  </si>
  <si>
    <t>R2=</t>
  </si>
  <si>
    <t>R2ajust=</t>
  </si>
  <si>
    <t>I.C</t>
  </si>
  <si>
    <t>significancia do modelo</t>
  </si>
  <si>
    <t>α=</t>
  </si>
  <si>
    <t>Tabela Anova</t>
  </si>
  <si>
    <t>Coeficiente</t>
  </si>
  <si>
    <t>de</t>
  </si>
  <si>
    <t>β0</t>
  </si>
  <si>
    <t>β1</t>
  </si>
  <si>
    <t>β2</t>
  </si>
  <si>
    <t>β3</t>
  </si>
  <si>
    <t>β6</t>
  </si>
  <si>
    <t>β5</t>
  </si>
  <si>
    <t>β4</t>
  </si>
  <si>
    <t xml:space="preserve">Para os </t>
  </si>
  <si>
    <t>valores</t>
  </si>
  <si>
    <t>esperados</t>
  </si>
  <si>
    <t>E(Y0)</t>
  </si>
  <si>
    <t>x1=</t>
  </si>
  <si>
    <t>x2=</t>
  </si>
  <si>
    <t>x3=</t>
  </si>
  <si>
    <r>
      <t>I.P</t>
    </r>
    <r>
      <rPr>
        <vertAlign val="subscript"/>
        <sz val="10"/>
        <color theme="1"/>
        <rFont val="Calibri (corpo)"/>
      </rPr>
      <t>95%(</t>
    </r>
    <r>
      <rPr>
        <sz val="10"/>
        <rFont val="Arial"/>
        <family val="2"/>
      </rPr>
      <t>(Yo)=</t>
    </r>
  </si>
  <si>
    <t xml:space="preserve">Para </t>
  </si>
  <si>
    <t>previsão</t>
  </si>
  <si>
    <t xml:space="preserve">de </t>
  </si>
  <si>
    <t>resposta</t>
  </si>
  <si>
    <t>Testes</t>
  </si>
  <si>
    <t>hipóteses</t>
  </si>
  <si>
    <t>nível de sifnificância</t>
  </si>
  <si>
    <t>T0=</t>
  </si>
  <si>
    <t>|T0|=</t>
  </si>
  <si>
    <t>RC=</t>
  </si>
  <si>
    <t>erro padrão</t>
  </si>
  <si>
    <t>week1</t>
  </si>
  <si>
    <t>week12</t>
  </si>
  <si>
    <t>week2</t>
  </si>
  <si>
    <t>week3</t>
  </si>
  <si>
    <t>week4</t>
  </si>
  <si>
    <t>week5</t>
  </si>
  <si>
    <t>week6</t>
  </si>
  <si>
    <t>week7</t>
  </si>
  <si>
    <t>week8</t>
  </si>
  <si>
    <t>week9</t>
  </si>
  <si>
    <t>week10</t>
  </si>
  <si>
    <t>week11</t>
  </si>
  <si>
    <t>week13</t>
  </si>
  <si>
    <t>week14</t>
  </si>
  <si>
    <t>week15</t>
  </si>
  <si>
    <t>week17</t>
  </si>
  <si>
    <t>week16</t>
  </si>
  <si>
    <t>x0=</t>
  </si>
  <si>
    <t>Teste</t>
  </si>
  <si>
    <t>da</t>
  </si>
  <si>
    <t>significância</t>
  </si>
  <si>
    <t>regressão</t>
  </si>
  <si>
    <t>S=</t>
  </si>
  <si>
    <t>F=</t>
  </si>
  <si>
    <t>x4=</t>
  </si>
  <si>
    <t>x5=</t>
  </si>
  <si>
    <t>x6=</t>
  </si>
  <si>
    <t>significativo</t>
  </si>
  <si>
    <t>não significativo</t>
  </si>
  <si>
    <r>
      <t>I.P</t>
    </r>
    <r>
      <rPr>
        <vertAlign val="subscript"/>
        <sz val="10"/>
        <color theme="1"/>
        <rFont val="Calibri (corpo)"/>
      </rPr>
      <t>90%(</t>
    </r>
    <r>
      <rPr>
        <sz val="10"/>
        <rFont val="Arial"/>
        <family val="2"/>
      </rPr>
      <t>(Yo)=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</si>
</sst>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7">
    <font>
      <sz val="10"/>
      <name val="Arial"/>
      <family val="2"/>
    </font>
    <font>
      <i/>
      <sz val="10"/>
      <name val="Arial"/>
      <family val="2"/>
    </font>
    <font>
      <i/>
      <sz val="8"/>
      <name val="Arial"/>
      <family val="2"/>
    </font>
    <font>
      <sz val="16"/>
      <name val="Arial"/>
      <family val="2"/>
    </font>
    <font>
      <vertAlign val="superscript"/>
      <sz val="12"/>
      <color theme="1"/>
      <name val="Calibri (corpo)"/>
    </font>
    <font>
      <vertAlign val="subscript"/>
      <sz val="10"/>
      <color theme="1"/>
      <name val="Calibri (corpo)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4">
    <xf numFmtId="0" fontId="0" fillId="0" borderId="0" xfId="0"/>
    <xf numFmtId="164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/>
    <xf numFmtId="0" fontId="0" fillId="2" borderId="0" xfId="0" applyFill="1"/>
    <xf numFmtId="0" fontId="0" fillId="0" borderId="0" xfId="0"/>
    <xf numFmtId="0" fontId="0" fillId="0" borderId="3" xfId="0" applyBorder="1"/>
    <xf numFmtId="0" fontId="0" fillId="0" borderId="4" xfId="0" applyBorder="1"/>
    <xf numFmtId="0" fontId="0" fillId="0" borderId="2" xfId="0" applyBorder="1"/>
    <xf numFmtId="0" fontId="0" fillId="0" borderId="0" xfId="0" applyFill="1"/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 applyBorder="1" applyAlignment="1"/>
    <xf numFmtId="0" fontId="0" fillId="0" borderId="5" xfId="0" applyFill="1" applyBorder="1" applyAlignment="1"/>
    <xf numFmtId="0" fontId="1" fillId="0" borderId="6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6" xfId="0" applyFont="1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5" xfId="0" applyFill="1" applyBorder="1" applyAlignment="1">
      <alignment horizontal="right"/>
    </xf>
    <xf numFmtId="0" fontId="0" fillId="0" borderId="0" xfId="0"/>
    <xf numFmtId="0" fontId="0" fillId="0" borderId="7" xfId="0" applyBorder="1"/>
    <xf numFmtId="0" fontId="0" fillId="0" borderId="8" xfId="0" applyBorder="1"/>
    <xf numFmtId="0" fontId="0" fillId="0" borderId="5" xfId="0" applyBorder="1"/>
    <xf numFmtId="0" fontId="0" fillId="0" borderId="0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 applyAlignment="1">
      <alignment horizontal="right"/>
    </xf>
    <xf numFmtId="0" fontId="0" fillId="0" borderId="10" xfId="0" applyBorder="1"/>
    <xf numFmtId="0" fontId="0" fillId="0" borderId="11" xfId="0" applyBorder="1"/>
    <xf numFmtId="0" fontId="0" fillId="0" borderId="12" xfId="0" applyBorder="1" applyAlignment="1">
      <alignment horizontal="right"/>
    </xf>
    <xf numFmtId="0" fontId="0" fillId="0" borderId="9" xfId="0" applyBorder="1"/>
    <xf numFmtId="0" fontId="0" fillId="0" borderId="13" xfId="0" applyBorder="1"/>
    <xf numFmtId="0" fontId="0" fillId="0" borderId="12" xfId="0" applyBorder="1"/>
    <xf numFmtId="0" fontId="0" fillId="0" borderId="14" xfId="0" applyBorder="1"/>
    <xf numFmtId="0" fontId="0" fillId="0" borderId="15" xfId="0" applyBorder="1" applyAlignment="1">
      <alignment horizontal="right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applyBorder="1" applyAlignment="1">
      <alignment horizontal="right" vertical="center"/>
    </xf>
    <xf numFmtId="0" fontId="0" fillId="0" borderId="18" xfId="0" applyBorder="1"/>
    <xf numFmtId="0" fontId="0" fillId="0" borderId="17" xfId="0" applyBorder="1" applyAlignment="1">
      <alignment horizontal="right"/>
    </xf>
    <xf numFmtId="0" fontId="0" fillId="0" borderId="19" xfId="0" applyBorder="1"/>
    <xf numFmtId="0" fontId="0" fillId="0" borderId="5" xfId="0" applyBorder="1" applyAlignment="1">
      <alignment horizontal="right"/>
    </xf>
    <xf numFmtId="0" fontId="0" fillId="0" borderId="20" xfId="0" applyBorder="1"/>
    <xf numFmtId="0" fontId="2" fillId="0" borderId="0" xfId="0" applyFont="1" applyFill="1" applyBorder="1" applyAlignment="1">
      <alignment horizontal="center"/>
    </xf>
    <xf numFmtId="0" fontId="0" fillId="3" borderId="0" xfId="0" applyFill="1"/>
    <xf numFmtId="0" fontId="0" fillId="0" borderId="22" xfId="0" applyBorder="1"/>
    <xf numFmtId="0" fontId="0" fillId="0" borderId="21" xfId="0" applyBorder="1"/>
    <xf numFmtId="0" fontId="0" fillId="0" borderId="23" xfId="0" applyBorder="1"/>
    <xf numFmtId="0" fontId="0" fillId="0" borderId="1" xfId="0" applyBorder="1" applyAlignment="1">
      <alignment horizontal="right"/>
    </xf>
    <xf numFmtId="0" fontId="1" fillId="0" borderId="24" xfId="0" applyFont="1" applyFill="1" applyBorder="1" applyAlignment="1">
      <alignment horizontal="center"/>
    </xf>
    <xf numFmtId="0" fontId="1" fillId="0" borderId="18" xfId="0" applyFont="1" applyFill="1" applyBorder="1" applyAlignment="1">
      <alignment horizontal="center"/>
    </xf>
    <xf numFmtId="0" fontId="0" fillId="0" borderId="17" xfId="0" applyFill="1" applyBorder="1" applyAlignment="1"/>
    <xf numFmtId="0" fontId="0" fillId="0" borderId="18" xfId="0" applyFill="1" applyBorder="1" applyAlignment="1"/>
    <xf numFmtId="0" fontId="0" fillId="0" borderId="19" xfId="0" applyFill="1" applyBorder="1" applyAlignment="1"/>
    <xf numFmtId="0" fontId="0" fillId="0" borderId="0" xfId="0"/>
    <xf numFmtId="0" fontId="0" fillId="0" borderId="0" xfId="0"/>
    <xf numFmtId="0" fontId="0" fillId="0" borderId="0" xfId="0"/>
    <xf numFmtId="0" fontId="0" fillId="0" borderId="15" xfId="0" applyBorder="1" applyAlignment="1">
      <alignment horizontal="right"/>
    </xf>
    <xf numFmtId="0" fontId="6" fillId="0" borderId="0" xfId="0" applyFont="1"/>
    <xf numFmtId="0" fontId="0" fillId="0" borderId="11" xfId="0" applyBorder="1" applyAlignment="1">
      <alignment horizontal="right"/>
    </xf>
    <xf numFmtId="0" fontId="0" fillId="0" borderId="0" xfId="0" applyAlignment="1">
      <alignment horizontal="right"/>
    </xf>
    <xf numFmtId="0" fontId="0" fillId="0" borderId="0" xfId="0"/>
    <xf numFmtId="0" fontId="0" fillId="0" borderId="0" xfId="0"/>
    <xf numFmtId="0" fontId="0" fillId="0" borderId="11" xfId="0" applyBorder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right"/>
    </xf>
    <xf numFmtId="0" fontId="0" fillId="0" borderId="15" xfId="0" applyFill="1" applyBorder="1" applyAlignment="1">
      <alignment horizontal="right"/>
    </xf>
    <xf numFmtId="0" fontId="6" fillId="0" borderId="0" xfId="0" applyFont="1" applyBorder="1"/>
    <xf numFmtId="0" fontId="0" fillId="0" borderId="0" xfId="0" applyAlignment="1">
      <alignment horizontal="right"/>
    </xf>
    <xf numFmtId="0" fontId="0" fillId="0" borderId="0" xfId="0"/>
    <xf numFmtId="0" fontId="0" fillId="4" borderId="0" xfId="0" applyFill="1"/>
    <xf numFmtId="0" fontId="0" fillId="5" borderId="0" xfId="0" applyFill="1" applyAlignment="1"/>
    <xf numFmtId="0" fontId="0" fillId="0" borderId="0" xfId="0"/>
    <xf numFmtId="0" fontId="0" fillId="0" borderId="11" xfId="0" applyBorder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2800085786942001"/>
                  <c:y val="-0.5383643190434529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'1.1-SLRDaily_NewCases'!$B$4:$B$123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'1.1-SLRDaily_NewCases'!$C$4:$C$123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17-4078-9100-AF92DCCB3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'1.1-SLRDaily_NewCases'!$B$131:$B$250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'1.1-SLRDaily_NewCases'!$C$131:$C$250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21-4D5C-AC6A-089415AF0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2344024329391385"/>
                  <c:y val="-0.215297441170737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'1.1-SLRDaily_NewCases'!$B$258:$B$377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'1.1-SLRDaily_NewCases'!$C$258:$C$377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4-4D04-9288-518A1EFAF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'1.1-SLRDaily_NewCases'!$B$385:$B$504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'1.1-SLRDaily_NewCases'!$C$385:$C$504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DA-487D-B2FE-9A37D66A2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3585403964582256"/>
                  <c:y val="-0.152581656459609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'1.1-SLRDaily_NewCases'!$B$512:$B$631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'1.1-SLRDaily_NewCases'!$C$512:$C$631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78-49A4-AB5A-1E14785E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'1.1-SLRDaily_NewCases'!$B$639:$B$758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'1.1-SLRDaily_NewCases'!$C$639:$C$758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C5-46E4-9584-267144E03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'1.2-SLRDaily_NewDeaths'!$B$4:$B$123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'1.2-SLRDaily_NewDeaths'!$C$4:$C$123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76-441E-B2E2-7BB94A9CF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'1.2-SLRDaily_NewDeaths'!$B$131:$B$250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'1.2-SLRDaily_NewDeaths'!$C$131:$C$250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71-45A9-9374-8C1367A6F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'1.2-SLRDaily_NewDeaths'!$B$258:$B$377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'1.2-SLRDaily_NewDeaths'!$C$258:$C$377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E4-4CAE-AAE6-EA4A1C9F6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1724759405074368"/>
          <c:y val="0.17374999999999999"/>
          <c:w val="0.82053018372703412"/>
          <c:h val="0.7095913531641877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'1.2-SLRDaily_NewDeaths'!$B$385:$B$504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'1.2-SLRDaily_NewDeaths'!$C$385:$C$504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72-421D-B7FC-E762A2858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6.2812381915295604E-2"/>
          <c:y val="0.18300925925925926"/>
          <c:w val="0.87389319525720766"/>
          <c:h val="0.7095913531641877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'1.2-SLRDaily_NewDeaths'!$B$512:$B$631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'1.2-SLRDaily_NewDeaths'!$C$512:$C$631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37-466A-81C4-4AF76383E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'1.2-SLRDaily_NewDeaths'!$B$639:$B$758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'1.2-SLRDaily_NewDeaths'!$C$639:$C$758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AD-4A96-A166-2DBD48C26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9066683639140948"/>
                  <c:y val="-0.50612222879254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'1.3-SLRWeekly_NewCases'!$B$4:$B$20</c:f>
              <c:numCache>
                <c:formatCode>General</c:formatCode>
                <c:ptCount val="17"/>
                <c:pt idx="0">
                  <c:v>0.68710000000000004</c:v>
                </c:pt>
                <c:pt idx="1">
                  <c:v>0.50429999999999997</c:v>
                </c:pt>
                <c:pt idx="2">
                  <c:v>0.47710000000000002</c:v>
                </c:pt>
                <c:pt idx="3">
                  <c:v>0.50860000000000005</c:v>
                </c:pt>
                <c:pt idx="4">
                  <c:v>0.61429999999999996</c:v>
                </c:pt>
                <c:pt idx="5">
                  <c:v>0.66710000000000003</c:v>
                </c:pt>
                <c:pt idx="6">
                  <c:v>0.67600000000000005</c:v>
                </c:pt>
                <c:pt idx="7">
                  <c:v>0.8357</c:v>
                </c:pt>
                <c:pt idx="8">
                  <c:v>0.9657</c:v>
                </c:pt>
                <c:pt idx="9">
                  <c:v>1.1086</c:v>
                </c:pt>
                <c:pt idx="10">
                  <c:v>1.0071000000000001</c:v>
                </c:pt>
                <c:pt idx="11">
                  <c:v>0.96430000000000005</c:v>
                </c:pt>
                <c:pt idx="12">
                  <c:v>0.89</c:v>
                </c:pt>
                <c:pt idx="13">
                  <c:v>0.88</c:v>
                </c:pt>
                <c:pt idx="14">
                  <c:v>1.0128999999999999</c:v>
                </c:pt>
                <c:pt idx="15">
                  <c:v>1.1000000000000001</c:v>
                </c:pt>
                <c:pt idx="16">
                  <c:v>1.1399999999999999</c:v>
                </c:pt>
              </c:numCache>
            </c:numRef>
          </c:xVal>
          <c:yVal>
            <c:numRef>
              <c:f>'1.3-SLRWeekly_NewCases'!$C$4:$C$20</c:f>
              <c:numCache>
                <c:formatCode>General</c:formatCode>
                <c:ptCount val="17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2565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FF-4903-BB9B-41F280E0A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9066683639140948"/>
                  <c:y val="-0.50612222879254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'1.3-SLRWeekly_NewCases'!$B$35:$B$51</c:f>
              <c:numCache>
                <c:formatCode>General</c:formatCode>
                <c:ptCount val="17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1265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</c:numCache>
            </c:numRef>
          </c:xVal>
          <c:yVal>
            <c:numRef>
              <c:f>'1.3-SLRWeekly_NewCases'!$C$35:$C$51</c:f>
              <c:numCache>
                <c:formatCode>General</c:formatCode>
                <c:ptCount val="17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2565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9F-40A6-93D6-C107C4321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9066683639140948"/>
                  <c:y val="-0.50612222879254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'1.3-SLRWeekly_NewCases'!$B$66:$B$82</c:f>
              <c:numCache>
                <c:formatCode>General</c:formatCode>
                <c:ptCount val="17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5100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</c:numCache>
            </c:numRef>
          </c:xVal>
          <c:yVal>
            <c:numRef>
              <c:f>'1.3-SLRWeekly_NewCases'!$C$66:$C$82</c:f>
              <c:numCache>
                <c:formatCode>General</c:formatCode>
                <c:ptCount val="17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2565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69-4A47-881E-9ACFDF634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9066683639140948"/>
                  <c:y val="-0.50612222879254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'1.3-SLRWeekly_NewCases'!$B$97:$B$113</c:f>
              <c:numCache>
                <c:formatCode>General</c:formatCode>
                <c:ptCount val="17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108746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</c:numCache>
            </c:numRef>
          </c:xVal>
          <c:yVal>
            <c:numRef>
              <c:f>'1.3-SLRWeekly_NewCases'!$C$97:$C$113</c:f>
              <c:numCache>
                <c:formatCode>General</c:formatCode>
                <c:ptCount val="17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2565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C2-4FFA-812D-5A7E3F779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9066683639140948"/>
                  <c:y val="-0.50612222879254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'1.3-SLRWeekly_NewCases'!$B$128:$B$144</c:f>
              <c:numCache>
                <c:formatCode>General</c:formatCode>
                <c:ptCount val="17"/>
                <c:pt idx="0">
                  <c:v>0.17910000000000001</c:v>
                </c:pt>
                <c:pt idx="1">
                  <c:v>0.1197</c:v>
                </c:pt>
                <c:pt idx="2">
                  <c:v>7.2300000000000003E-2</c:v>
                </c:pt>
                <c:pt idx="3">
                  <c:v>4.6300000000000001E-2</c:v>
                </c:pt>
                <c:pt idx="4">
                  <c:v>3.3500000000000002E-2</c:v>
                </c:pt>
                <c:pt idx="5">
                  <c:v>3.0800000000000001E-2</c:v>
                </c:pt>
                <c:pt idx="6">
                  <c:v>2.8299999999999999E-2</c:v>
                </c:pt>
                <c:pt idx="7">
                  <c:v>1.4500000000000001E-2</c:v>
                </c:pt>
                <c:pt idx="8">
                  <c:v>1.7299999999999999E-2</c:v>
                </c:pt>
                <c:pt idx="9">
                  <c:v>1.21E-2</c:v>
                </c:pt>
                <c:pt idx="10">
                  <c:v>1.35E-2</c:v>
                </c:pt>
                <c:pt idx="11">
                  <c:v>8.2000000000000007E-3</c:v>
                </c:pt>
                <c:pt idx="12">
                  <c:v>8.3000000000000001E-3</c:v>
                </c:pt>
                <c:pt idx="13">
                  <c:v>8.0000000000000002E-3</c:v>
                </c:pt>
                <c:pt idx="14">
                  <c:v>9.1999999999999998E-3</c:v>
                </c:pt>
                <c:pt idx="15">
                  <c:v>1.0699999999999999E-2</c:v>
                </c:pt>
                <c:pt idx="16">
                  <c:v>1.1299999999999999E-2</c:v>
                </c:pt>
              </c:numCache>
            </c:numRef>
          </c:xVal>
          <c:yVal>
            <c:numRef>
              <c:f>'1.3-SLRWeekly_NewCases'!$C$128:$C$144</c:f>
              <c:numCache>
                <c:formatCode>General</c:formatCode>
                <c:ptCount val="17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2565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28-4B82-B56E-5293E809D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9066683639140948"/>
                  <c:y val="-0.50612222879254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'1.3-SLRWeekly_NewCases'!$B$159:$B$175</c:f>
              <c:numCache>
                <c:formatCode>General</c:formatCode>
                <c:ptCount val="17"/>
                <c:pt idx="0">
                  <c:v>116262</c:v>
                </c:pt>
                <c:pt idx="1">
                  <c:v>208089</c:v>
                </c:pt>
                <c:pt idx="2">
                  <c:v>266858</c:v>
                </c:pt>
                <c:pt idx="3">
                  <c:v>286470</c:v>
                </c:pt>
                <c:pt idx="4">
                  <c:v>317254</c:v>
                </c:pt>
                <c:pt idx="5">
                  <c:v>371084</c:v>
                </c:pt>
                <c:pt idx="6">
                  <c:v>377464</c:v>
                </c:pt>
                <c:pt idx="7">
                  <c:v>510025</c:v>
                </c:pt>
                <c:pt idx="8">
                  <c:v>592953</c:v>
                </c:pt>
                <c:pt idx="9">
                  <c:v>645818</c:v>
                </c:pt>
                <c:pt idx="10">
                  <c:v>701102</c:v>
                </c:pt>
                <c:pt idx="11">
                  <c:v>840420</c:v>
                </c:pt>
                <c:pt idx="12">
                  <c:v>930042</c:v>
                </c:pt>
                <c:pt idx="13">
                  <c:v>1134005</c:v>
                </c:pt>
                <c:pt idx="14">
                  <c:v>1411270</c:v>
                </c:pt>
                <c:pt idx="15">
                  <c:v>1638859</c:v>
                </c:pt>
                <c:pt idx="16">
                  <c:v>1949349</c:v>
                </c:pt>
              </c:numCache>
            </c:numRef>
          </c:xVal>
          <c:yVal>
            <c:numRef>
              <c:f>'1.3-SLRWeekly_NewCases'!$C$159:$C$175</c:f>
              <c:numCache>
                <c:formatCode>General</c:formatCode>
                <c:ptCount val="17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2565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08-4F8F-93B4-D891F9782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9066683639140948"/>
                  <c:y val="-0.50612222879254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'1.4-SLRWeekly_NewDeaths'!$B$4:$B$20</c:f>
              <c:numCache>
                <c:formatCode>General</c:formatCode>
                <c:ptCount val="17"/>
                <c:pt idx="0">
                  <c:v>0.68710000000000004</c:v>
                </c:pt>
                <c:pt idx="1">
                  <c:v>0.50429999999999997</c:v>
                </c:pt>
                <c:pt idx="2">
                  <c:v>0.47710000000000002</c:v>
                </c:pt>
                <c:pt idx="3">
                  <c:v>0.50860000000000005</c:v>
                </c:pt>
                <c:pt idx="4">
                  <c:v>0.61429999999999996</c:v>
                </c:pt>
                <c:pt idx="5">
                  <c:v>0.66710000000000003</c:v>
                </c:pt>
                <c:pt idx="6">
                  <c:v>0.67600000000000005</c:v>
                </c:pt>
                <c:pt idx="7">
                  <c:v>0.8357</c:v>
                </c:pt>
                <c:pt idx="8">
                  <c:v>0.9657</c:v>
                </c:pt>
                <c:pt idx="9">
                  <c:v>1.1086</c:v>
                </c:pt>
                <c:pt idx="10">
                  <c:v>1.0071000000000001</c:v>
                </c:pt>
                <c:pt idx="11">
                  <c:v>0.96430000000000005</c:v>
                </c:pt>
                <c:pt idx="12">
                  <c:v>0.89</c:v>
                </c:pt>
                <c:pt idx="13">
                  <c:v>0.88</c:v>
                </c:pt>
                <c:pt idx="14">
                  <c:v>1.0128999999999999</c:v>
                </c:pt>
                <c:pt idx="15">
                  <c:v>1.1000000000000001</c:v>
                </c:pt>
                <c:pt idx="16">
                  <c:v>1.1399999999999999</c:v>
                </c:pt>
              </c:numCache>
            </c:numRef>
          </c:xVal>
          <c:yVal>
            <c:numRef>
              <c:f>'1.4-SLRWeekly_NewDeaths'!$C$4:$C$20</c:f>
              <c:numCache>
                <c:formatCode>General</c:formatCode>
                <c:ptCount val="17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77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A5-409F-AAAA-38DABF2A7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9066683639140948"/>
                  <c:y val="-0.50612222879254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'1.4-SLRWeekly_NewDeaths'!$B$35:$B$51</c:f>
              <c:numCache>
                <c:formatCode>General</c:formatCode>
                <c:ptCount val="17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1265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</c:numCache>
            </c:numRef>
          </c:xVal>
          <c:yVal>
            <c:numRef>
              <c:f>'1.4-SLRWeekly_NewDeaths'!$C$35:$C$51</c:f>
              <c:numCache>
                <c:formatCode>General</c:formatCode>
                <c:ptCount val="17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77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BA-49D3-8976-B5E95C57A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9066683639140948"/>
                  <c:y val="-0.50612222879254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'1.4-SLRWeekly_NewDeaths'!$B$66:$B$82</c:f>
              <c:numCache>
                <c:formatCode>General</c:formatCode>
                <c:ptCount val="17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5100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</c:numCache>
            </c:numRef>
          </c:xVal>
          <c:yVal>
            <c:numRef>
              <c:f>'1.4-SLRWeekly_NewDeaths'!$C$66:$C$82</c:f>
              <c:numCache>
                <c:formatCode>General</c:formatCode>
                <c:ptCount val="17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77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7D-4246-B80F-F4C5AF90D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9066683639140948"/>
                  <c:y val="-0.50612222879254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'1.4-SLRWeekly_NewDeaths'!$B$97:$B$113</c:f>
              <c:numCache>
                <c:formatCode>General</c:formatCode>
                <c:ptCount val="17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108746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</c:numCache>
            </c:numRef>
          </c:xVal>
          <c:yVal>
            <c:numRef>
              <c:f>'1.4-SLRWeekly_NewDeaths'!$C$97:$C$113</c:f>
              <c:numCache>
                <c:formatCode>General</c:formatCode>
                <c:ptCount val="17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77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00-4067-8E94-5DAC2A9B6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9066683639140948"/>
                  <c:y val="-0.50612222879254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'1.4-SLRWeekly_NewDeaths'!$B$128:$B$144</c:f>
              <c:numCache>
                <c:formatCode>General</c:formatCode>
                <c:ptCount val="17"/>
                <c:pt idx="0">
                  <c:v>0.17910000000000001</c:v>
                </c:pt>
                <c:pt idx="1">
                  <c:v>0.1197</c:v>
                </c:pt>
                <c:pt idx="2">
                  <c:v>7.2300000000000003E-2</c:v>
                </c:pt>
                <c:pt idx="3">
                  <c:v>4.6300000000000001E-2</c:v>
                </c:pt>
                <c:pt idx="4">
                  <c:v>3.3500000000000002E-2</c:v>
                </c:pt>
                <c:pt idx="5">
                  <c:v>3.0800000000000001E-2</c:v>
                </c:pt>
                <c:pt idx="6">
                  <c:v>2.8299999999999999E-2</c:v>
                </c:pt>
                <c:pt idx="7">
                  <c:v>1.4500000000000001E-2</c:v>
                </c:pt>
                <c:pt idx="8">
                  <c:v>1.7299999999999999E-2</c:v>
                </c:pt>
                <c:pt idx="9">
                  <c:v>1.21E-2</c:v>
                </c:pt>
                <c:pt idx="10">
                  <c:v>1.35E-2</c:v>
                </c:pt>
                <c:pt idx="11">
                  <c:v>8.2000000000000007E-3</c:v>
                </c:pt>
                <c:pt idx="12">
                  <c:v>8.3000000000000001E-3</c:v>
                </c:pt>
                <c:pt idx="13">
                  <c:v>8.0000000000000002E-3</c:v>
                </c:pt>
                <c:pt idx="14">
                  <c:v>9.1999999999999998E-3</c:v>
                </c:pt>
                <c:pt idx="15">
                  <c:v>1.0699999999999999E-2</c:v>
                </c:pt>
                <c:pt idx="16">
                  <c:v>1.1299999999999999E-2</c:v>
                </c:pt>
              </c:numCache>
            </c:numRef>
          </c:xVal>
          <c:yVal>
            <c:numRef>
              <c:f>'1.4-SLRWeekly_NewDeaths'!$C$128:$C$144</c:f>
              <c:numCache>
                <c:formatCode>General</c:formatCode>
                <c:ptCount val="17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77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7D-4438-B6AC-3B4860378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Scatter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9066683639140948"/>
                  <c:y val="-0.50612222879254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'1.4-SLRWeekly_NewDeaths'!$B$159:$B$175</c:f>
              <c:numCache>
                <c:formatCode>General</c:formatCode>
                <c:ptCount val="17"/>
                <c:pt idx="0">
                  <c:v>116262</c:v>
                </c:pt>
                <c:pt idx="1">
                  <c:v>208089</c:v>
                </c:pt>
                <c:pt idx="2">
                  <c:v>266858</c:v>
                </c:pt>
                <c:pt idx="3">
                  <c:v>286470</c:v>
                </c:pt>
                <c:pt idx="4">
                  <c:v>317254</c:v>
                </c:pt>
                <c:pt idx="5">
                  <c:v>371084</c:v>
                </c:pt>
                <c:pt idx="6">
                  <c:v>377464</c:v>
                </c:pt>
                <c:pt idx="7">
                  <c:v>510025</c:v>
                </c:pt>
                <c:pt idx="8">
                  <c:v>592953</c:v>
                </c:pt>
                <c:pt idx="9">
                  <c:v>645818</c:v>
                </c:pt>
                <c:pt idx="10">
                  <c:v>701102</c:v>
                </c:pt>
                <c:pt idx="11">
                  <c:v>840420</c:v>
                </c:pt>
                <c:pt idx="12">
                  <c:v>930042</c:v>
                </c:pt>
                <c:pt idx="13">
                  <c:v>1134005</c:v>
                </c:pt>
                <c:pt idx="14">
                  <c:v>1411270</c:v>
                </c:pt>
                <c:pt idx="15">
                  <c:v>1638859</c:v>
                </c:pt>
                <c:pt idx="16">
                  <c:v>1949349</c:v>
                </c:pt>
              </c:numCache>
            </c:numRef>
          </c:xVal>
          <c:yVal>
            <c:numRef>
              <c:f>'1.4-SLRWeekly_NewDeaths'!$C$159:$C$175</c:f>
              <c:numCache>
                <c:formatCode>General</c:formatCode>
                <c:ptCount val="17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77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DB-4A15-B4F6-10D1E776B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29775"/>
        <c:axId val="1142330191"/>
      </c:scatterChart>
      <c:valAx>
        <c:axId val="114232977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30191"/>
        <c:crosses val="autoZero"/>
        <c:crossBetween val="midCat"/>
      </c:valAx>
      <c:valAx>
        <c:axId val="11423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42329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image" Target="../media/image4.png"/><Relationship Id="rId4" Type="http://schemas.openxmlformats.org/officeDocument/2006/relationships/chart" Target="../charts/chart4.xml"/><Relationship Id="rId9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chart" Target="../charts/chart9.xml"/><Relationship Id="rId7" Type="http://schemas.openxmlformats.org/officeDocument/2006/relationships/image" Target="../media/image1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10" Type="http://schemas.openxmlformats.org/officeDocument/2006/relationships/image" Target="../media/image4.png"/><Relationship Id="rId4" Type="http://schemas.openxmlformats.org/officeDocument/2006/relationships/chart" Target="../charts/chart10.xml"/><Relationship Id="rId9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chart" Target="../charts/chart15.xml"/><Relationship Id="rId7" Type="http://schemas.openxmlformats.org/officeDocument/2006/relationships/image" Target="../media/image1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10" Type="http://schemas.openxmlformats.org/officeDocument/2006/relationships/image" Target="../media/image4.png"/><Relationship Id="rId4" Type="http://schemas.openxmlformats.org/officeDocument/2006/relationships/chart" Target="../charts/chart16.xml"/><Relationship Id="rId9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chart" Target="../charts/chart21.xml"/><Relationship Id="rId7" Type="http://schemas.openxmlformats.org/officeDocument/2006/relationships/image" Target="../media/image1.png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10" Type="http://schemas.openxmlformats.org/officeDocument/2006/relationships/image" Target="../media/image4.png"/><Relationship Id="rId4" Type="http://schemas.openxmlformats.org/officeDocument/2006/relationships/chart" Target="../charts/chart22.xml"/><Relationship Id="rId9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203168</xdr:colOff>
      <xdr:row>1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C37A4027-9E1D-465C-9D99-4A32B0389F64}"/>
                </a:ext>
              </a:extLst>
            </xdr:cNvPr>
            <xdr:cNvSpPr txBox="1"/>
          </xdr:nvSpPr>
          <xdr:spPr>
            <a:xfrm>
              <a:off x="4337018" y="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C37A4027-9E1D-465C-9D99-4A32B0389F64}"/>
                </a:ext>
              </a:extLst>
            </xdr:cNvPr>
            <xdr:cNvSpPr txBox="1"/>
          </xdr:nvSpPr>
          <xdr:spPr>
            <a:xfrm>
              <a:off x="4337018" y="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114300</xdr:colOff>
      <xdr:row>1</xdr:row>
      <xdr:rowOff>0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FCF2A545-E18B-4CC8-91E2-1C2F1E2E1C7E}"/>
                </a:ext>
              </a:extLst>
            </xdr:cNvPr>
            <xdr:cNvSpPr txBox="1"/>
          </xdr:nvSpPr>
          <xdr:spPr>
            <a:xfrm>
              <a:off x="5010150" y="1619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FCF2A545-E18B-4CC8-91E2-1C2F1E2E1C7E}"/>
                </a:ext>
              </a:extLst>
            </xdr:cNvPr>
            <xdr:cNvSpPr txBox="1"/>
          </xdr:nvSpPr>
          <xdr:spPr>
            <a:xfrm>
              <a:off x="5010150" y="1619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506940</xdr:colOff>
      <xdr:row>1</xdr:row>
      <xdr:rowOff>4232</xdr:rowOff>
    </xdr:from>
    <xdr:ext cx="1343025" cy="18037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FE66E62D-6350-423F-84C6-16C4D52B2E07}"/>
                </a:ext>
              </a:extLst>
            </xdr:cNvPr>
            <xdr:cNvSpPr txBox="1"/>
          </xdr:nvSpPr>
          <xdr:spPr>
            <a:xfrm>
              <a:off x="6179607" y="162982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FE66E62D-6350-423F-84C6-16C4D52B2E07}"/>
                </a:ext>
              </a:extLst>
            </xdr:cNvPr>
            <xdr:cNvSpPr txBox="1"/>
          </xdr:nvSpPr>
          <xdr:spPr>
            <a:xfrm>
              <a:off x="6179607" y="162982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10</xdr:col>
      <xdr:colOff>9525</xdr:colOff>
      <xdr:row>4</xdr:row>
      <xdr:rowOff>152400</xdr:rowOff>
    </xdr:from>
    <xdr:to>
      <xdr:col>17</xdr:col>
      <xdr:colOff>314325</xdr:colOff>
      <xdr:row>21</xdr:row>
      <xdr:rowOff>142875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AE2A4E0-0A02-DE37-F08C-5CD2AE50F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9</xdr:col>
      <xdr:colOff>555593</xdr:colOff>
      <xdr:row>27</xdr:row>
      <xdr:rowOff>27463</xdr:rowOff>
    </xdr:from>
    <xdr:ext cx="2022861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BEF82E3C-952C-25AE-92B5-A26DF1997AC1}"/>
                </a:ext>
              </a:extLst>
            </xdr:cNvPr>
            <xdr:cNvSpPr txBox="1"/>
          </xdr:nvSpPr>
          <xdr:spPr>
            <a:xfrm>
              <a:off x="6518243" y="439943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BEF82E3C-952C-25AE-92B5-A26DF1997AC1}"/>
                </a:ext>
              </a:extLst>
            </xdr:cNvPr>
            <xdr:cNvSpPr txBox="1"/>
          </xdr:nvSpPr>
          <xdr:spPr>
            <a:xfrm>
              <a:off x="6518243" y="439943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523875</xdr:colOff>
      <xdr:row>38</xdr:row>
      <xdr:rowOff>76200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F2B5840-7060-4B03-5C80-91DC5ACE7807}"/>
                </a:ext>
              </a:extLst>
            </xdr:cNvPr>
            <xdr:cNvSpPr txBox="1"/>
          </xdr:nvSpPr>
          <xdr:spPr>
            <a:xfrm>
              <a:off x="6486525" y="62293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F2B5840-7060-4B03-5C80-91DC5ACE7807}"/>
                </a:ext>
              </a:extLst>
            </xdr:cNvPr>
            <xdr:cNvSpPr txBox="1"/>
          </xdr:nvSpPr>
          <xdr:spPr>
            <a:xfrm>
              <a:off x="6486525" y="62293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19050</xdr:colOff>
      <xdr:row>30</xdr:row>
      <xdr:rowOff>133350</xdr:rowOff>
    </xdr:from>
    <xdr:ext cx="1747914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DE118EA-DB6E-4A6B-911F-EA98FF684286}"/>
                </a:ext>
              </a:extLst>
            </xdr:cNvPr>
            <xdr:cNvSpPr txBox="1"/>
          </xdr:nvSpPr>
          <xdr:spPr>
            <a:xfrm>
              <a:off x="6591300" y="499110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DE118EA-DB6E-4A6B-911F-EA98FF684286}"/>
                </a:ext>
              </a:extLst>
            </xdr:cNvPr>
            <xdr:cNvSpPr txBox="1"/>
          </xdr:nvSpPr>
          <xdr:spPr>
            <a:xfrm>
              <a:off x="6591300" y="499110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𝑥 ̅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9525</xdr:colOff>
      <xdr:row>34</xdr:row>
      <xdr:rowOff>28575</xdr:rowOff>
    </xdr:from>
    <xdr:ext cx="1778628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4DF3A73-9C51-4B86-AD32-2B14D032FAEC}"/>
                </a:ext>
              </a:extLst>
            </xdr:cNvPr>
            <xdr:cNvSpPr txBox="1"/>
          </xdr:nvSpPr>
          <xdr:spPr>
            <a:xfrm>
              <a:off x="6581775" y="553402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4DF3A73-9C51-4B86-AD32-2B14D032FAEC}"/>
                </a:ext>
              </a:extLst>
            </xdr:cNvPr>
            <xdr:cNvSpPr txBox="1"/>
          </xdr:nvSpPr>
          <xdr:spPr>
            <a:xfrm>
              <a:off x="6581775" y="553402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̅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381000</xdr:colOff>
      <xdr:row>43</xdr:row>
      <xdr:rowOff>123825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95F6882-B7C9-5C28-D782-791C160244B6}"/>
                </a:ext>
              </a:extLst>
            </xdr:cNvPr>
            <xdr:cNvSpPr txBox="1"/>
          </xdr:nvSpPr>
          <xdr:spPr>
            <a:xfrm>
              <a:off x="6343650" y="70866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95F6882-B7C9-5C28-D782-791C160244B6}"/>
                </a:ext>
              </a:extLst>
            </xdr:cNvPr>
            <xdr:cNvSpPr txBox="1"/>
          </xdr:nvSpPr>
          <xdr:spPr>
            <a:xfrm>
              <a:off x="6343650" y="70866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123825</xdr:colOff>
      <xdr:row>46</xdr:row>
      <xdr:rowOff>66675</xdr:rowOff>
    </xdr:from>
    <xdr:ext cx="1304925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60F450E2-67D9-4933-87EC-5B751703CDCE}"/>
                </a:ext>
              </a:extLst>
            </xdr:cNvPr>
            <xdr:cNvSpPr txBox="1"/>
          </xdr:nvSpPr>
          <xdr:spPr>
            <a:xfrm>
              <a:off x="6086475" y="751522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60F450E2-67D9-4933-87EC-5B751703CDCE}"/>
                </a:ext>
              </a:extLst>
            </xdr:cNvPr>
            <xdr:cNvSpPr txBox="1"/>
          </xdr:nvSpPr>
          <xdr:spPr>
            <a:xfrm>
              <a:off x="6086475" y="751522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𝑏 ̂=𝑠_𝑥𝑦/𝑠𝑥𝑥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142875</xdr:colOff>
      <xdr:row>49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6C04CD2-0BA8-43CD-8B15-C8F057E3AE11}"/>
                </a:ext>
              </a:extLst>
            </xdr:cNvPr>
            <xdr:cNvSpPr txBox="1"/>
          </xdr:nvSpPr>
          <xdr:spPr>
            <a:xfrm>
              <a:off x="6105525" y="80391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6C04CD2-0BA8-43CD-8B15-C8F057E3AE11}"/>
                </a:ext>
              </a:extLst>
            </xdr:cNvPr>
            <xdr:cNvSpPr txBox="1"/>
          </xdr:nvSpPr>
          <xdr:spPr>
            <a:xfrm>
              <a:off x="6105525" y="80391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𝑎 ̂=𝑦 ̅−𝑏 ̂𝑥 ̅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314324</xdr:colOff>
      <xdr:row>52</xdr:row>
      <xdr:rowOff>114300</xdr:rowOff>
    </xdr:from>
    <xdr:ext cx="216217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D729CB42-3824-44D9-8934-61DBB9871648}"/>
                </a:ext>
              </a:extLst>
            </xdr:cNvPr>
            <xdr:cNvSpPr txBox="1"/>
          </xdr:nvSpPr>
          <xdr:spPr>
            <a:xfrm>
              <a:off x="6267449" y="8534400"/>
              <a:ext cx="216217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=3420,945−2822,53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D729CB42-3824-44D9-8934-61DBB9871648}"/>
                </a:ext>
              </a:extLst>
            </xdr:cNvPr>
            <xdr:cNvSpPr txBox="1"/>
          </xdr:nvSpPr>
          <xdr:spPr>
            <a:xfrm>
              <a:off x="6267449" y="8534400"/>
              <a:ext cx="216217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̂=3420,945−2822,53𝑥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128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CF5D058E-98EE-4C8C-AE80-18175A288AFE}"/>
                </a:ext>
              </a:extLst>
            </xdr:cNvPr>
            <xdr:cNvSpPr txBox="1"/>
          </xdr:nvSpPr>
          <xdr:spPr>
            <a:xfrm>
              <a:off x="4337018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CF5D058E-98EE-4C8C-AE80-18175A288AFE}"/>
                </a:ext>
              </a:extLst>
            </xdr:cNvPr>
            <xdr:cNvSpPr txBox="1"/>
          </xdr:nvSpPr>
          <xdr:spPr>
            <a:xfrm>
              <a:off x="4337018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127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97DDD91-7325-47EC-A8C0-8ED8A813FD60}"/>
                </a:ext>
              </a:extLst>
            </xdr:cNvPr>
            <xdr:cNvSpPr txBox="1"/>
          </xdr:nvSpPr>
          <xdr:spPr>
            <a:xfrm>
              <a:off x="503872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97DDD91-7325-47EC-A8C0-8ED8A813FD60}"/>
                </a:ext>
              </a:extLst>
            </xdr:cNvPr>
            <xdr:cNvSpPr txBox="1"/>
          </xdr:nvSpPr>
          <xdr:spPr>
            <a:xfrm>
              <a:off x="503872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"Y-"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𝑌 ̂")</a:t>
              </a:r>
              <a:r>
                <a:rPr lang="pt-PT" i="0">
                  <a:effectLst/>
                </a:rPr>
                <a:t>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" 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10</xdr:col>
      <xdr:colOff>9525</xdr:colOff>
      <xdr:row>131</xdr:row>
      <xdr:rowOff>152400</xdr:rowOff>
    </xdr:from>
    <xdr:to>
      <xdr:col>17</xdr:col>
      <xdr:colOff>314325</xdr:colOff>
      <xdr:row>148</xdr:row>
      <xdr:rowOff>142875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5F412792-CA72-43AD-881A-AA15726C1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9</xdr:col>
      <xdr:colOff>555593</xdr:colOff>
      <xdr:row>154</xdr:row>
      <xdr:rowOff>27463</xdr:rowOff>
    </xdr:from>
    <xdr:ext cx="2022861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8FE8090-ABC6-4172-9DFF-77D842D1937B}"/>
                </a:ext>
              </a:extLst>
            </xdr:cNvPr>
            <xdr:cNvSpPr txBox="1"/>
          </xdr:nvSpPr>
          <xdr:spPr>
            <a:xfrm>
              <a:off x="6518243" y="439943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8FE8090-ABC6-4172-9DFF-77D842D1937B}"/>
                </a:ext>
              </a:extLst>
            </xdr:cNvPr>
            <xdr:cNvSpPr txBox="1"/>
          </xdr:nvSpPr>
          <xdr:spPr>
            <a:xfrm>
              <a:off x="6518243" y="439943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523875</xdr:colOff>
      <xdr:row>165</xdr:row>
      <xdr:rowOff>76200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BA17ED34-291B-435F-A586-07AA6C185F6C}"/>
                </a:ext>
              </a:extLst>
            </xdr:cNvPr>
            <xdr:cNvSpPr txBox="1"/>
          </xdr:nvSpPr>
          <xdr:spPr>
            <a:xfrm>
              <a:off x="6486525" y="62293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BA17ED34-291B-435F-A586-07AA6C185F6C}"/>
                </a:ext>
              </a:extLst>
            </xdr:cNvPr>
            <xdr:cNvSpPr txBox="1"/>
          </xdr:nvSpPr>
          <xdr:spPr>
            <a:xfrm>
              <a:off x="6486525" y="62293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19050</xdr:colOff>
      <xdr:row>157</xdr:row>
      <xdr:rowOff>133350</xdr:rowOff>
    </xdr:from>
    <xdr:ext cx="1747914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BB9DAD-0806-4428-9624-329E04BBD6AD}"/>
                </a:ext>
              </a:extLst>
            </xdr:cNvPr>
            <xdr:cNvSpPr txBox="1"/>
          </xdr:nvSpPr>
          <xdr:spPr>
            <a:xfrm>
              <a:off x="6591300" y="499110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BB9DAD-0806-4428-9624-329E04BBD6AD}"/>
                </a:ext>
              </a:extLst>
            </xdr:cNvPr>
            <xdr:cNvSpPr txBox="1"/>
          </xdr:nvSpPr>
          <xdr:spPr>
            <a:xfrm>
              <a:off x="6591300" y="499110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𝑥 ̅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9525</xdr:colOff>
      <xdr:row>161</xdr:row>
      <xdr:rowOff>28575</xdr:rowOff>
    </xdr:from>
    <xdr:ext cx="1778628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7FCAE0B-6EE2-4551-8833-7EC2C9C6AE64}"/>
                </a:ext>
              </a:extLst>
            </xdr:cNvPr>
            <xdr:cNvSpPr txBox="1"/>
          </xdr:nvSpPr>
          <xdr:spPr>
            <a:xfrm>
              <a:off x="6581775" y="553402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7FCAE0B-6EE2-4551-8833-7EC2C9C6AE64}"/>
                </a:ext>
              </a:extLst>
            </xdr:cNvPr>
            <xdr:cNvSpPr txBox="1"/>
          </xdr:nvSpPr>
          <xdr:spPr>
            <a:xfrm>
              <a:off x="6581775" y="553402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̅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381000</xdr:colOff>
      <xdr:row>170</xdr:row>
      <xdr:rowOff>123825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22DAA99-544C-4731-B6DD-0A79574B612D}"/>
                </a:ext>
              </a:extLst>
            </xdr:cNvPr>
            <xdr:cNvSpPr txBox="1"/>
          </xdr:nvSpPr>
          <xdr:spPr>
            <a:xfrm>
              <a:off x="6343650" y="70866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22DAA99-544C-4731-B6DD-0A79574B612D}"/>
                </a:ext>
              </a:extLst>
            </xdr:cNvPr>
            <xdr:cNvSpPr txBox="1"/>
          </xdr:nvSpPr>
          <xdr:spPr>
            <a:xfrm>
              <a:off x="6343650" y="70866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123825</xdr:colOff>
      <xdr:row>173</xdr:row>
      <xdr:rowOff>66675</xdr:rowOff>
    </xdr:from>
    <xdr:ext cx="1304925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174EF6B-BB15-417E-9574-6B638BDF27DC}"/>
                </a:ext>
              </a:extLst>
            </xdr:cNvPr>
            <xdr:cNvSpPr txBox="1"/>
          </xdr:nvSpPr>
          <xdr:spPr>
            <a:xfrm>
              <a:off x="6086475" y="751522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174EF6B-BB15-417E-9574-6B638BDF27DC}"/>
                </a:ext>
              </a:extLst>
            </xdr:cNvPr>
            <xdr:cNvSpPr txBox="1"/>
          </xdr:nvSpPr>
          <xdr:spPr>
            <a:xfrm>
              <a:off x="6086475" y="751522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𝑏 ̂=𝑠_𝑥𝑦/𝑠𝑥𝑥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142875</xdr:colOff>
      <xdr:row>176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8E05E04-FCB5-45CE-ADD2-8E88EE58E76B}"/>
                </a:ext>
              </a:extLst>
            </xdr:cNvPr>
            <xdr:cNvSpPr txBox="1"/>
          </xdr:nvSpPr>
          <xdr:spPr>
            <a:xfrm>
              <a:off x="6105525" y="80391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8E05E04-FCB5-45CE-ADD2-8E88EE58E76B}"/>
                </a:ext>
              </a:extLst>
            </xdr:cNvPr>
            <xdr:cNvSpPr txBox="1"/>
          </xdr:nvSpPr>
          <xdr:spPr>
            <a:xfrm>
              <a:off x="6105525" y="80391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𝑎 ̂=𝑦 ̅−𝑏 ̂𝑥 ̅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314324</xdr:colOff>
      <xdr:row>179</xdr:row>
      <xdr:rowOff>114300</xdr:rowOff>
    </xdr:from>
    <xdr:ext cx="269557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40772724-6509-4170-864F-3AE3F7B2FC57}"/>
                </a:ext>
              </a:extLst>
            </xdr:cNvPr>
            <xdr:cNvSpPr txBox="1"/>
          </xdr:nvSpPr>
          <xdr:spPr>
            <a:xfrm>
              <a:off x="6276974" y="29098875"/>
              <a:ext cx="269557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=−147,458+4,3399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40772724-6509-4170-864F-3AE3F7B2FC57}"/>
                </a:ext>
              </a:extLst>
            </xdr:cNvPr>
            <xdr:cNvSpPr txBox="1"/>
          </xdr:nvSpPr>
          <xdr:spPr>
            <a:xfrm>
              <a:off x="6276974" y="29098875"/>
              <a:ext cx="269557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̂=−147,458+4,3399𝑥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255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4EB39D4-2A1F-49AA-A3E1-17E07B1E6929}"/>
                </a:ext>
              </a:extLst>
            </xdr:cNvPr>
            <xdr:cNvSpPr txBox="1"/>
          </xdr:nvSpPr>
          <xdr:spPr>
            <a:xfrm>
              <a:off x="4337018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4EB39D4-2A1F-49AA-A3E1-17E07B1E6929}"/>
                </a:ext>
              </a:extLst>
            </xdr:cNvPr>
            <xdr:cNvSpPr txBox="1"/>
          </xdr:nvSpPr>
          <xdr:spPr>
            <a:xfrm>
              <a:off x="4337018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254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4ECEB73-2B85-4DBD-B501-E48BFC58DDD9}"/>
                </a:ext>
              </a:extLst>
            </xdr:cNvPr>
            <xdr:cNvSpPr txBox="1"/>
          </xdr:nvSpPr>
          <xdr:spPr>
            <a:xfrm>
              <a:off x="503872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4ECEB73-2B85-4DBD-B501-E48BFC58DDD9}"/>
                </a:ext>
              </a:extLst>
            </xdr:cNvPr>
            <xdr:cNvSpPr txBox="1"/>
          </xdr:nvSpPr>
          <xdr:spPr>
            <a:xfrm>
              <a:off x="503872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"Y-"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𝑌 ̂")</a:t>
              </a:r>
              <a:r>
                <a:rPr lang="pt-PT" i="0">
                  <a:effectLst/>
                </a:rPr>
                <a:t>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" 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10</xdr:col>
      <xdr:colOff>9525</xdr:colOff>
      <xdr:row>258</xdr:row>
      <xdr:rowOff>152400</xdr:rowOff>
    </xdr:from>
    <xdr:to>
      <xdr:col>17</xdr:col>
      <xdr:colOff>314325</xdr:colOff>
      <xdr:row>275</xdr:row>
      <xdr:rowOff>142875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B253D435-D344-4347-A58A-EE407C44A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9</xdr:col>
      <xdr:colOff>555593</xdr:colOff>
      <xdr:row>281</xdr:row>
      <xdr:rowOff>27463</xdr:rowOff>
    </xdr:from>
    <xdr:ext cx="2022861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2AFC6D3-AAD7-4032-920C-A5DF9F7EE3DA}"/>
                </a:ext>
              </a:extLst>
            </xdr:cNvPr>
            <xdr:cNvSpPr txBox="1"/>
          </xdr:nvSpPr>
          <xdr:spPr>
            <a:xfrm>
              <a:off x="6518243" y="439943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2AFC6D3-AAD7-4032-920C-A5DF9F7EE3DA}"/>
                </a:ext>
              </a:extLst>
            </xdr:cNvPr>
            <xdr:cNvSpPr txBox="1"/>
          </xdr:nvSpPr>
          <xdr:spPr>
            <a:xfrm>
              <a:off x="6518243" y="439943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523875</xdr:colOff>
      <xdr:row>292</xdr:row>
      <xdr:rowOff>76200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DC07F78C-28E3-49D8-AD2C-0A46F13549C7}"/>
                </a:ext>
              </a:extLst>
            </xdr:cNvPr>
            <xdr:cNvSpPr txBox="1"/>
          </xdr:nvSpPr>
          <xdr:spPr>
            <a:xfrm>
              <a:off x="6486525" y="62293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DC07F78C-28E3-49D8-AD2C-0A46F13549C7}"/>
                </a:ext>
              </a:extLst>
            </xdr:cNvPr>
            <xdr:cNvSpPr txBox="1"/>
          </xdr:nvSpPr>
          <xdr:spPr>
            <a:xfrm>
              <a:off x="6486525" y="62293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19050</xdr:colOff>
      <xdr:row>284</xdr:row>
      <xdr:rowOff>133350</xdr:rowOff>
    </xdr:from>
    <xdr:ext cx="1747914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6B958648-F9F7-4795-AD3B-4B9AC63AC203}"/>
                </a:ext>
              </a:extLst>
            </xdr:cNvPr>
            <xdr:cNvSpPr txBox="1"/>
          </xdr:nvSpPr>
          <xdr:spPr>
            <a:xfrm>
              <a:off x="6591300" y="499110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6B958648-F9F7-4795-AD3B-4B9AC63AC203}"/>
                </a:ext>
              </a:extLst>
            </xdr:cNvPr>
            <xdr:cNvSpPr txBox="1"/>
          </xdr:nvSpPr>
          <xdr:spPr>
            <a:xfrm>
              <a:off x="6591300" y="499110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𝑥 ̅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9525</xdr:colOff>
      <xdr:row>288</xdr:row>
      <xdr:rowOff>28575</xdr:rowOff>
    </xdr:from>
    <xdr:ext cx="1778628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7E0433B9-346B-43DD-B0AB-5C397F01EF83}"/>
                </a:ext>
              </a:extLst>
            </xdr:cNvPr>
            <xdr:cNvSpPr txBox="1"/>
          </xdr:nvSpPr>
          <xdr:spPr>
            <a:xfrm>
              <a:off x="6581775" y="553402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7E0433B9-346B-43DD-B0AB-5C397F01EF83}"/>
                </a:ext>
              </a:extLst>
            </xdr:cNvPr>
            <xdr:cNvSpPr txBox="1"/>
          </xdr:nvSpPr>
          <xdr:spPr>
            <a:xfrm>
              <a:off x="6581775" y="553402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̅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381000</xdr:colOff>
      <xdr:row>297</xdr:row>
      <xdr:rowOff>123825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991A1C9-71D5-4D39-A24E-7B1043BD128F}"/>
                </a:ext>
              </a:extLst>
            </xdr:cNvPr>
            <xdr:cNvSpPr txBox="1"/>
          </xdr:nvSpPr>
          <xdr:spPr>
            <a:xfrm>
              <a:off x="6343650" y="70866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991A1C9-71D5-4D39-A24E-7B1043BD128F}"/>
                </a:ext>
              </a:extLst>
            </xdr:cNvPr>
            <xdr:cNvSpPr txBox="1"/>
          </xdr:nvSpPr>
          <xdr:spPr>
            <a:xfrm>
              <a:off x="6343650" y="70866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123825</xdr:colOff>
      <xdr:row>300</xdr:row>
      <xdr:rowOff>66675</xdr:rowOff>
    </xdr:from>
    <xdr:ext cx="1304925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B940127-E653-4DED-BCC5-8B121A0FABC0}"/>
                </a:ext>
              </a:extLst>
            </xdr:cNvPr>
            <xdr:cNvSpPr txBox="1"/>
          </xdr:nvSpPr>
          <xdr:spPr>
            <a:xfrm>
              <a:off x="6086475" y="751522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B940127-E653-4DED-BCC5-8B121A0FABC0}"/>
                </a:ext>
              </a:extLst>
            </xdr:cNvPr>
            <xdr:cNvSpPr txBox="1"/>
          </xdr:nvSpPr>
          <xdr:spPr>
            <a:xfrm>
              <a:off x="6086475" y="751522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𝑏 ̂=𝑠_𝑥𝑦/𝑠𝑥𝑥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142875</xdr:colOff>
      <xdr:row>303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38557F1B-0A6C-4632-9B3C-F1D8F0684847}"/>
                </a:ext>
              </a:extLst>
            </xdr:cNvPr>
            <xdr:cNvSpPr txBox="1"/>
          </xdr:nvSpPr>
          <xdr:spPr>
            <a:xfrm>
              <a:off x="6105525" y="80391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38557F1B-0A6C-4632-9B3C-F1D8F0684847}"/>
                </a:ext>
              </a:extLst>
            </xdr:cNvPr>
            <xdr:cNvSpPr txBox="1"/>
          </xdr:nvSpPr>
          <xdr:spPr>
            <a:xfrm>
              <a:off x="6105525" y="80391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𝑎 ̂=𝑦 ̅−𝑏 ̂𝑥 ̅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314324</xdr:colOff>
      <xdr:row>306</xdr:row>
      <xdr:rowOff>114300</xdr:rowOff>
    </xdr:from>
    <xdr:ext cx="3067051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FAE83DC-D6FF-4111-AB9A-8ED97F141202}"/>
                </a:ext>
              </a:extLst>
            </xdr:cNvPr>
            <xdr:cNvSpPr txBox="1"/>
          </xdr:nvSpPr>
          <xdr:spPr>
            <a:xfrm>
              <a:off x="6276974" y="49663350"/>
              <a:ext cx="3067051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=15,0883+0,6896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FAE83DC-D6FF-4111-AB9A-8ED97F141202}"/>
                </a:ext>
              </a:extLst>
            </xdr:cNvPr>
            <xdr:cNvSpPr txBox="1"/>
          </xdr:nvSpPr>
          <xdr:spPr>
            <a:xfrm>
              <a:off x="6276974" y="49663350"/>
              <a:ext cx="3067051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̂=15,0883+0,6896𝑥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382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A4F1F63-4B53-49F0-8B47-420995D42CE8}"/>
                </a:ext>
              </a:extLst>
            </xdr:cNvPr>
            <xdr:cNvSpPr txBox="1"/>
          </xdr:nvSpPr>
          <xdr:spPr>
            <a:xfrm>
              <a:off x="4337018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A4F1F63-4B53-49F0-8B47-420995D42CE8}"/>
                </a:ext>
              </a:extLst>
            </xdr:cNvPr>
            <xdr:cNvSpPr txBox="1"/>
          </xdr:nvSpPr>
          <xdr:spPr>
            <a:xfrm>
              <a:off x="4337018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171449</xdr:colOff>
      <xdr:row>382</xdr:row>
      <xdr:rowOff>9525</xdr:rowOff>
    </xdr:from>
    <xdr:ext cx="3905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A523E723-72F6-497D-8129-B0B7BFD4DA6A}"/>
                </a:ext>
              </a:extLst>
            </xdr:cNvPr>
            <xdr:cNvSpPr txBox="1"/>
          </xdr:nvSpPr>
          <xdr:spPr>
            <a:xfrm>
              <a:off x="5067299" y="61864875"/>
              <a:ext cx="3905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A523E723-72F6-497D-8129-B0B7BFD4DA6A}"/>
                </a:ext>
              </a:extLst>
            </xdr:cNvPr>
            <xdr:cNvSpPr txBox="1"/>
          </xdr:nvSpPr>
          <xdr:spPr>
            <a:xfrm>
              <a:off x="5067299" y="61864875"/>
              <a:ext cx="3905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381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AF4F7BEB-BBC9-4DE9-8361-B7F9ACB80808}"/>
                </a:ext>
              </a:extLst>
            </xdr:cNvPr>
            <xdr:cNvSpPr txBox="1"/>
          </xdr:nvSpPr>
          <xdr:spPr>
            <a:xfrm>
              <a:off x="503872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AF4F7BEB-BBC9-4DE9-8361-B7F9ACB80808}"/>
                </a:ext>
              </a:extLst>
            </xdr:cNvPr>
            <xdr:cNvSpPr txBox="1"/>
          </xdr:nvSpPr>
          <xdr:spPr>
            <a:xfrm>
              <a:off x="503872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"Y-"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𝑌 ̂")</a:t>
              </a:r>
              <a:r>
                <a:rPr lang="pt-PT" i="0">
                  <a:effectLst/>
                </a:rPr>
                <a:t>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" 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10</xdr:col>
      <xdr:colOff>9525</xdr:colOff>
      <xdr:row>385</xdr:row>
      <xdr:rowOff>152400</xdr:rowOff>
    </xdr:from>
    <xdr:to>
      <xdr:col>17</xdr:col>
      <xdr:colOff>314325</xdr:colOff>
      <xdr:row>402</xdr:row>
      <xdr:rowOff>142875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350B94B9-E9D4-4722-9CB8-EF7D92BCF5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9</xdr:col>
      <xdr:colOff>555593</xdr:colOff>
      <xdr:row>408</xdr:row>
      <xdr:rowOff>27463</xdr:rowOff>
    </xdr:from>
    <xdr:ext cx="2022861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BC7BC57-ACF2-407F-826C-CC271BCC4D1A}"/>
                </a:ext>
              </a:extLst>
            </xdr:cNvPr>
            <xdr:cNvSpPr txBox="1"/>
          </xdr:nvSpPr>
          <xdr:spPr>
            <a:xfrm>
              <a:off x="6518243" y="439943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BC7BC57-ACF2-407F-826C-CC271BCC4D1A}"/>
                </a:ext>
              </a:extLst>
            </xdr:cNvPr>
            <xdr:cNvSpPr txBox="1"/>
          </xdr:nvSpPr>
          <xdr:spPr>
            <a:xfrm>
              <a:off x="6518243" y="439943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523875</xdr:colOff>
      <xdr:row>419</xdr:row>
      <xdr:rowOff>76200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2DD01A2-6CA7-48B4-89BC-A0336EADD549}"/>
                </a:ext>
              </a:extLst>
            </xdr:cNvPr>
            <xdr:cNvSpPr txBox="1"/>
          </xdr:nvSpPr>
          <xdr:spPr>
            <a:xfrm>
              <a:off x="6486525" y="62293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2DD01A2-6CA7-48B4-89BC-A0336EADD549}"/>
                </a:ext>
              </a:extLst>
            </xdr:cNvPr>
            <xdr:cNvSpPr txBox="1"/>
          </xdr:nvSpPr>
          <xdr:spPr>
            <a:xfrm>
              <a:off x="6486525" y="62293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19050</xdr:colOff>
      <xdr:row>411</xdr:row>
      <xdr:rowOff>133350</xdr:rowOff>
    </xdr:from>
    <xdr:ext cx="1747914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24495FDE-7661-41F4-92F3-76FF82D71721}"/>
                </a:ext>
              </a:extLst>
            </xdr:cNvPr>
            <xdr:cNvSpPr txBox="1"/>
          </xdr:nvSpPr>
          <xdr:spPr>
            <a:xfrm>
              <a:off x="6591300" y="499110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24495FDE-7661-41F4-92F3-76FF82D71721}"/>
                </a:ext>
              </a:extLst>
            </xdr:cNvPr>
            <xdr:cNvSpPr txBox="1"/>
          </xdr:nvSpPr>
          <xdr:spPr>
            <a:xfrm>
              <a:off x="6591300" y="499110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𝑥 ̅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9525</xdr:colOff>
      <xdr:row>415</xdr:row>
      <xdr:rowOff>28575</xdr:rowOff>
    </xdr:from>
    <xdr:ext cx="1778628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E5C709BF-656C-474F-A153-313CE5176E91}"/>
                </a:ext>
              </a:extLst>
            </xdr:cNvPr>
            <xdr:cNvSpPr txBox="1"/>
          </xdr:nvSpPr>
          <xdr:spPr>
            <a:xfrm>
              <a:off x="6581775" y="553402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E5C709BF-656C-474F-A153-313CE5176E91}"/>
                </a:ext>
              </a:extLst>
            </xdr:cNvPr>
            <xdr:cNvSpPr txBox="1"/>
          </xdr:nvSpPr>
          <xdr:spPr>
            <a:xfrm>
              <a:off x="6581775" y="553402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̅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381000</xdr:colOff>
      <xdr:row>424</xdr:row>
      <xdr:rowOff>123825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F9357675-113B-4124-A9A1-B59FF6706331}"/>
                </a:ext>
              </a:extLst>
            </xdr:cNvPr>
            <xdr:cNvSpPr txBox="1"/>
          </xdr:nvSpPr>
          <xdr:spPr>
            <a:xfrm>
              <a:off x="6343650" y="70866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F9357675-113B-4124-A9A1-B59FF6706331}"/>
                </a:ext>
              </a:extLst>
            </xdr:cNvPr>
            <xdr:cNvSpPr txBox="1"/>
          </xdr:nvSpPr>
          <xdr:spPr>
            <a:xfrm>
              <a:off x="6343650" y="70866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123825</xdr:colOff>
      <xdr:row>427</xdr:row>
      <xdr:rowOff>66675</xdr:rowOff>
    </xdr:from>
    <xdr:ext cx="1304925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8A2E705-042C-445A-93D8-6CC8A281F352}"/>
                </a:ext>
              </a:extLst>
            </xdr:cNvPr>
            <xdr:cNvSpPr txBox="1"/>
          </xdr:nvSpPr>
          <xdr:spPr>
            <a:xfrm>
              <a:off x="6086475" y="751522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8A2E705-042C-445A-93D8-6CC8A281F352}"/>
                </a:ext>
              </a:extLst>
            </xdr:cNvPr>
            <xdr:cNvSpPr txBox="1"/>
          </xdr:nvSpPr>
          <xdr:spPr>
            <a:xfrm>
              <a:off x="6086475" y="751522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𝑏 ̂=𝑠_𝑥𝑦/𝑠𝑥𝑥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142875</xdr:colOff>
      <xdr:row>430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A747598E-94A1-47EE-99AD-E8747025AA64}"/>
                </a:ext>
              </a:extLst>
            </xdr:cNvPr>
            <xdr:cNvSpPr txBox="1"/>
          </xdr:nvSpPr>
          <xdr:spPr>
            <a:xfrm>
              <a:off x="6105525" y="80391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A747598E-94A1-47EE-99AD-E8747025AA64}"/>
                </a:ext>
              </a:extLst>
            </xdr:cNvPr>
            <xdr:cNvSpPr txBox="1"/>
          </xdr:nvSpPr>
          <xdr:spPr>
            <a:xfrm>
              <a:off x="6105525" y="80391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𝑎 ̂=𝑦 ̅−𝑏 ̂𝑥 ̅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314324</xdr:colOff>
      <xdr:row>433</xdr:row>
      <xdr:rowOff>114300</xdr:rowOff>
    </xdr:from>
    <xdr:ext cx="2628901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3BF8D346-D0C7-48F6-ABF2-822F242A3A22}"/>
                </a:ext>
              </a:extLst>
            </xdr:cNvPr>
            <xdr:cNvSpPr txBox="1"/>
          </xdr:nvSpPr>
          <xdr:spPr>
            <a:xfrm>
              <a:off x="6276974" y="70227825"/>
              <a:ext cx="2628901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=887,5941+0,0049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3BF8D346-D0C7-48F6-ABF2-822F242A3A22}"/>
                </a:ext>
              </a:extLst>
            </xdr:cNvPr>
            <xdr:cNvSpPr txBox="1"/>
          </xdr:nvSpPr>
          <xdr:spPr>
            <a:xfrm>
              <a:off x="6276974" y="70227825"/>
              <a:ext cx="2628901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̂=887,5941+0,0049𝑥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509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CC2CDDD-AA40-4A8D-9EC8-BDE068F122AD}"/>
                </a:ext>
              </a:extLst>
            </xdr:cNvPr>
            <xdr:cNvSpPr txBox="1"/>
          </xdr:nvSpPr>
          <xdr:spPr>
            <a:xfrm>
              <a:off x="4337018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CC2CDDD-AA40-4A8D-9EC8-BDE068F122AD}"/>
                </a:ext>
              </a:extLst>
            </xdr:cNvPr>
            <xdr:cNvSpPr txBox="1"/>
          </xdr:nvSpPr>
          <xdr:spPr>
            <a:xfrm>
              <a:off x="4337018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508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5F0456E9-B4B9-4829-8D2A-D79A78506003}"/>
                </a:ext>
              </a:extLst>
            </xdr:cNvPr>
            <xdr:cNvSpPr txBox="1"/>
          </xdr:nvSpPr>
          <xdr:spPr>
            <a:xfrm>
              <a:off x="503872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5F0456E9-B4B9-4829-8D2A-D79A78506003}"/>
                </a:ext>
              </a:extLst>
            </xdr:cNvPr>
            <xdr:cNvSpPr txBox="1"/>
          </xdr:nvSpPr>
          <xdr:spPr>
            <a:xfrm>
              <a:off x="503872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"Y-"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𝑌 ̂")</a:t>
              </a:r>
              <a:r>
                <a:rPr lang="pt-PT" i="0">
                  <a:effectLst/>
                </a:rPr>
                <a:t>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" 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10</xdr:col>
      <xdr:colOff>9525</xdr:colOff>
      <xdr:row>512</xdr:row>
      <xdr:rowOff>152400</xdr:rowOff>
    </xdr:from>
    <xdr:to>
      <xdr:col>17</xdr:col>
      <xdr:colOff>314325</xdr:colOff>
      <xdr:row>529</xdr:row>
      <xdr:rowOff>142875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51AA2158-AEA1-4DAF-AA88-983B15160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9</xdr:col>
      <xdr:colOff>555593</xdr:colOff>
      <xdr:row>535</xdr:row>
      <xdr:rowOff>27463</xdr:rowOff>
    </xdr:from>
    <xdr:ext cx="2022861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4A40037D-27E5-4270-9DA5-35FBC0D7134D}"/>
                </a:ext>
              </a:extLst>
            </xdr:cNvPr>
            <xdr:cNvSpPr txBox="1"/>
          </xdr:nvSpPr>
          <xdr:spPr>
            <a:xfrm>
              <a:off x="6518243" y="439943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4A40037D-27E5-4270-9DA5-35FBC0D7134D}"/>
                </a:ext>
              </a:extLst>
            </xdr:cNvPr>
            <xdr:cNvSpPr txBox="1"/>
          </xdr:nvSpPr>
          <xdr:spPr>
            <a:xfrm>
              <a:off x="6518243" y="439943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523875</xdr:colOff>
      <xdr:row>546</xdr:row>
      <xdr:rowOff>76200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64EEE9C-28F4-4657-8438-474FBECD69E6}"/>
                </a:ext>
              </a:extLst>
            </xdr:cNvPr>
            <xdr:cNvSpPr txBox="1"/>
          </xdr:nvSpPr>
          <xdr:spPr>
            <a:xfrm>
              <a:off x="6486525" y="62293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64EEE9C-28F4-4657-8438-474FBECD69E6}"/>
                </a:ext>
              </a:extLst>
            </xdr:cNvPr>
            <xdr:cNvSpPr txBox="1"/>
          </xdr:nvSpPr>
          <xdr:spPr>
            <a:xfrm>
              <a:off x="6486525" y="62293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19050</xdr:colOff>
      <xdr:row>538</xdr:row>
      <xdr:rowOff>133350</xdr:rowOff>
    </xdr:from>
    <xdr:ext cx="1747914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B1E3FF7D-9D0C-4167-981A-B3A6289A3AB0}"/>
                </a:ext>
              </a:extLst>
            </xdr:cNvPr>
            <xdr:cNvSpPr txBox="1"/>
          </xdr:nvSpPr>
          <xdr:spPr>
            <a:xfrm>
              <a:off x="6591300" y="499110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B1E3FF7D-9D0C-4167-981A-B3A6289A3AB0}"/>
                </a:ext>
              </a:extLst>
            </xdr:cNvPr>
            <xdr:cNvSpPr txBox="1"/>
          </xdr:nvSpPr>
          <xdr:spPr>
            <a:xfrm>
              <a:off x="6591300" y="499110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𝑥 ̅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9525</xdr:colOff>
      <xdr:row>542</xdr:row>
      <xdr:rowOff>28575</xdr:rowOff>
    </xdr:from>
    <xdr:ext cx="1778628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3D316CB-B23E-46C7-A324-4812D3BB7B63}"/>
                </a:ext>
              </a:extLst>
            </xdr:cNvPr>
            <xdr:cNvSpPr txBox="1"/>
          </xdr:nvSpPr>
          <xdr:spPr>
            <a:xfrm>
              <a:off x="6581775" y="553402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3D316CB-B23E-46C7-A324-4812D3BB7B63}"/>
                </a:ext>
              </a:extLst>
            </xdr:cNvPr>
            <xdr:cNvSpPr txBox="1"/>
          </xdr:nvSpPr>
          <xdr:spPr>
            <a:xfrm>
              <a:off x="6581775" y="553402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̅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381000</xdr:colOff>
      <xdr:row>551</xdr:row>
      <xdr:rowOff>123825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AC8A385-8C34-4769-BE1E-51C6A2A235E7}"/>
                </a:ext>
              </a:extLst>
            </xdr:cNvPr>
            <xdr:cNvSpPr txBox="1"/>
          </xdr:nvSpPr>
          <xdr:spPr>
            <a:xfrm>
              <a:off x="6343650" y="70866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AC8A385-8C34-4769-BE1E-51C6A2A235E7}"/>
                </a:ext>
              </a:extLst>
            </xdr:cNvPr>
            <xdr:cNvSpPr txBox="1"/>
          </xdr:nvSpPr>
          <xdr:spPr>
            <a:xfrm>
              <a:off x="6343650" y="70866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123825</xdr:colOff>
      <xdr:row>554</xdr:row>
      <xdr:rowOff>66675</xdr:rowOff>
    </xdr:from>
    <xdr:ext cx="1304925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8A96FA4-0011-4CFB-8DEC-3D87BE7ABEBA}"/>
                </a:ext>
              </a:extLst>
            </xdr:cNvPr>
            <xdr:cNvSpPr txBox="1"/>
          </xdr:nvSpPr>
          <xdr:spPr>
            <a:xfrm>
              <a:off x="6086475" y="751522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8A96FA4-0011-4CFB-8DEC-3D87BE7ABEBA}"/>
                </a:ext>
              </a:extLst>
            </xdr:cNvPr>
            <xdr:cNvSpPr txBox="1"/>
          </xdr:nvSpPr>
          <xdr:spPr>
            <a:xfrm>
              <a:off x="6086475" y="751522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𝑏 ̂=𝑠_𝑥𝑦/𝑠𝑥𝑥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142875</xdr:colOff>
      <xdr:row>557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FE94706-F2D7-4F59-8098-9BE0A16C16AF}"/>
                </a:ext>
              </a:extLst>
            </xdr:cNvPr>
            <xdr:cNvSpPr txBox="1"/>
          </xdr:nvSpPr>
          <xdr:spPr>
            <a:xfrm>
              <a:off x="6105525" y="80391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FE94706-F2D7-4F59-8098-9BE0A16C16AF}"/>
                </a:ext>
              </a:extLst>
            </xdr:cNvPr>
            <xdr:cNvSpPr txBox="1"/>
          </xdr:nvSpPr>
          <xdr:spPr>
            <a:xfrm>
              <a:off x="6105525" y="80391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𝑎 ̂=𝑦 ̅−𝑏 ̂𝑥 ̅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314324</xdr:colOff>
      <xdr:row>560</xdr:row>
      <xdr:rowOff>114300</xdr:rowOff>
    </xdr:from>
    <xdr:ext cx="256222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B833333-301F-445E-B060-3624AC9D89CB}"/>
                </a:ext>
              </a:extLst>
            </xdr:cNvPr>
            <xdr:cNvSpPr txBox="1"/>
          </xdr:nvSpPr>
          <xdr:spPr>
            <a:xfrm>
              <a:off x="6362699" y="90792300"/>
              <a:ext cx="256222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=−38,3165+30999,76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B833333-301F-445E-B060-3624AC9D89CB}"/>
                </a:ext>
              </a:extLst>
            </xdr:cNvPr>
            <xdr:cNvSpPr txBox="1"/>
          </xdr:nvSpPr>
          <xdr:spPr>
            <a:xfrm>
              <a:off x="6362699" y="90792300"/>
              <a:ext cx="256222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̂=−38,3165+30999,76𝑥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636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D88D3508-78C2-479D-A76D-343B3B01BCA1}"/>
                </a:ext>
              </a:extLst>
            </xdr:cNvPr>
            <xdr:cNvSpPr txBox="1"/>
          </xdr:nvSpPr>
          <xdr:spPr>
            <a:xfrm>
              <a:off x="4337018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D88D3508-78C2-479D-A76D-343B3B01BCA1}"/>
                </a:ext>
              </a:extLst>
            </xdr:cNvPr>
            <xdr:cNvSpPr txBox="1"/>
          </xdr:nvSpPr>
          <xdr:spPr>
            <a:xfrm>
              <a:off x="4337018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171450</xdr:colOff>
      <xdr:row>636</xdr:row>
      <xdr:rowOff>9525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68B56EAB-C18A-467C-B65E-DAB52572702E}"/>
                </a:ext>
              </a:extLst>
            </xdr:cNvPr>
            <xdr:cNvSpPr txBox="1"/>
          </xdr:nvSpPr>
          <xdr:spPr>
            <a:xfrm>
              <a:off x="4914900" y="17145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𝑌</m:t>
                      </m:r>
                    </m:e>
                  </m:acc>
                </m:oMath>
              </a14:m>
              <a:r>
                <a:rPr lang="pt-PT" sz="1100"/>
                <a:t>-Y</a:t>
              </a:r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68B56EAB-C18A-467C-B65E-DAB52572702E}"/>
                </a:ext>
              </a:extLst>
            </xdr:cNvPr>
            <xdr:cNvSpPr txBox="1"/>
          </xdr:nvSpPr>
          <xdr:spPr>
            <a:xfrm>
              <a:off x="4914900" y="17145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r>
                <a:rPr lang="pt-PT" sz="1100"/>
                <a:t>-Y</a:t>
              </a:r>
            </a:p>
          </xdr:txBody>
        </xdr:sp>
      </mc:Fallback>
    </mc:AlternateContent>
    <xdr:clientData/>
  </xdr:oneCellAnchor>
  <xdr:oneCellAnchor>
    <xdr:from>
      <xdr:col>7</xdr:col>
      <xdr:colOff>295274</xdr:colOff>
      <xdr:row>635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21FE0D0B-4392-4349-8A34-791D056520B2}"/>
                </a:ext>
              </a:extLst>
            </xdr:cNvPr>
            <xdr:cNvSpPr txBox="1"/>
          </xdr:nvSpPr>
          <xdr:spPr>
            <a:xfrm>
              <a:off x="503872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21FE0D0B-4392-4349-8A34-791D056520B2}"/>
                </a:ext>
              </a:extLst>
            </xdr:cNvPr>
            <xdr:cNvSpPr txBox="1"/>
          </xdr:nvSpPr>
          <xdr:spPr>
            <a:xfrm>
              <a:off x="503872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"Y-"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𝑌 ̂")</a:t>
              </a:r>
              <a:r>
                <a:rPr lang="pt-PT" i="0">
                  <a:effectLst/>
                </a:rPr>
                <a:t>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" 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10</xdr:col>
      <xdr:colOff>9525</xdr:colOff>
      <xdr:row>639</xdr:row>
      <xdr:rowOff>152400</xdr:rowOff>
    </xdr:from>
    <xdr:to>
      <xdr:col>17</xdr:col>
      <xdr:colOff>314325</xdr:colOff>
      <xdr:row>656</xdr:row>
      <xdr:rowOff>142875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2F9A3DBA-C5D2-4108-86D1-B8E0B2100A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9</xdr:col>
      <xdr:colOff>555593</xdr:colOff>
      <xdr:row>662</xdr:row>
      <xdr:rowOff>27463</xdr:rowOff>
    </xdr:from>
    <xdr:ext cx="2022861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53FFEE21-72F7-4F72-96B3-DE0A129859DF}"/>
                </a:ext>
              </a:extLst>
            </xdr:cNvPr>
            <xdr:cNvSpPr txBox="1"/>
          </xdr:nvSpPr>
          <xdr:spPr>
            <a:xfrm>
              <a:off x="6518243" y="439943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53FFEE21-72F7-4F72-96B3-DE0A129859DF}"/>
                </a:ext>
              </a:extLst>
            </xdr:cNvPr>
            <xdr:cNvSpPr txBox="1"/>
          </xdr:nvSpPr>
          <xdr:spPr>
            <a:xfrm>
              <a:off x="6518243" y="439943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523875</xdr:colOff>
      <xdr:row>673</xdr:row>
      <xdr:rowOff>76200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40CCB2D0-D109-4AF6-8C43-517061C9C626}"/>
                </a:ext>
              </a:extLst>
            </xdr:cNvPr>
            <xdr:cNvSpPr txBox="1"/>
          </xdr:nvSpPr>
          <xdr:spPr>
            <a:xfrm>
              <a:off x="6486525" y="62293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40CCB2D0-D109-4AF6-8C43-517061C9C626}"/>
                </a:ext>
              </a:extLst>
            </xdr:cNvPr>
            <xdr:cNvSpPr txBox="1"/>
          </xdr:nvSpPr>
          <xdr:spPr>
            <a:xfrm>
              <a:off x="6486525" y="62293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19050</xdr:colOff>
      <xdr:row>665</xdr:row>
      <xdr:rowOff>133350</xdr:rowOff>
    </xdr:from>
    <xdr:ext cx="1747914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BCDD63DB-B4DD-4E41-9716-CA1B22108E58}"/>
                </a:ext>
              </a:extLst>
            </xdr:cNvPr>
            <xdr:cNvSpPr txBox="1"/>
          </xdr:nvSpPr>
          <xdr:spPr>
            <a:xfrm>
              <a:off x="6591300" y="499110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BCDD63DB-B4DD-4E41-9716-CA1B22108E58}"/>
                </a:ext>
              </a:extLst>
            </xdr:cNvPr>
            <xdr:cNvSpPr txBox="1"/>
          </xdr:nvSpPr>
          <xdr:spPr>
            <a:xfrm>
              <a:off x="6591300" y="499110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𝑥 ̅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9525</xdr:colOff>
      <xdr:row>669</xdr:row>
      <xdr:rowOff>28575</xdr:rowOff>
    </xdr:from>
    <xdr:ext cx="1778628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BA0A0D3D-0137-48AF-A01E-83F4BFFA212C}"/>
                </a:ext>
              </a:extLst>
            </xdr:cNvPr>
            <xdr:cNvSpPr txBox="1"/>
          </xdr:nvSpPr>
          <xdr:spPr>
            <a:xfrm>
              <a:off x="6581775" y="553402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BA0A0D3D-0137-48AF-A01E-83F4BFFA212C}"/>
                </a:ext>
              </a:extLst>
            </xdr:cNvPr>
            <xdr:cNvSpPr txBox="1"/>
          </xdr:nvSpPr>
          <xdr:spPr>
            <a:xfrm>
              <a:off x="6581775" y="553402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̅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381000</xdr:colOff>
      <xdr:row>678</xdr:row>
      <xdr:rowOff>123825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7E31DA-92C1-490E-B875-F9ED1F1883CE}"/>
                </a:ext>
              </a:extLst>
            </xdr:cNvPr>
            <xdr:cNvSpPr txBox="1"/>
          </xdr:nvSpPr>
          <xdr:spPr>
            <a:xfrm>
              <a:off x="6343650" y="70866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7E31DA-92C1-490E-B875-F9ED1F1883CE}"/>
                </a:ext>
              </a:extLst>
            </xdr:cNvPr>
            <xdr:cNvSpPr txBox="1"/>
          </xdr:nvSpPr>
          <xdr:spPr>
            <a:xfrm>
              <a:off x="6343650" y="70866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123825</xdr:colOff>
      <xdr:row>681</xdr:row>
      <xdr:rowOff>66675</xdr:rowOff>
    </xdr:from>
    <xdr:ext cx="1304925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988731C-7DAE-4352-8BFA-984F25F82C4C}"/>
                </a:ext>
              </a:extLst>
            </xdr:cNvPr>
            <xdr:cNvSpPr txBox="1"/>
          </xdr:nvSpPr>
          <xdr:spPr>
            <a:xfrm>
              <a:off x="6086475" y="751522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988731C-7DAE-4352-8BFA-984F25F82C4C}"/>
                </a:ext>
              </a:extLst>
            </xdr:cNvPr>
            <xdr:cNvSpPr txBox="1"/>
          </xdr:nvSpPr>
          <xdr:spPr>
            <a:xfrm>
              <a:off x="6086475" y="751522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𝑏 ̂=𝑠_𝑥𝑦/𝑠𝑥𝑥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142875</xdr:colOff>
      <xdr:row>684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959F722B-ADDD-447D-BA28-4DEF343CF59D}"/>
                </a:ext>
              </a:extLst>
            </xdr:cNvPr>
            <xdr:cNvSpPr txBox="1"/>
          </xdr:nvSpPr>
          <xdr:spPr>
            <a:xfrm>
              <a:off x="6105525" y="80391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959F722B-ADDD-447D-BA28-4DEF343CF59D}"/>
                </a:ext>
              </a:extLst>
            </xdr:cNvPr>
            <xdr:cNvSpPr txBox="1"/>
          </xdr:nvSpPr>
          <xdr:spPr>
            <a:xfrm>
              <a:off x="6105525" y="80391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𝑎 ̂=𝑦 ̅−𝑏 ̂𝑥 ̅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419099</xdr:colOff>
      <xdr:row>687</xdr:row>
      <xdr:rowOff>114301</xdr:rowOff>
    </xdr:from>
    <xdr:ext cx="280987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C65EFE7-D30A-43B2-B264-ED0D4E4B777B}"/>
                </a:ext>
              </a:extLst>
            </xdr:cNvPr>
            <xdr:cNvSpPr txBox="1"/>
          </xdr:nvSpPr>
          <xdr:spPr>
            <a:xfrm>
              <a:off x="7705724" y="111499651"/>
              <a:ext cx="280987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=2030,776−0,0014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C65EFE7-D30A-43B2-B264-ED0D4E4B777B}"/>
                </a:ext>
              </a:extLst>
            </xdr:cNvPr>
            <xdr:cNvSpPr txBox="1"/>
          </xdr:nvSpPr>
          <xdr:spPr>
            <a:xfrm>
              <a:off x="7705724" y="111499651"/>
              <a:ext cx="280987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̂=2030,776−0,0014𝑥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742950</xdr:colOff>
      <xdr:row>38</xdr:row>
      <xdr:rowOff>152400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C028FF2-CC13-4F0D-9842-173334112121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C028FF2-CC13-4F0D-9842-173334112121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742950</xdr:colOff>
      <xdr:row>165</xdr:row>
      <xdr:rowOff>152400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9AA2885-1F0E-4B2C-8133-D5575511DA0A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9AA2885-1F0E-4B2C-8133-D5575511DA0A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742950</xdr:colOff>
      <xdr:row>292</xdr:row>
      <xdr:rowOff>152400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27B3C185-1832-4088-9BD4-85C0C67241CB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27B3C185-1832-4088-9BD4-85C0C67241CB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742950</xdr:colOff>
      <xdr:row>419</xdr:row>
      <xdr:rowOff>152400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D2C10719-0996-4AF5-85D6-F6177A8629D9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D2C10719-0996-4AF5-85D6-F6177A8629D9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742950</xdr:colOff>
      <xdr:row>546</xdr:row>
      <xdr:rowOff>152400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F060E95-99A7-44F9-95C2-BBFADA4E4A84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F060E95-99A7-44F9-95C2-BBFADA4E4A84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742950</xdr:colOff>
      <xdr:row>673</xdr:row>
      <xdr:rowOff>152400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3D084D24-F8C6-4C28-8ECF-17766E5C6D89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3D084D24-F8C6-4C28-8ECF-17766E5C6D89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13</xdr:col>
      <xdr:colOff>76201</xdr:colOff>
      <xdr:row>762</xdr:row>
      <xdr:rowOff>17394</xdr:rowOff>
    </xdr:from>
    <xdr:to>
      <xdr:col>15</xdr:col>
      <xdr:colOff>392906</xdr:colOff>
      <xdr:row>773</xdr:row>
      <xdr:rowOff>76200</xdr:rowOff>
    </xdr:to>
    <xdr:pic>
      <xdr:nvPicPr>
        <xdr:cNvPr id="84" name="Imagem 83" descr="Imagem">
          <a:extLst>
            <a:ext uri="{FF2B5EF4-FFF2-40B4-BE49-F238E27FC236}">
              <a16:creationId xmlns:a16="http://schemas.microsoft.com/office/drawing/2014/main" id="{CF12CF04-8762-D5C5-EF7E-FCAEC2D3B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1" y="123404244"/>
          <a:ext cx="1990724" cy="18495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104775</xdr:colOff>
      <xdr:row>128</xdr:row>
      <xdr:rowOff>9525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F9E0EAEA-A85E-4AA4-9889-8B6B9ED4C8CC}"/>
                </a:ext>
              </a:extLst>
            </xdr:cNvPr>
            <xdr:cNvSpPr txBox="1"/>
          </xdr:nvSpPr>
          <xdr:spPr>
            <a:xfrm>
              <a:off x="5000625" y="207359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F9E0EAEA-A85E-4AA4-9889-8B6B9ED4C8CC}"/>
                </a:ext>
              </a:extLst>
            </xdr:cNvPr>
            <xdr:cNvSpPr txBox="1"/>
          </xdr:nvSpPr>
          <xdr:spPr>
            <a:xfrm>
              <a:off x="5000625" y="207359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95250</xdr:colOff>
      <xdr:row>255</xdr:row>
      <xdr:rowOff>9525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2F9C80B2-E874-4F1E-A94C-172D58ACAFCD}"/>
                </a:ext>
              </a:extLst>
            </xdr:cNvPr>
            <xdr:cNvSpPr txBox="1"/>
          </xdr:nvSpPr>
          <xdr:spPr>
            <a:xfrm>
              <a:off x="4991100" y="41300400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2F9C80B2-E874-4F1E-A94C-172D58ACAFCD}"/>
                </a:ext>
              </a:extLst>
            </xdr:cNvPr>
            <xdr:cNvSpPr txBox="1"/>
          </xdr:nvSpPr>
          <xdr:spPr>
            <a:xfrm>
              <a:off x="4991100" y="41300400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85725</xdr:colOff>
      <xdr:row>509</xdr:row>
      <xdr:rowOff>0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5B1AE13-32DB-4844-9FF3-098BA333465D}"/>
                </a:ext>
              </a:extLst>
            </xdr:cNvPr>
            <xdr:cNvSpPr txBox="1"/>
          </xdr:nvSpPr>
          <xdr:spPr>
            <a:xfrm>
              <a:off x="4981575" y="824198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5B1AE13-32DB-4844-9FF3-098BA333465D}"/>
                </a:ext>
              </a:extLst>
            </xdr:cNvPr>
            <xdr:cNvSpPr txBox="1"/>
          </xdr:nvSpPr>
          <xdr:spPr>
            <a:xfrm>
              <a:off x="4981575" y="824198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11</xdr:col>
      <xdr:colOff>419100</xdr:colOff>
      <xdr:row>773</xdr:row>
      <xdr:rowOff>142875</xdr:rowOff>
    </xdr:from>
    <xdr:to>
      <xdr:col>17</xdr:col>
      <xdr:colOff>169645</xdr:colOff>
      <xdr:row>780</xdr:row>
      <xdr:rowOff>76352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6C80226-7E12-6FF2-E4E2-51973C3AF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77275" y="125320425"/>
          <a:ext cx="4124901" cy="1086002"/>
        </a:xfrm>
        <a:prstGeom prst="rect">
          <a:avLst/>
        </a:prstGeom>
      </xdr:spPr>
    </xdr:pic>
    <xdr:clientData/>
  </xdr:twoCellAnchor>
  <xdr:oneCellAnchor>
    <xdr:from>
      <xdr:col>1</xdr:col>
      <xdr:colOff>953559</xdr:colOff>
      <xdr:row>784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34439EA-A07F-4CD8-B4B8-5FDFFB395026}"/>
                </a:ext>
              </a:extLst>
            </xdr:cNvPr>
            <xdr:cNvSpPr txBox="1"/>
          </xdr:nvSpPr>
          <xdr:spPr>
            <a:xfrm>
              <a:off x="1563159" y="1271026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9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34439EA-A07F-4CD8-B4B8-5FDFFB395026}"/>
                </a:ext>
              </a:extLst>
            </xdr:cNvPr>
            <xdr:cNvSpPr txBox="1"/>
          </xdr:nvSpPr>
          <xdr:spPr>
            <a:xfrm>
              <a:off x="1563159" y="1271026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4</xdr:col>
      <xdr:colOff>628650</xdr:colOff>
      <xdr:row>783</xdr:row>
      <xdr:rowOff>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119116-CD57-4E9D-AF73-4E161BEA101B}"/>
                </a:ext>
              </a:extLst>
            </xdr:cNvPr>
            <xdr:cNvSpPr txBox="1"/>
          </xdr:nvSpPr>
          <xdr:spPr>
            <a:xfrm>
              <a:off x="3752850" y="12682537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9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0119116-CD57-4E9D-AF73-4E161BEA101B}"/>
                </a:ext>
              </a:extLst>
            </xdr:cNvPr>
            <xdr:cNvSpPr txBox="1"/>
          </xdr:nvSpPr>
          <xdr:spPr>
            <a:xfrm>
              <a:off x="3752850" y="12682537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9</xdr:col>
      <xdr:colOff>352425</xdr:colOff>
      <xdr:row>767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A78E1B76-B55F-414D-9834-462071E31D7E}"/>
                </a:ext>
              </a:extLst>
            </xdr:cNvPr>
            <xdr:cNvSpPr txBox="1"/>
          </xdr:nvSpPr>
          <xdr:spPr>
            <a:xfrm>
              <a:off x="7477125" y="12435839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A78E1B76-B55F-414D-9834-462071E31D7E}"/>
                </a:ext>
              </a:extLst>
            </xdr:cNvPr>
            <xdr:cNvSpPr txBox="1"/>
          </xdr:nvSpPr>
          <xdr:spPr>
            <a:xfrm>
              <a:off x="7477125" y="12435839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333375</xdr:colOff>
      <xdr:row>770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1ED4FD1F-FED7-4800-9E55-ABED12315772}"/>
                </a:ext>
              </a:extLst>
            </xdr:cNvPr>
            <xdr:cNvSpPr txBox="1"/>
          </xdr:nvSpPr>
          <xdr:spPr>
            <a:xfrm>
              <a:off x="7458075" y="1246822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1ED4FD1F-FED7-4800-9E55-ABED12315772}"/>
                </a:ext>
              </a:extLst>
            </xdr:cNvPr>
            <xdr:cNvSpPr txBox="1"/>
          </xdr:nvSpPr>
          <xdr:spPr>
            <a:xfrm>
              <a:off x="7458075" y="1246822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953559</xdr:colOff>
      <xdr:row>791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85A7BB4-37A1-4ED6-B6D5-8C3C4B4A5AFE}"/>
                </a:ext>
              </a:extLst>
            </xdr:cNvPr>
            <xdr:cNvSpPr txBox="1"/>
          </xdr:nvSpPr>
          <xdr:spPr>
            <a:xfrm>
              <a:off x="1563159" y="1271121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9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85A7BB4-37A1-4ED6-B6D5-8C3C4B4A5AFE}"/>
                </a:ext>
              </a:extLst>
            </xdr:cNvPr>
            <xdr:cNvSpPr txBox="1"/>
          </xdr:nvSpPr>
          <xdr:spPr>
            <a:xfrm>
              <a:off x="1563159" y="1271121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5</xdr:col>
      <xdr:colOff>57150</xdr:colOff>
      <xdr:row>789</xdr:row>
      <xdr:rowOff>152400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BC43107-BC1A-4306-80F0-FCF318BB7D8B}"/>
                </a:ext>
              </a:extLst>
            </xdr:cNvPr>
            <xdr:cNvSpPr txBox="1"/>
          </xdr:nvSpPr>
          <xdr:spPr>
            <a:xfrm>
              <a:off x="3981450" y="12796837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9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BC43107-BC1A-4306-80F0-FCF318BB7D8B}"/>
                </a:ext>
              </a:extLst>
            </xdr:cNvPr>
            <xdr:cNvSpPr txBox="1"/>
          </xdr:nvSpPr>
          <xdr:spPr>
            <a:xfrm>
              <a:off x="3981450" y="12796837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9</xdr:col>
      <xdr:colOff>257175</xdr:colOff>
      <xdr:row>772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ADFCE5-D7A8-4EAC-91A4-AD4D35D9EC24}"/>
                </a:ext>
              </a:extLst>
            </xdr:cNvPr>
            <xdr:cNvSpPr txBox="1"/>
          </xdr:nvSpPr>
          <xdr:spPr>
            <a:xfrm>
              <a:off x="7381875" y="12500610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ADFCE5-D7A8-4EAC-91A4-AD4D35D9EC24}"/>
                </a:ext>
              </a:extLst>
            </xdr:cNvPr>
            <xdr:cNvSpPr txBox="1"/>
          </xdr:nvSpPr>
          <xdr:spPr>
            <a:xfrm>
              <a:off x="7381875" y="12500610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20</xdr:col>
      <xdr:colOff>404813</xdr:colOff>
      <xdr:row>799</xdr:row>
      <xdr:rowOff>47625</xdr:rowOff>
    </xdr:from>
    <xdr:to>
      <xdr:col>26</xdr:col>
      <xdr:colOff>238611</xdr:colOff>
      <xdr:row>803</xdr:row>
      <xdr:rowOff>19139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6AFF97F5-6506-E6C0-34EC-6B1E4B3EE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68563" y="133230938"/>
          <a:ext cx="3477110" cy="638264"/>
        </a:xfrm>
        <a:prstGeom prst="rect">
          <a:avLst/>
        </a:prstGeom>
      </xdr:spPr>
    </xdr:pic>
    <xdr:clientData/>
  </xdr:twoCellAnchor>
  <xdr:oneCellAnchor>
    <xdr:from>
      <xdr:col>1</xdr:col>
      <xdr:colOff>953559</xdr:colOff>
      <xdr:row>800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2B01ACA-8A26-430A-AEE9-442206A1088C}"/>
                </a:ext>
              </a:extLst>
            </xdr:cNvPr>
            <xdr:cNvSpPr txBox="1"/>
          </xdr:nvSpPr>
          <xdr:spPr>
            <a:xfrm>
              <a:off x="1560778" y="1307983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0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2B01ACA-8A26-430A-AEE9-442206A1088C}"/>
                </a:ext>
              </a:extLst>
            </xdr:cNvPr>
            <xdr:cNvSpPr txBox="1"/>
          </xdr:nvSpPr>
          <xdr:spPr>
            <a:xfrm>
              <a:off x="1560778" y="1307983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4</xdr:col>
      <xdr:colOff>426244</xdr:colOff>
      <xdr:row>799</xdr:row>
      <xdr:rowOff>11906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4F8A827-0A0E-4E9E-9239-64D0298D4A18}"/>
                </a:ext>
              </a:extLst>
            </xdr:cNvPr>
            <xdr:cNvSpPr txBox="1"/>
          </xdr:nvSpPr>
          <xdr:spPr>
            <a:xfrm>
              <a:off x="3545682" y="133195219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0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4F8A827-0A0E-4E9E-9239-64D0298D4A18}"/>
                </a:ext>
              </a:extLst>
            </xdr:cNvPr>
            <xdr:cNvSpPr txBox="1"/>
          </xdr:nvSpPr>
          <xdr:spPr>
            <a:xfrm>
              <a:off x="3545682" y="133195219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810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4024640-2454-4574-A099-57FFDE0D96A5}"/>
                </a:ext>
              </a:extLst>
            </xdr:cNvPr>
            <xdr:cNvSpPr txBox="1"/>
          </xdr:nvSpPr>
          <xdr:spPr>
            <a:xfrm>
              <a:off x="1560778" y="1334653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0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4024640-2454-4574-A099-57FFDE0D96A5}"/>
                </a:ext>
              </a:extLst>
            </xdr:cNvPr>
            <xdr:cNvSpPr txBox="1"/>
          </xdr:nvSpPr>
          <xdr:spPr>
            <a:xfrm>
              <a:off x="1560778" y="1334653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4</xdr:col>
      <xdr:colOff>283369</xdr:colOff>
      <xdr:row>809</xdr:row>
      <xdr:rowOff>11906</xdr:rowOff>
    </xdr:from>
    <xdr:ext cx="1323974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A1E87C8-12FF-4EE4-8CFE-4B550BBA1AD5}"/>
                </a:ext>
              </a:extLst>
            </xdr:cNvPr>
            <xdr:cNvSpPr txBox="1"/>
          </xdr:nvSpPr>
          <xdr:spPr>
            <a:xfrm>
              <a:off x="3402807" y="134909719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1+</m:t>
                        </m:r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0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A1E87C8-12FF-4EE4-8CFE-4B550BBA1AD5}"/>
                </a:ext>
              </a:extLst>
            </xdr:cNvPr>
            <xdr:cNvSpPr txBox="1"/>
          </xdr:nvSpPr>
          <xdr:spPr>
            <a:xfrm>
              <a:off x="3402807" y="134909719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1+1/𝑛+(𝑥0−𝑥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twoCellAnchor editAs="oneCell">
    <xdr:from>
      <xdr:col>21</xdr:col>
      <xdr:colOff>83344</xdr:colOff>
      <xdr:row>810</xdr:row>
      <xdr:rowOff>35718</xdr:rowOff>
    </xdr:from>
    <xdr:to>
      <xdr:col>30</xdr:col>
      <xdr:colOff>29330</xdr:colOff>
      <xdr:row>814</xdr:row>
      <xdr:rowOff>64390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1FC9DDE0-8B0C-AAA2-0609-FFAC9E3AC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454313" y="135100218"/>
          <a:ext cx="5410955" cy="695422"/>
        </a:xfrm>
        <a:prstGeom prst="rect">
          <a:avLst/>
        </a:prstGeom>
      </xdr:spPr>
    </xdr:pic>
    <xdr:clientData/>
  </xdr:twoCellAnchor>
  <xdr:oneCellAnchor>
    <xdr:from>
      <xdr:col>1</xdr:col>
      <xdr:colOff>212913</xdr:colOff>
      <xdr:row>819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091F395B-06C6-43A8-82DD-7695107CEE08}"/>
                </a:ext>
              </a:extLst>
            </xdr:cNvPr>
            <xdr:cNvSpPr txBox="1"/>
          </xdr:nvSpPr>
          <xdr:spPr>
            <a:xfrm>
              <a:off x="822513" y="439349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091F395B-06C6-43A8-82DD-7695107CEE08}"/>
                </a:ext>
              </a:extLst>
            </xdr:cNvPr>
            <xdr:cNvSpPr txBox="1"/>
          </xdr:nvSpPr>
          <xdr:spPr>
            <a:xfrm>
              <a:off x="822513" y="439349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𝐻0:𝑎=0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821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6FF34BF4-1AFC-4845-BD81-25BB250779FA}"/>
                </a:ext>
              </a:extLst>
            </xdr:cNvPr>
            <xdr:cNvSpPr txBox="1"/>
          </xdr:nvSpPr>
          <xdr:spPr>
            <a:xfrm>
              <a:off x="833717" y="442811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6FF34BF4-1AFC-4845-BD81-25BB250779FA}"/>
                </a:ext>
              </a:extLst>
            </xdr:cNvPr>
            <xdr:cNvSpPr txBox="1"/>
          </xdr:nvSpPr>
          <xdr:spPr>
            <a:xfrm>
              <a:off x="833717" y="442811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𝐻1:𝑎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6</xdr:col>
      <xdr:colOff>571500</xdr:colOff>
      <xdr:row>821</xdr:row>
      <xdr:rowOff>145675</xdr:rowOff>
    </xdr:from>
    <xdr:ext cx="65" cy="172227"/>
    <xdr:sp macro="" textlink="">
      <xdr:nvSpPr>
        <xdr:cNvPr id="108" name="CaixaDeTexto 107">
          <a:extLst>
            <a:ext uri="{FF2B5EF4-FFF2-40B4-BE49-F238E27FC236}">
              <a16:creationId xmlns:a16="http://schemas.microsoft.com/office/drawing/2014/main" id="{CF2BF8B7-4889-440C-8EBC-03EC99A5AE36}"/>
            </a:ext>
          </a:extLst>
        </xdr:cNvPr>
        <xdr:cNvSpPr txBox="1"/>
      </xdr:nvSpPr>
      <xdr:spPr>
        <a:xfrm>
          <a:off x="5095875" y="13709136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t-PT" sz="1100"/>
        </a:p>
      </xdr:txBody>
    </xdr:sp>
    <xdr:clientData/>
  </xdr:oneCellAnchor>
  <xdr:oneCellAnchor>
    <xdr:from>
      <xdr:col>1</xdr:col>
      <xdr:colOff>953559</xdr:colOff>
      <xdr:row>828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209C780-9F7B-40CC-B874-ED8E1CBC243E}"/>
                </a:ext>
              </a:extLst>
            </xdr:cNvPr>
            <xdr:cNvSpPr txBox="1"/>
          </xdr:nvSpPr>
          <xdr:spPr>
            <a:xfrm>
              <a:off x="1401234" y="454067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0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209C780-9F7B-40CC-B874-ED8E1CBC243E}"/>
                </a:ext>
              </a:extLst>
            </xdr:cNvPr>
            <xdr:cNvSpPr txBox="1"/>
          </xdr:nvSpPr>
          <xdr:spPr>
            <a:xfrm>
              <a:off x="1401234" y="454067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212913</xdr:colOff>
      <xdr:row>837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B89E9C33-9940-4475-B31C-A0B82E7F3502}"/>
                </a:ext>
              </a:extLst>
            </xdr:cNvPr>
            <xdr:cNvSpPr txBox="1"/>
          </xdr:nvSpPr>
          <xdr:spPr>
            <a:xfrm>
              <a:off x="820132" y="13671316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B89E9C33-9940-4475-B31C-A0B82E7F3502}"/>
                </a:ext>
              </a:extLst>
            </xdr:cNvPr>
            <xdr:cNvSpPr txBox="1"/>
          </xdr:nvSpPr>
          <xdr:spPr>
            <a:xfrm>
              <a:off x="820132" y="13671316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𝐻0:𝑏=0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839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6915977-2989-47CE-9426-21E4696EADE7}"/>
                </a:ext>
              </a:extLst>
            </xdr:cNvPr>
            <xdr:cNvSpPr txBox="1"/>
          </xdr:nvSpPr>
          <xdr:spPr>
            <a:xfrm>
              <a:off x="831336" y="137068952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6915977-2989-47CE-9426-21E4696EADE7}"/>
                </a:ext>
              </a:extLst>
            </xdr:cNvPr>
            <xdr:cNvSpPr txBox="1"/>
          </xdr:nvSpPr>
          <xdr:spPr>
            <a:xfrm>
              <a:off x="831336" y="137068952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</xdr:col>
      <xdr:colOff>112058</xdr:colOff>
      <xdr:row>837</xdr:row>
      <xdr:rowOff>91889</xdr:rowOff>
    </xdr:from>
    <xdr:ext cx="1361393" cy="54918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F04CD9DA-C4C4-486A-A932-A86BA2011174}"/>
                </a:ext>
              </a:extLst>
            </xdr:cNvPr>
            <xdr:cNvSpPr txBox="1"/>
          </xdr:nvSpPr>
          <xdr:spPr>
            <a:xfrm>
              <a:off x="2398058" y="139704577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F04CD9DA-C4C4-486A-A932-A86BA2011174}"/>
                </a:ext>
              </a:extLst>
            </xdr:cNvPr>
            <xdr:cNvSpPr txBox="1"/>
          </xdr:nvSpPr>
          <xdr:spPr>
            <a:xfrm>
              <a:off x="2398058" y="139704577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𝑇_𝑏=(𝑏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𝑏_0)/(</a:t>
              </a:r>
              <a:r>
                <a:rPr lang="pt-PT" sz="1400" b="0" i="0">
                  <a:latin typeface="Cambria Math" panose="02040503050406030204" pitchFamily="18" charset="0"/>
                </a:rPr>
                <a:t>𝑆/√(𝑆_𝑥𝑥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953559</xdr:colOff>
      <xdr:row>846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828D1C7-4AE9-4C4E-B749-189E823A03A6}"/>
                </a:ext>
              </a:extLst>
            </xdr:cNvPr>
            <xdr:cNvSpPr txBox="1"/>
          </xdr:nvSpPr>
          <xdr:spPr>
            <a:xfrm>
              <a:off x="1560778" y="1382278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1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828D1C7-4AE9-4C4E-B749-189E823A03A6}"/>
                </a:ext>
              </a:extLst>
            </xdr:cNvPr>
            <xdr:cNvSpPr txBox="1"/>
          </xdr:nvSpPr>
          <xdr:spPr>
            <a:xfrm>
              <a:off x="1560778" y="1382278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809626</xdr:colOff>
      <xdr:row>819</xdr:row>
      <xdr:rowOff>83342</xdr:rowOff>
    </xdr:from>
    <xdr:ext cx="1361393" cy="876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55F81632-06F7-4D5A-94BA-E4D2B9186F04}"/>
                </a:ext>
              </a:extLst>
            </xdr:cNvPr>
            <xdr:cNvSpPr txBox="1"/>
          </xdr:nvSpPr>
          <xdr:spPr>
            <a:xfrm>
              <a:off x="3095626" y="136695655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acc>
                                  <m:accPr>
                                    <m:chr m:val="̅"/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sSup>
                                      <m:sSupPr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  <m:sup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acc>
                              </m:num>
                              <m:den>
                                <m:sSub>
                                  <m:sSubPr>
                                    <m:ctrlP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𝑆</m:t>
                                    </m:r>
                                  </m:e>
                                  <m:sub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𝑥𝑥</m:t>
                                    </m:r>
                                  </m:sub>
                                </m:sSub>
                              </m:den>
                            </m:f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55F81632-06F7-4D5A-94BA-E4D2B9186F04}"/>
                </a:ext>
              </a:extLst>
            </xdr:cNvPr>
            <xdr:cNvSpPr txBox="1"/>
          </xdr:nvSpPr>
          <xdr:spPr>
            <a:xfrm>
              <a:off x="3095626" y="136695655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𝑇_𝑎=(𝑎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𝑎_0)/(</a:t>
              </a:r>
              <a:r>
                <a:rPr lang="pt-PT" sz="1400" b="0" i="0">
                  <a:latin typeface="Cambria Math" panose="02040503050406030204" pitchFamily="18" charset="0"/>
                </a:rPr>
                <a:t>𝑆/√(1/𝑛+(𝑥^2 ) ̅/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6</xdr:col>
      <xdr:colOff>571501</xdr:colOff>
      <xdr:row>821</xdr:row>
      <xdr:rowOff>154782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E813D9F6-31A2-4990-801D-51AA94883EC8}"/>
                </a:ext>
              </a:extLst>
            </xdr:cNvPr>
            <xdr:cNvSpPr txBox="1"/>
          </xdr:nvSpPr>
          <xdr:spPr>
            <a:xfrm>
              <a:off x="5095876" y="13710047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E813D9F6-31A2-4990-801D-51AA94883EC8}"/>
                </a:ext>
              </a:extLst>
            </xdr:cNvPr>
            <xdr:cNvSpPr txBox="1"/>
          </xdr:nvSpPr>
          <xdr:spPr>
            <a:xfrm>
              <a:off x="5095876" y="13710047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607218</xdr:colOff>
      <xdr:row>839</xdr:row>
      <xdr:rowOff>154781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90EBB12A-18C5-4AF7-AD8A-7F3DBD8E1B14}"/>
                </a:ext>
              </a:extLst>
            </xdr:cNvPr>
            <xdr:cNvSpPr txBox="1"/>
          </xdr:nvSpPr>
          <xdr:spPr>
            <a:xfrm>
              <a:off x="5131593" y="14010084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90EBB12A-18C5-4AF7-AD8A-7F3DBD8E1B14}"/>
                </a:ext>
              </a:extLst>
            </xdr:cNvPr>
            <xdr:cNvSpPr txBox="1"/>
          </xdr:nvSpPr>
          <xdr:spPr>
            <a:xfrm>
              <a:off x="5131593" y="14010084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95250</xdr:colOff>
      <xdr:row>840</xdr:row>
      <xdr:rowOff>107156</xdr:rowOff>
    </xdr:from>
    <xdr:ext cx="607219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99EEEC4-C136-4942-9B2E-3BB99B8605D9}"/>
                </a:ext>
              </a:extLst>
            </xdr:cNvPr>
            <xdr:cNvSpPr txBox="1"/>
          </xdr:nvSpPr>
          <xdr:spPr>
            <a:xfrm>
              <a:off x="1726406" y="140219906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11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99EEEC4-C136-4942-9B2E-3BB99B8605D9}"/>
                </a:ext>
              </a:extLst>
            </xdr:cNvPr>
            <xdr:cNvSpPr txBox="1"/>
          </xdr:nvSpPr>
          <xdr:spPr>
            <a:xfrm>
              <a:off x="1726406" y="140219906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oneCellAnchor>
    <xdr:from>
      <xdr:col>1</xdr:col>
      <xdr:colOff>881063</xdr:colOff>
      <xdr:row>822</xdr:row>
      <xdr:rowOff>95250</xdr:rowOff>
    </xdr:from>
    <xdr:ext cx="821532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6E98E39-9EE9-41DF-BA30-18F738339495}"/>
                </a:ext>
              </a:extLst>
            </xdr:cNvPr>
            <xdr:cNvSpPr txBox="1"/>
          </xdr:nvSpPr>
          <xdr:spPr>
            <a:xfrm>
              <a:off x="1488282" y="137207625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acc>
                              <m:accPr>
                                <m:chr m:val="̅"/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sSup>
                                  <m:sSupPr>
                                    <m:ctrlP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e>
                                  <m:sup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acc>
                          </m:num>
                          <m:den>
                            <m:sSub>
                              <m:sSubPr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12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6E98E39-9EE9-41DF-BA30-18F738339495}"/>
                </a:ext>
              </a:extLst>
            </xdr:cNvPr>
            <xdr:cNvSpPr txBox="1"/>
          </xdr:nvSpPr>
          <xdr:spPr>
            <a:xfrm>
              <a:off x="1488282" y="137207625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effectLst/>
                  <a:latin typeface="+mn-lt"/>
                  <a:ea typeface="+mn-ea"/>
                  <a:cs typeface="+mn-cs"/>
                </a:rPr>
                <a:t>1/𝑛+(𝑥^2 ) ̅/𝑆_𝑥𝑥 </a:t>
              </a:r>
              <a:r>
                <a:rPr lang="pt-PT" sz="1200" b="0" i="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oneCellAnchor>
    <xdr:from>
      <xdr:col>3</xdr:col>
      <xdr:colOff>726283</xdr:colOff>
      <xdr:row>855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F2EC0292-9DA5-4E1C-B175-6C4E3A9573E6}"/>
                </a:ext>
              </a:extLst>
            </xdr:cNvPr>
            <xdr:cNvSpPr txBox="1"/>
          </xdr:nvSpPr>
          <xdr:spPr>
            <a:xfrm>
              <a:off x="3012283" y="142744033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F2EC0292-9DA5-4E1C-B175-6C4E3A9573E6}"/>
                </a:ext>
              </a:extLst>
            </xdr:cNvPr>
            <xdr:cNvSpPr txBox="1"/>
          </xdr:nvSpPr>
          <xdr:spPr>
            <a:xfrm>
              <a:off x="3012283" y="142744033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</xdr:col>
      <xdr:colOff>678656</xdr:colOff>
      <xdr:row>857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5611D655-6A14-440A-8647-06629601FB96}"/>
                </a:ext>
              </a:extLst>
            </xdr:cNvPr>
            <xdr:cNvSpPr txBox="1"/>
          </xdr:nvSpPr>
          <xdr:spPr>
            <a:xfrm>
              <a:off x="2964656" y="143053593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5611D655-6A14-440A-8647-06629601FB96}"/>
                </a:ext>
              </a:extLst>
            </xdr:cNvPr>
            <xdr:cNvSpPr txBox="1"/>
          </xdr:nvSpPr>
          <xdr:spPr>
            <a:xfrm>
              <a:off x="2964656" y="143053593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352425</xdr:colOff>
      <xdr:row>56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932DE836-84A3-465B-8022-B1C641A8A6DE}"/>
                </a:ext>
              </a:extLst>
            </xdr:cNvPr>
            <xdr:cNvSpPr txBox="1"/>
          </xdr:nvSpPr>
          <xdr:spPr>
            <a:xfrm>
              <a:off x="7460456" y="12801123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932DE836-84A3-465B-8022-B1C641A8A6DE}"/>
                </a:ext>
              </a:extLst>
            </xdr:cNvPr>
            <xdr:cNvSpPr txBox="1"/>
          </xdr:nvSpPr>
          <xdr:spPr>
            <a:xfrm>
              <a:off x="7460456" y="12801123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333375</xdr:colOff>
      <xdr:row>59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CF4F83CE-929B-4C5C-8094-CB8A04210FA9}"/>
                </a:ext>
              </a:extLst>
            </xdr:cNvPr>
            <xdr:cNvSpPr txBox="1"/>
          </xdr:nvSpPr>
          <xdr:spPr>
            <a:xfrm>
              <a:off x="7441406" y="1283493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CF4F83CE-929B-4C5C-8094-CB8A04210FA9}"/>
                </a:ext>
              </a:extLst>
            </xdr:cNvPr>
            <xdr:cNvSpPr txBox="1"/>
          </xdr:nvSpPr>
          <xdr:spPr>
            <a:xfrm>
              <a:off x="7441406" y="1283493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61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16EF2C9-0788-41DE-A6C5-10C7952D281A}"/>
                </a:ext>
              </a:extLst>
            </xdr:cNvPr>
            <xdr:cNvSpPr txBox="1"/>
          </xdr:nvSpPr>
          <xdr:spPr>
            <a:xfrm>
              <a:off x="7365206" y="1286827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16EF2C9-0788-41DE-A6C5-10C7952D281A}"/>
                </a:ext>
              </a:extLst>
            </xdr:cNvPr>
            <xdr:cNvSpPr txBox="1"/>
          </xdr:nvSpPr>
          <xdr:spPr>
            <a:xfrm>
              <a:off x="7365206" y="1286827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18</xdr:col>
      <xdr:colOff>145258</xdr:colOff>
      <xdr:row>55</xdr:row>
      <xdr:rowOff>71438</xdr:rowOff>
    </xdr:from>
    <xdr:to>
      <xdr:col>21</xdr:col>
      <xdr:colOff>307182</xdr:colOff>
      <xdr:row>66</xdr:row>
      <xdr:rowOff>130245</xdr:rowOff>
    </xdr:to>
    <xdr:pic>
      <xdr:nvPicPr>
        <xdr:cNvPr id="124" name="Imagem 123" descr="Imagem">
          <a:extLst>
            <a:ext uri="{FF2B5EF4-FFF2-40B4-BE49-F238E27FC236}">
              <a16:creationId xmlns:a16="http://schemas.microsoft.com/office/drawing/2014/main" id="{C4F9FE15-E6CC-473A-BA91-F3F1D2A87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70696" y="9239251"/>
          <a:ext cx="1983580" cy="1892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488157</xdr:colOff>
      <xdr:row>67</xdr:row>
      <xdr:rowOff>30232</xdr:rowOff>
    </xdr:from>
    <xdr:to>
      <xdr:col>23</xdr:col>
      <xdr:colOff>345859</xdr:colOff>
      <xdr:row>73</xdr:row>
      <xdr:rowOff>130396</xdr:rowOff>
    </xdr:to>
    <xdr:pic>
      <xdr:nvPicPr>
        <xdr:cNvPr id="125" name="Imagem 124">
          <a:extLst>
            <a:ext uri="{FF2B5EF4-FFF2-40B4-BE49-F238E27FC236}">
              <a16:creationId xmlns:a16="http://schemas.microsoft.com/office/drawing/2014/main" id="{2B1E2139-97C0-4975-93DC-E199679CB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99157" y="11198295"/>
          <a:ext cx="4108233" cy="1100289"/>
        </a:xfrm>
        <a:prstGeom prst="rect">
          <a:avLst/>
        </a:prstGeom>
      </xdr:spPr>
    </xdr:pic>
    <xdr:clientData/>
  </xdr:twoCellAnchor>
  <xdr:oneCellAnchor>
    <xdr:from>
      <xdr:col>12</xdr:col>
      <xdr:colOff>726283</xdr:colOff>
      <xdr:row>71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8E9CFE49-C5AA-4557-807D-6FBE62B36A67}"/>
                </a:ext>
              </a:extLst>
            </xdr:cNvPr>
            <xdr:cNvSpPr txBox="1"/>
          </xdr:nvSpPr>
          <xdr:spPr>
            <a:xfrm>
              <a:off x="3012283" y="142744033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8E9CFE49-C5AA-4557-807D-6FBE62B36A67}"/>
                </a:ext>
              </a:extLst>
            </xdr:cNvPr>
            <xdr:cNvSpPr txBox="1"/>
          </xdr:nvSpPr>
          <xdr:spPr>
            <a:xfrm>
              <a:off x="3012283" y="142744033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678656</xdr:colOff>
      <xdr:row>73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1DD000CB-057D-4745-85A6-A72FA6D6C515}"/>
                </a:ext>
              </a:extLst>
            </xdr:cNvPr>
            <xdr:cNvSpPr txBox="1"/>
          </xdr:nvSpPr>
          <xdr:spPr>
            <a:xfrm>
              <a:off x="2964656" y="143053593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1DD000CB-057D-4745-85A6-A72FA6D6C515}"/>
                </a:ext>
              </a:extLst>
            </xdr:cNvPr>
            <xdr:cNvSpPr txBox="1"/>
          </xdr:nvSpPr>
          <xdr:spPr>
            <a:xfrm>
              <a:off x="2964656" y="143053593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352425</xdr:colOff>
      <xdr:row>183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6ADABC4C-62B5-4DFE-93B2-94A79B1AB1A7}"/>
                </a:ext>
              </a:extLst>
            </xdr:cNvPr>
            <xdr:cNvSpPr txBox="1"/>
          </xdr:nvSpPr>
          <xdr:spPr>
            <a:xfrm>
              <a:off x="9805988" y="949642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6ADABC4C-62B5-4DFE-93B2-94A79B1AB1A7}"/>
                </a:ext>
              </a:extLst>
            </xdr:cNvPr>
            <xdr:cNvSpPr txBox="1"/>
          </xdr:nvSpPr>
          <xdr:spPr>
            <a:xfrm>
              <a:off x="9805988" y="949642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333375</xdr:colOff>
      <xdr:row>186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612C6D5F-6B94-4028-B68D-D240E288BF49}"/>
                </a:ext>
              </a:extLst>
            </xdr:cNvPr>
            <xdr:cNvSpPr txBox="1"/>
          </xdr:nvSpPr>
          <xdr:spPr>
            <a:xfrm>
              <a:off x="9786938" y="9834563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612C6D5F-6B94-4028-B68D-D240E288BF49}"/>
                </a:ext>
              </a:extLst>
            </xdr:cNvPr>
            <xdr:cNvSpPr txBox="1"/>
          </xdr:nvSpPr>
          <xdr:spPr>
            <a:xfrm>
              <a:off x="9786938" y="9834563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188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694B8F3-BEDD-4415-A5D7-3D25502A18F4}"/>
                </a:ext>
              </a:extLst>
            </xdr:cNvPr>
            <xdr:cNvSpPr txBox="1"/>
          </xdr:nvSpPr>
          <xdr:spPr>
            <a:xfrm>
              <a:off x="9710738" y="1016793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694B8F3-BEDD-4415-A5D7-3D25502A18F4}"/>
                </a:ext>
              </a:extLst>
            </xdr:cNvPr>
            <xdr:cNvSpPr txBox="1"/>
          </xdr:nvSpPr>
          <xdr:spPr>
            <a:xfrm>
              <a:off x="9710738" y="1016793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145258</xdr:colOff>
      <xdr:row>182</xdr:row>
      <xdr:rowOff>71438</xdr:rowOff>
    </xdr:from>
    <xdr:ext cx="1983580" cy="1892369"/>
    <xdr:pic>
      <xdr:nvPicPr>
        <xdr:cNvPr id="131" name="Imagem 130" descr="Imagem">
          <a:extLst>
            <a:ext uri="{FF2B5EF4-FFF2-40B4-BE49-F238E27FC236}">
              <a16:creationId xmlns:a16="http://schemas.microsoft.com/office/drawing/2014/main" id="{456F1507-9274-4AE5-A960-51092D0E4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94571" y="9239251"/>
          <a:ext cx="1983580" cy="1892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488157</xdr:colOff>
      <xdr:row>194</xdr:row>
      <xdr:rowOff>30232</xdr:rowOff>
    </xdr:from>
    <xdr:ext cx="4108233" cy="1100289"/>
    <xdr:pic>
      <xdr:nvPicPr>
        <xdr:cNvPr id="132" name="Imagem 131">
          <a:extLst>
            <a:ext uri="{FF2B5EF4-FFF2-40B4-BE49-F238E27FC236}">
              <a16:creationId xmlns:a16="http://schemas.microsoft.com/office/drawing/2014/main" id="{8F93B87C-7983-4359-9A30-C508111F8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23032" y="11198295"/>
          <a:ext cx="4108233" cy="1100289"/>
        </a:xfrm>
        <a:prstGeom prst="rect">
          <a:avLst/>
        </a:prstGeom>
      </xdr:spPr>
    </xdr:pic>
    <xdr:clientData/>
  </xdr:oneCellAnchor>
  <xdr:oneCellAnchor>
    <xdr:from>
      <xdr:col>12</xdr:col>
      <xdr:colOff>726283</xdr:colOff>
      <xdr:row>198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9DABC0D4-AD51-4C53-B56B-2EAA7F4140C9}"/>
                </a:ext>
              </a:extLst>
            </xdr:cNvPr>
            <xdr:cNvSpPr txBox="1"/>
          </xdr:nvSpPr>
          <xdr:spPr>
            <a:xfrm>
              <a:off x="10065546" y="11965783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9DABC0D4-AD51-4C53-B56B-2EAA7F4140C9}"/>
                </a:ext>
              </a:extLst>
            </xdr:cNvPr>
            <xdr:cNvSpPr txBox="1"/>
          </xdr:nvSpPr>
          <xdr:spPr>
            <a:xfrm>
              <a:off x="10065546" y="11965783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678656</xdr:colOff>
      <xdr:row>200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5E85D309-0B17-4FEE-A1E8-67208FCC05C7}"/>
                </a:ext>
              </a:extLst>
            </xdr:cNvPr>
            <xdr:cNvSpPr txBox="1"/>
          </xdr:nvSpPr>
          <xdr:spPr>
            <a:xfrm>
              <a:off x="10065544" y="12275343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5E85D309-0B17-4FEE-A1E8-67208FCC05C7}"/>
                </a:ext>
              </a:extLst>
            </xdr:cNvPr>
            <xdr:cNvSpPr txBox="1"/>
          </xdr:nvSpPr>
          <xdr:spPr>
            <a:xfrm>
              <a:off x="10065544" y="12275343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352425</xdr:colOff>
      <xdr:row>310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8B81762E-3630-4329-8193-823AAA13AFFA}"/>
                </a:ext>
              </a:extLst>
            </xdr:cNvPr>
            <xdr:cNvSpPr txBox="1"/>
          </xdr:nvSpPr>
          <xdr:spPr>
            <a:xfrm>
              <a:off x="9805988" y="3066573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8B81762E-3630-4329-8193-823AAA13AFFA}"/>
                </a:ext>
              </a:extLst>
            </xdr:cNvPr>
            <xdr:cNvSpPr txBox="1"/>
          </xdr:nvSpPr>
          <xdr:spPr>
            <a:xfrm>
              <a:off x="9805988" y="3066573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333375</xdr:colOff>
      <xdr:row>313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5F4E5A7F-C6C6-4331-98EC-0D022B777216}"/>
                </a:ext>
              </a:extLst>
            </xdr:cNvPr>
            <xdr:cNvSpPr txBox="1"/>
          </xdr:nvSpPr>
          <xdr:spPr>
            <a:xfrm>
              <a:off x="9786938" y="310038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5F4E5A7F-C6C6-4331-98EC-0D022B777216}"/>
                </a:ext>
              </a:extLst>
            </xdr:cNvPr>
            <xdr:cNvSpPr txBox="1"/>
          </xdr:nvSpPr>
          <xdr:spPr>
            <a:xfrm>
              <a:off x="9786938" y="310038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315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D125912-C52E-4AEB-A52B-4E311B1DC4B6}"/>
                </a:ext>
              </a:extLst>
            </xdr:cNvPr>
            <xdr:cNvSpPr txBox="1"/>
          </xdr:nvSpPr>
          <xdr:spPr>
            <a:xfrm>
              <a:off x="9710738" y="313372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D125912-C52E-4AEB-A52B-4E311B1DC4B6}"/>
                </a:ext>
              </a:extLst>
            </xdr:cNvPr>
            <xdr:cNvSpPr txBox="1"/>
          </xdr:nvSpPr>
          <xdr:spPr>
            <a:xfrm>
              <a:off x="9710738" y="313372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145258</xdr:colOff>
      <xdr:row>309</xdr:row>
      <xdr:rowOff>71438</xdr:rowOff>
    </xdr:from>
    <xdr:ext cx="1983580" cy="1892369"/>
    <xdr:pic>
      <xdr:nvPicPr>
        <xdr:cNvPr id="138" name="Imagem 137" descr="Imagem">
          <a:extLst>
            <a:ext uri="{FF2B5EF4-FFF2-40B4-BE49-F238E27FC236}">
              <a16:creationId xmlns:a16="http://schemas.microsoft.com/office/drawing/2014/main" id="{D1E4D3A0-C1DD-4B6B-B156-B635B40EC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94571" y="30408563"/>
          <a:ext cx="1983580" cy="1892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488157</xdr:colOff>
      <xdr:row>321</xdr:row>
      <xdr:rowOff>30232</xdr:rowOff>
    </xdr:from>
    <xdr:ext cx="4108233" cy="1100289"/>
    <xdr:pic>
      <xdr:nvPicPr>
        <xdr:cNvPr id="139" name="Imagem 138">
          <a:extLst>
            <a:ext uri="{FF2B5EF4-FFF2-40B4-BE49-F238E27FC236}">
              <a16:creationId xmlns:a16="http://schemas.microsoft.com/office/drawing/2014/main" id="{7E1FE755-E3C4-4E39-B809-13C51794F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23032" y="32367607"/>
          <a:ext cx="4108233" cy="1100289"/>
        </a:xfrm>
        <a:prstGeom prst="rect">
          <a:avLst/>
        </a:prstGeom>
      </xdr:spPr>
    </xdr:pic>
    <xdr:clientData/>
  </xdr:oneCellAnchor>
  <xdr:oneCellAnchor>
    <xdr:from>
      <xdr:col>12</xdr:col>
      <xdr:colOff>726283</xdr:colOff>
      <xdr:row>325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ED622529-8187-43BF-97B2-CAFB8B21675A}"/>
                </a:ext>
              </a:extLst>
            </xdr:cNvPr>
            <xdr:cNvSpPr txBox="1"/>
          </xdr:nvSpPr>
          <xdr:spPr>
            <a:xfrm>
              <a:off x="10065546" y="33135095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ED622529-8187-43BF-97B2-CAFB8B21675A}"/>
                </a:ext>
              </a:extLst>
            </xdr:cNvPr>
            <xdr:cNvSpPr txBox="1"/>
          </xdr:nvSpPr>
          <xdr:spPr>
            <a:xfrm>
              <a:off x="10065546" y="33135095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678656</xdr:colOff>
      <xdr:row>327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BE01E6A6-9C5B-4154-81FB-ADE603A285E3}"/>
                </a:ext>
              </a:extLst>
            </xdr:cNvPr>
            <xdr:cNvSpPr txBox="1"/>
          </xdr:nvSpPr>
          <xdr:spPr>
            <a:xfrm>
              <a:off x="10065544" y="334446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BE01E6A6-9C5B-4154-81FB-ADE603A285E3}"/>
                </a:ext>
              </a:extLst>
            </xdr:cNvPr>
            <xdr:cNvSpPr txBox="1"/>
          </xdr:nvSpPr>
          <xdr:spPr>
            <a:xfrm>
              <a:off x="10065544" y="334446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352425</xdr:colOff>
      <xdr:row>437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11CE14BE-BCD5-424E-8967-57285B85150F}"/>
                </a:ext>
              </a:extLst>
            </xdr:cNvPr>
            <xdr:cNvSpPr txBox="1"/>
          </xdr:nvSpPr>
          <xdr:spPr>
            <a:xfrm>
              <a:off x="9805988" y="5183504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11CE14BE-BCD5-424E-8967-57285B85150F}"/>
                </a:ext>
              </a:extLst>
            </xdr:cNvPr>
            <xdr:cNvSpPr txBox="1"/>
          </xdr:nvSpPr>
          <xdr:spPr>
            <a:xfrm>
              <a:off x="9805988" y="5183504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333375</xdr:colOff>
      <xdr:row>440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2688EE67-9A46-4325-8D2B-F430F09E715F}"/>
                </a:ext>
              </a:extLst>
            </xdr:cNvPr>
            <xdr:cNvSpPr txBox="1"/>
          </xdr:nvSpPr>
          <xdr:spPr>
            <a:xfrm>
              <a:off x="9786938" y="5217318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2688EE67-9A46-4325-8D2B-F430F09E715F}"/>
                </a:ext>
              </a:extLst>
            </xdr:cNvPr>
            <xdr:cNvSpPr txBox="1"/>
          </xdr:nvSpPr>
          <xdr:spPr>
            <a:xfrm>
              <a:off x="9786938" y="5217318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442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72AA3595-1630-4DD0-BB8A-746F99A680A7}"/>
                </a:ext>
              </a:extLst>
            </xdr:cNvPr>
            <xdr:cNvSpPr txBox="1"/>
          </xdr:nvSpPr>
          <xdr:spPr>
            <a:xfrm>
              <a:off x="9710738" y="52506563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72AA3595-1630-4DD0-BB8A-746F99A680A7}"/>
                </a:ext>
              </a:extLst>
            </xdr:cNvPr>
            <xdr:cNvSpPr txBox="1"/>
          </xdr:nvSpPr>
          <xdr:spPr>
            <a:xfrm>
              <a:off x="9710738" y="52506563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145258</xdr:colOff>
      <xdr:row>436</xdr:row>
      <xdr:rowOff>71438</xdr:rowOff>
    </xdr:from>
    <xdr:ext cx="1983580" cy="1892369"/>
    <xdr:pic>
      <xdr:nvPicPr>
        <xdr:cNvPr id="145" name="Imagem 144" descr="Imagem">
          <a:extLst>
            <a:ext uri="{FF2B5EF4-FFF2-40B4-BE49-F238E27FC236}">
              <a16:creationId xmlns:a16="http://schemas.microsoft.com/office/drawing/2014/main" id="{92FE77D0-C00E-4EDD-8874-7D920AFFF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94571" y="51577876"/>
          <a:ext cx="1983580" cy="1892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488157</xdr:colOff>
      <xdr:row>448</xdr:row>
      <xdr:rowOff>30232</xdr:rowOff>
    </xdr:from>
    <xdr:ext cx="4108233" cy="1100289"/>
    <xdr:pic>
      <xdr:nvPicPr>
        <xdr:cNvPr id="146" name="Imagem 145">
          <a:extLst>
            <a:ext uri="{FF2B5EF4-FFF2-40B4-BE49-F238E27FC236}">
              <a16:creationId xmlns:a16="http://schemas.microsoft.com/office/drawing/2014/main" id="{1D6F1529-1FB7-4B91-A6FE-2EAE2DAE8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23032" y="53536920"/>
          <a:ext cx="4108233" cy="1100289"/>
        </a:xfrm>
        <a:prstGeom prst="rect">
          <a:avLst/>
        </a:prstGeom>
      </xdr:spPr>
    </xdr:pic>
    <xdr:clientData/>
  </xdr:oneCellAnchor>
  <xdr:oneCellAnchor>
    <xdr:from>
      <xdr:col>12</xdr:col>
      <xdr:colOff>726283</xdr:colOff>
      <xdr:row>452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7D9235B4-B06C-4FFB-92FB-79DA82F1A63A}"/>
                </a:ext>
              </a:extLst>
            </xdr:cNvPr>
            <xdr:cNvSpPr txBox="1"/>
          </xdr:nvSpPr>
          <xdr:spPr>
            <a:xfrm>
              <a:off x="10065546" y="54304408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7D9235B4-B06C-4FFB-92FB-79DA82F1A63A}"/>
                </a:ext>
              </a:extLst>
            </xdr:cNvPr>
            <xdr:cNvSpPr txBox="1"/>
          </xdr:nvSpPr>
          <xdr:spPr>
            <a:xfrm>
              <a:off x="10065546" y="54304408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678656</xdr:colOff>
      <xdr:row>454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32413C31-5FEA-40A7-9A59-B08DA375AA0B}"/>
                </a:ext>
              </a:extLst>
            </xdr:cNvPr>
            <xdr:cNvSpPr txBox="1"/>
          </xdr:nvSpPr>
          <xdr:spPr>
            <a:xfrm>
              <a:off x="10065544" y="54613968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32413C31-5FEA-40A7-9A59-B08DA375AA0B}"/>
                </a:ext>
              </a:extLst>
            </xdr:cNvPr>
            <xdr:cNvSpPr txBox="1"/>
          </xdr:nvSpPr>
          <xdr:spPr>
            <a:xfrm>
              <a:off x="10065544" y="54613968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352425</xdr:colOff>
      <xdr:row>564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73438962-3BA5-443E-BA5B-76A8A0F95D08}"/>
                </a:ext>
              </a:extLst>
            </xdr:cNvPr>
            <xdr:cNvSpPr txBox="1"/>
          </xdr:nvSpPr>
          <xdr:spPr>
            <a:xfrm>
              <a:off x="9805988" y="73004362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73438962-3BA5-443E-BA5B-76A8A0F95D08}"/>
                </a:ext>
              </a:extLst>
            </xdr:cNvPr>
            <xdr:cNvSpPr txBox="1"/>
          </xdr:nvSpPr>
          <xdr:spPr>
            <a:xfrm>
              <a:off x="9805988" y="73004362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333375</xdr:colOff>
      <xdr:row>567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995E666B-B790-487C-9269-286E5A1DC32A}"/>
                </a:ext>
              </a:extLst>
            </xdr:cNvPr>
            <xdr:cNvSpPr txBox="1"/>
          </xdr:nvSpPr>
          <xdr:spPr>
            <a:xfrm>
              <a:off x="9786938" y="7334250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995E666B-B790-487C-9269-286E5A1DC32A}"/>
                </a:ext>
              </a:extLst>
            </xdr:cNvPr>
            <xdr:cNvSpPr txBox="1"/>
          </xdr:nvSpPr>
          <xdr:spPr>
            <a:xfrm>
              <a:off x="9786938" y="7334250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569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9A1D0517-839A-4548-9FB4-7DA84CC94611}"/>
                </a:ext>
              </a:extLst>
            </xdr:cNvPr>
            <xdr:cNvSpPr txBox="1"/>
          </xdr:nvSpPr>
          <xdr:spPr>
            <a:xfrm>
              <a:off x="9710738" y="736758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9A1D0517-839A-4548-9FB4-7DA84CC94611}"/>
                </a:ext>
              </a:extLst>
            </xdr:cNvPr>
            <xdr:cNvSpPr txBox="1"/>
          </xdr:nvSpPr>
          <xdr:spPr>
            <a:xfrm>
              <a:off x="9710738" y="736758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145258</xdr:colOff>
      <xdr:row>563</xdr:row>
      <xdr:rowOff>71438</xdr:rowOff>
    </xdr:from>
    <xdr:ext cx="1983580" cy="1892369"/>
    <xdr:pic>
      <xdr:nvPicPr>
        <xdr:cNvPr id="152" name="Imagem 151" descr="Imagem">
          <a:extLst>
            <a:ext uri="{FF2B5EF4-FFF2-40B4-BE49-F238E27FC236}">
              <a16:creationId xmlns:a16="http://schemas.microsoft.com/office/drawing/2014/main" id="{8DDEC441-2729-408A-8DE8-3ADCAD662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94571" y="72747188"/>
          <a:ext cx="1983580" cy="1892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488157</xdr:colOff>
      <xdr:row>575</xdr:row>
      <xdr:rowOff>30232</xdr:rowOff>
    </xdr:from>
    <xdr:ext cx="4108233" cy="1100289"/>
    <xdr:pic>
      <xdr:nvPicPr>
        <xdr:cNvPr id="153" name="Imagem 152">
          <a:extLst>
            <a:ext uri="{FF2B5EF4-FFF2-40B4-BE49-F238E27FC236}">
              <a16:creationId xmlns:a16="http://schemas.microsoft.com/office/drawing/2014/main" id="{33347E3E-4A1C-4013-B81E-5B6911541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23032" y="74706232"/>
          <a:ext cx="4108233" cy="1100289"/>
        </a:xfrm>
        <a:prstGeom prst="rect">
          <a:avLst/>
        </a:prstGeom>
      </xdr:spPr>
    </xdr:pic>
    <xdr:clientData/>
  </xdr:oneCellAnchor>
  <xdr:oneCellAnchor>
    <xdr:from>
      <xdr:col>12</xdr:col>
      <xdr:colOff>726283</xdr:colOff>
      <xdr:row>579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D977CBB8-2B0A-4A1D-BC01-53C000345655}"/>
                </a:ext>
              </a:extLst>
            </xdr:cNvPr>
            <xdr:cNvSpPr txBox="1"/>
          </xdr:nvSpPr>
          <xdr:spPr>
            <a:xfrm>
              <a:off x="10065546" y="7547372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D977CBB8-2B0A-4A1D-BC01-53C000345655}"/>
                </a:ext>
              </a:extLst>
            </xdr:cNvPr>
            <xdr:cNvSpPr txBox="1"/>
          </xdr:nvSpPr>
          <xdr:spPr>
            <a:xfrm>
              <a:off x="10065546" y="7547372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678656</xdr:colOff>
      <xdr:row>581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AE6B7A1D-A601-448C-ADBC-0775CFDDA316}"/>
                </a:ext>
              </a:extLst>
            </xdr:cNvPr>
            <xdr:cNvSpPr txBox="1"/>
          </xdr:nvSpPr>
          <xdr:spPr>
            <a:xfrm>
              <a:off x="10065544" y="75783280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AE6B7A1D-A601-448C-ADBC-0775CFDDA316}"/>
                </a:ext>
              </a:extLst>
            </xdr:cNvPr>
            <xdr:cNvSpPr txBox="1"/>
          </xdr:nvSpPr>
          <xdr:spPr>
            <a:xfrm>
              <a:off x="10065544" y="75783280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352425</xdr:colOff>
      <xdr:row>692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81C23BEA-29DF-4A34-AB16-4B4E4D609CB6}"/>
                </a:ext>
              </a:extLst>
            </xdr:cNvPr>
            <xdr:cNvSpPr txBox="1"/>
          </xdr:nvSpPr>
          <xdr:spPr>
            <a:xfrm>
              <a:off x="9805988" y="9417367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81C23BEA-29DF-4A34-AB16-4B4E4D609CB6}"/>
                </a:ext>
              </a:extLst>
            </xdr:cNvPr>
            <xdr:cNvSpPr txBox="1"/>
          </xdr:nvSpPr>
          <xdr:spPr>
            <a:xfrm>
              <a:off x="9805988" y="9417367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333375</xdr:colOff>
      <xdr:row>695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FE2E3327-3433-4485-8379-45C76BD02F2D}"/>
                </a:ext>
              </a:extLst>
            </xdr:cNvPr>
            <xdr:cNvSpPr txBox="1"/>
          </xdr:nvSpPr>
          <xdr:spPr>
            <a:xfrm>
              <a:off x="9786938" y="94511813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FE2E3327-3433-4485-8379-45C76BD02F2D}"/>
                </a:ext>
              </a:extLst>
            </xdr:cNvPr>
            <xdr:cNvSpPr txBox="1"/>
          </xdr:nvSpPr>
          <xdr:spPr>
            <a:xfrm>
              <a:off x="9786938" y="94511813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697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1B028BBF-824E-40B7-8522-088E5495AC80}"/>
                </a:ext>
              </a:extLst>
            </xdr:cNvPr>
            <xdr:cNvSpPr txBox="1"/>
          </xdr:nvSpPr>
          <xdr:spPr>
            <a:xfrm>
              <a:off x="9710738" y="9484518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1B028BBF-824E-40B7-8522-088E5495AC80}"/>
                </a:ext>
              </a:extLst>
            </xdr:cNvPr>
            <xdr:cNvSpPr txBox="1"/>
          </xdr:nvSpPr>
          <xdr:spPr>
            <a:xfrm>
              <a:off x="9710738" y="9484518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145258</xdr:colOff>
      <xdr:row>691</xdr:row>
      <xdr:rowOff>71438</xdr:rowOff>
    </xdr:from>
    <xdr:ext cx="1983580" cy="1892369"/>
    <xdr:pic>
      <xdr:nvPicPr>
        <xdr:cNvPr id="159" name="Imagem 158" descr="Imagem">
          <a:extLst>
            <a:ext uri="{FF2B5EF4-FFF2-40B4-BE49-F238E27FC236}">
              <a16:creationId xmlns:a16="http://schemas.microsoft.com/office/drawing/2014/main" id="{B3AEA6AE-ACD3-41B5-83BB-ED36F41EB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94571" y="93916501"/>
          <a:ext cx="1983580" cy="1892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488157</xdr:colOff>
      <xdr:row>703</xdr:row>
      <xdr:rowOff>30232</xdr:rowOff>
    </xdr:from>
    <xdr:ext cx="4108233" cy="1100289"/>
    <xdr:pic>
      <xdr:nvPicPr>
        <xdr:cNvPr id="160" name="Imagem 159">
          <a:extLst>
            <a:ext uri="{FF2B5EF4-FFF2-40B4-BE49-F238E27FC236}">
              <a16:creationId xmlns:a16="http://schemas.microsoft.com/office/drawing/2014/main" id="{172A84BE-512E-4636-A96F-26359E43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23032" y="95875545"/>
          <a:ext cx="4108233" cy="1100289"/>
        </a:xfrm>
        <a:prstGeom prst="rect">
          <a:avLst/>
        </a:prstGeom>
      </xdr:spPr>
    </xdr:pic>
    <xdr:clientData/>
  </xdr:oneCellAnchor>
  <xdr:oneCellAnchor>
    <xdr:from>
      <xdr:col>12</xdr:col>
      <xdr:colOff>726283</xdr:colOff>
      <xdr:row>707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8AAB6836-1245-4F47-8516-36AB3323CCCF}"/>
                </a:ext>
              </a:extLst>
            </xdr:cNvPr>
            <xdr:cNvSpPr txBox="1"/>
          </xdr:nvSpPr>
          <xdr:spPr>
            <a:xfrm>
              <a:off x="10065546" y="96643033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8AAB6836-1245-4F47-8516-36AB3323CCCF}"/>
                </a:ext>
              </a:extLst>
            </xdr:cNvPr>
            <xdr:cNvSpPr txBox="1"/>
          </xdr:nvSpPr>
          <xdr:spPr>
            <a:xfrm>
              <a:off x="10065546" y="96643033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678656</xdr:colOff>
      <xdr:row>709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41A2935F-B15D-4F76-9EF7-DB0971434720}"/>
                </a:ext>
              </a:extLst>
            </xdr:cNvPr>
            <xdr:cNvSpPr txBox="1"/>
          </xdr:nvSpPr>
          <xdr:spPr>
            <a:xfrm>
              <a:off x="10065544" y="96952593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41A2935F-B15D-4F76-9EF7-DB0971434720}"/>
                </a:ext>
              </a:extLst>
            </xdr:cNvPr>
            <xdr:cNvSpPr txBox="1"/>
          </xdr:nvSpPr>
          <xdr:spPr>
            <a:xfrm>
              <a:off x="10065544" y="96952593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257175</xdr:colOff>
      <xdr:row>188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0C24FDD0-3779-4CB4-B757-A2D0DE75F015}"/>
                </a:ext>
              </a:extLst>
            </xdr:cNvPr>
            <xdr:cNvSpPr txBox="1"/>
          </xdr:nvSpPr>
          <xdr:spPr>
            <a:xfrm>
              <a:off x="9710738" y="1016793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0C24FDD0-3779-4CB4-B757-A2D0DE75F015}"/>
                </a:ext>
              </a:extLst>
            </xdr:cNvPr>
            <xdr:cNvSpPr txBox="1"/>
          </xdr:nvSpPr>
          <xdr:spPr>
            <a:xfrm>
              <a:off x="9710738" y="1016793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315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708B25DA-CFF5-44FD-9F96-F3CDD94E7512}"/>
                </a:ext>
              </a:extLst>
            </xdr:cNvPr>
            <xdr:cNvSpPr txBox="1"/>
          </xdr:nvSpPr>
          <xdr:spPr>
            <a:xfrm>
              <a:off x="9710738" y="313372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708B25DA-CFF5-44FD-9F96-F3CDD94E7512}"/>
                </a:ext>
              </a:extLst>
            </xdr:cNvPr>
            <xdr:cNvSpPr txBox="1"/>
          </xdr:nvSpPr>
          <xdr:spPr>
            <a:xfrm>
              <a:off x="9710738" y="313372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315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872F9D0-2FEB-4482-A538-6431285BE181}"/>
                </a:ext>
              </a:extLst>
            </xdr:cNvPr>
            <xdr:cNvSpPr txBox="1"/>
          </xdr:nvSpPr>
          <xdr:spPr>
            <a:xfrm>
              <a:off x="9710738" y="313372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872F9D0-2FEB-4482-A538-6431285BE181}"/>
                </a:ext>
              </a:extLst>
            </xdr:cNvPr>
            <xdr:cNvSpPr txBox="1"/>
          </xdr:nvSpPr>
          <xdr:spPr>
            <a:xfrm>
              <a:off x="9710738" y="313372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442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99242B0F-BFC4-43F9-9606-51B5608C5845}"/>
                </a:ext>
              </a:extLst>
            </xdr:cNvPr>
            <xdr:cNvSpPr txBox="1"/>
          </xdr:nvSpPr>
          <xdr:spPr>
            <a:xfrm>
              <a:off x="9710738" y="52506563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99242B0F-BFC4-43F9-9606-51B5608C5845}"/>
                </a:ext>
              </a:extLst>
            </xdr:cNvPr>
            <xdr:cNvSpPr txBox="1"/>
          </xdr:nvSpPr>
          <xdr:spPr>
            <a:xfrm>
              <a:off x="9710738" y="52506563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442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6D9E85A1-16C8-4A03-9E09-72DC725AD520}"/>
                </a:ext>
              </a:extLst>
            </xdr:cNvPr>
            <xdr:cNvSpPr txBox="1"/>
          </xdr:nvSpPr>
          <xdr:spPr>
            <a:xfrm>
              <a:off x="9710738" y="52506563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6D9E85A1-16C8-4A03-9E09-72DC725AD520}"/>
                </a:ext>
              </a:extLst>
            </xdr:cNvPr>
            <xdr:cNvSpPr txBox="1"/>
          </xdr:nvSpPr>
          <xdr:spPr>
            <a:xfrm>
              <a:off x="9710738" y="52506563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442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00303C31-282F-40F3-853B-39418FCC83D6}"/>
                </a:ext>
              </a:extLst>
            </xdr:cNvPr>
            <xdr:cNvSpPr txBox="1"/>
          </xdr:nvSpPr>
          <xdr:spPr>
            <a:xfrm>
              <a:off x="9710738" y="52506563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00303C31-282F-40F3-853B-39418FCC83D6}"/>
                </a:ext>
              </a:extLst>
            </xdr:cNvPr>
            <xdr:cNvSpPr txBox="1"/>
          </xdr:nvSpPr>
          <xdr:spPr>
            <a:xfrm>
              <a:off x="9710738" y="52506563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569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603667B9-6DD0-40D2-A959-01B10A02F2EE}"/>
                </a:ext>
              </a:extLst>
            </xdr:cNvPr>
            <xdr:cNvSpPr txBox="1"/>
          </xdr:nvSpPr>
          <xdr:spPr>
            <a:xfrm>
              <a:off x="9710738" y="736758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603667B9-6DD0-40D2-A959-01B10A02F2EE}"/>
                </a:ext>
              </a:extLst>
            </xdr:cNvPr>
            <xdr:cNvSpPr txBox="1"/>
          </xdr:nvSpPr>
          <xdr:spPr>
            <a:xfrm>
              <a:off x="9710738" y="736758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569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654AFFC1-174C-4AE8-BC32-6134033FE22D}"/>
                </a:ext>
              </a:extLst>
            </xdr:cNvPr>
            <xdr:cNvSpPr txBox="1"/>
          </xdr:nvSpPr>
          <xdr:spPr>
            <a:xfrm>
              <a:off x="9710738" y="736758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654AFFC1-174C-4AE8-BC32-6134033FE22D}"/>
                </a:ext>
              </a:extLst>
            </xdr:cNvPr>
            <xdr:cNvSpPr txBox="1"/>
          </xdr:nvSpPr>
          <xdr:spPr>
            <a:xfrm>
              <a:off x="9710738" y="736758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569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4F81052B-27BB-4003-A4A0-2F513F6EB6EB}"/>
                </a:ext>
              </a:extLst>
            </xdr:cNvPr>
            <xdr:cNvSpPr txBox="1"/>
          </xdr:nvSpPr>
          <xdr:spPr>
            <a:xfrm>
              <a:off x="9710738" y="736758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4F81052B-27BB-4003-A4A0-2F513F6EB6EB}"/>
                </a:ext>
              </a:extLst>
            </xdr:cNvPr>
            <xdr:cNvSpPr txBox="1"/>
          </xdr:nvSpPr>
          <xdr:spPr>
            <a:xfrm>
              <a:off x="9710738" y="736758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569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C307D49E-42AB-408D-89D4-856C67C36EF5}"/>
                </a:ext>
              </a:extLst>
            </xdr:cNvPr>
            <xdr:cNvSpPr txBox="1"/>
          </xdr:nvSpPr>
          <xdr:spPr>
            <a:xfrm>
              <a:off x="9710738" y="736758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C307D49E-42AB-408D-89D4-856C67C36EF5}"/>
                </a:ext>
              </a:extLst>
            </xdr:cNvPr>
            <xdr:cNvSpPr txBox="1"/>
          </xdr:nvSpPr>
          <xdr:spPr>
            <a:xfrm>
              <a:off x="9710738" y="736758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697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F6F7243A-EEC3-470A-A239-83005AFB305F}"/>
                </a:ext>
              </a:extLst>
            </xdr:cNvPr>
            <xdr:cNvSpPr txBox="1"/>
          </xdr:nvSpPr>
          <xdr:spPr>
            <a:xfrm>
              <a:off x="9710738" y="9484518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F6F7243A-EEC3-470A-A239-83005AFB305F}"/>
                </a:ext>
              </a:extLst>
            </xdr:cNvPr>
            <xdr:cNvSpPr txBox="1"/>
          </xdr:nvSpPr>
          <xdr:spPr>
            <a:xfrm>
              <a:off x="9710738" y="9484518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697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A46397C2-068B-4F53-8E9A-C3C9CA21C669}"/>
                </a:ext>
              </a:extLst>
            </xdr:cNvPr>
            <xdr:cNvSpPr txBox="1"/>
          </xdr:nvSpPr>
          <xdr:spPr>
            <a:xfrm>
              <a:off x="9710738" y="9484518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A46397C2-068B-4F53-8E9A-C3C9CA21C669}"/>
                </a:ext>
              </a:extLst>
            </xdr:cNvPr>
            <xdr:cNvSpPr txBox="1"/>
          </xdr:nvSpPr>
          <xdr:spPr>
            <a:xfrm>
              <a:off x="9710738" y="9484518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697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C2EDE8C2-34DC-4DF2-BB57-72B7263B6D02}"/>
                </a:ext>
              </a:extLst>
            </xdr:cNvPr>
            <xdr:cNvSpPr txBox="1"/>
          </xdr:nvSpPr>
          <xdr:spPr>
            <a:xfrm>
              <a:off x="9710738" y="9484518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C2EDE8C2-34DC-4DF2-BB57-72B7263B6D02}"/>
                </a:ext>
              </a:extLst>
            </xdr:cNvPr>
            <xdr:cNvSpPr txBox="1"/>
          </xdr:nvSpPr>
          <xdr:spPr>
            <a:xfrm>
              <a:off x="9710738" y="9484518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697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AB2C3288-DA95-468D-BBBC-FEEFE08D9221}"/>
                </a:ext>
              </a:extLst>
            </xdr:cNvPr>
            <xdr:cNvSpPr txBox="1"/>
          </xdr:nvSpPr>
          <xdr:spPr>
            <a:xfrm>
              <a:off x="9710738" y="9484518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AB2C3288-DA95-468D-BBBC-FEEFE08D9221}"/>
                </a:ext>
              </a:extLst>
            </xdr:cNvPr>
            <xdr:cNvSpPr txBox="1"/>
          </xdr:nvSpPr>
          <xdr:spPr>
            <a:xfrm>
              <a:off x="9710738" y="9484518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697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867F61B2-7079-4909-9A5C-619DC0F7CC21}"/>
                </a:ext>
              </a:extLst>
            </xdr:cNvPr>
            <xdr:cNvSpPr txBox="1"/>
          </xdr:nvSpPr>
          <xdr:spPr>
            <a:xfrm>
              <a:off x="9710738" y="9484518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867F61B2-7079-4909-9A5C-619DC0F7CC21}"/>
                </a:ext>
              </a:extLst>
            </xdr:cNvPr>
            <xdr:cNvSpPr txBox="1"/>
          </xdr:nvSpPr>
          <xdr:spPr>
            <a:xfrm>
              <a:off x="9710738" y="9484518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953559</xdr:colOff>
      <xdr:row>784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B7F9B7D-9CFF-4E83-9443-AD03540CFA47}"/>
                </a:ext>
              </a:extLst>
            </xdr:cNvPr>
            <xdr:cNvSpPr txBox="1"/>
          </xdr:nvSpPr>
          <xdr:spPr>
            <a:xfrm>
              <a:off x="1560778" y="1307983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8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B7F9B7D-9CFF-4E83-9443-AD03540CFA47}"/>
                </a:ext>
              </a:extLst>
            </xdr:cNvPr>
            <xdr:cNvSpPr txBox="1"/>
          </xdr:nvSpPr>
          <xdr:spPr>
            <a:xfrm>
              <a:off x="1560778" y="1307983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628650</xdr:colOff>
      <xdr:row>783</xdr:row>
      <xdr:rowOff>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6393FC1-0948-4B59-96B4-BEC0D293391C}"/>
                </a:ext>
              </a:extLst>
            </xdr:cNvPr>
            <xdr:cNvSpPr txBox="1"/>
          </xdr:nvSpPr>
          <xdr:spPr>
            <a:xfrm>
              <a:off x="3748088" y="130516313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8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6393FC1-0948-4B59-96B4-BEC0D293391C}"/>
                </a:ext>
              </a:extLst>
            </xdr:cNvPr>
            <xdr:cNvSpPr txBox="1"/>
          </xdr:nvSpPr>
          <xdr:spPr>
            <a:xfrm>
              <a:off x="3748088" y="130516313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791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060BD63-A801-4F36-8510-84470E3FF9B9}"/>
                </a:ext>
              </a:extLst>
            </xdr:cNvPr>
            <xdr:cNvSpPr txBox="1"/>
          </xdr:nvSpPr>
          <xdr:spPr>
            <a:xfrm>
              <a:off x="1560778" y="13196517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8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060BD63-A801-4F36-8510-84470E3FF9B9}"/>
                </a:ext>
              </a:extLst>
            </xdr:cNvPr>
            <xdr:cNvSpPr txBox="1"/>
          </xdr:nvSpPr>
          <xdr:spPr>
            <a:xfrm>
              <a:off x="1560778" y="13196517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57150</xdr:colOff>
      <xdr:row>789</xdr:row>
      <xdr:rowOff>152400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E518EDE-6362-4CE7-8A91-F7AFBABB2CA5}"/>
                </a:ext>
              </a:extLst>
            </xdr:cNvPr>
            <xdr:cNvSpPr txBox="1"/>
          </xdr:nvSpPr>
          <xdr:spPr>
            <a:xfrm>
              <a:off x="3974306" y="131668838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8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E518EDE-6362-4CE7-8A91-F7AFBABB2CA5}"/>
                </a:ext>
              </a:extLst>
            </xdr:cNvPr>
            <xdr:cNvSpPr txBox="1"/>
          </xdr:nvSpPr>
          <xdr:spPr>
            <a:xfrm>
              <a:off x="3974306" y="131668838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800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853291C-F12A-40F6-9DB7-CCA26B7C4985}"/>
                </a:ext>
              </a:extLst>
            </xdr:cNvPr>
            <xdr:cNvSpPr txBox="1"/>
          </xdr:nvSpPr>
          <xdr:spPr>
            <a:xfrm>
              <a:off x="1560778" y="1334653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8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853291C-F12A-40F6-9DB7-CCA26B7C4985}"/>
                </a:ext>
              </a:extLst>
            </xdr:cNvPr>
            <xdr:cNvSpPr txBox="1"/>
          </xdr:nvSpPr>
          <xdr:spPr>
            <a:xfrm>
              <a:off x="1560778" y="1334653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426244</xdr:colOff>
      <xdr:row>799</xdr:row>
      <xdr:rowOff>11906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0193BD3-EED6-4124-B32A-BDBA5E40A683}"/>
                </a:ext>
              </a:extLst>
            </xdr:cNvPr>
            <xdr:cNvSpPr txBox="1"/>
          </xdr:nvSpPr>
          <xdr:spPr>
            <a:xfrm>
              <a:off x="3545682" y="133195219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8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0193BD3-EED6-4124-B32A-BDBA5E40A683}"/>
                </a:ext>
              </a:extLst>
            </xdr:cNvPr>
            <xdr:cNvSpPr txBox="1"/>
          </xdr:nvSpPr>
          <xdr:spPr>
            <a:xfrm>
              <a:off x="3545682" y="133195219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810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1597960-DBB7-48DF-9D7D-E2EB66646774}"/>
                </a:ext>
              </a:extLst>
            </xdr:cNvPr>
            <xdr:cNvSpPr txBox="1"/>
          </xdr:nvSpPr>
          <xdr:spPr>
            <a:xfrm>
              <a:off x="1560778" y="1351798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8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1597960-DBB7-48DF-9D7D-E2EB66646774}"/>
                </a:ext>
              </a:extLst>
            </xdr:cNvPr>
            <xdr:cNvSpPr txBox="1"/>
          </xdr:nvSpPr>
          <xdr:spPr>
            <a:xfrm>
              <a:off x="1560778" y="1351798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283369</xdr:colOff>
      <xdr:row>809</xdr:row>
      <xdr:rowOff>11906</xdr:rowOff>
    </xdr:from>
    <xdr:ext cx="1323974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7093DD9-4114-46A7-A762-A0044523E6C0}"/>
                </a:ext>
              </a:extLst>
            </xdr:cNvPr>
            <xdr:cNvSpPr txBox="1"/>
          </xdr:nvSpPr>
          <xdr:spPr>
            <a:xfrm>
              <a:off x="3402807" y="134909719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1+</m:t>
                        </m:r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8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7093DD9-4114-46A7-A762-A0044523E6C0}"/>
                </a:ext>
              </a:extLst>
            </xdr:cNvPr>
            <xdr:cNvSpPr txBox="1"/>
          </xdr:nvSpPr>
          <xdr:spPr>
            <a:xfrm>
              <a:off x="3402807" y="134909719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1+1/𝑛+(𝑥0−𝑥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212913</xdr:colOff>
      <xdr:row>819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5E73F4D2-751B-4208-A96B-DA292B0886BC}"/>
                </a:ext>
              </a:extLst>
            </xdr:cNvPr>
            <xdr:cNvSpPr txBox="1"/>
          </xdr:nvSpPr>
          <xdr:spPr>
            <a:xfrm>
              <a:off x="820132" y="13671316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5E73F4D2-751B-4208-A96B-DA292B0886BC}"/>
                </a:ext>
              </a:extLst>
            </xdr:cNvPr>
            <xdr:cNvSpPr txBox="1"/>
          </xdr:nvSpPr>
          <xdr:spPr>
            <a:xfrm>
              <a:off x="820132" y="13671316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𝐻0:𝑎=0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821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51898B4C-01F8-4884-8851-55668909703F}"/>
                </a:ext>
              </a:extLst>
            </xdr:cNvPr>
            <xdr:cNvSpPr txBox="1"/>
          </xdr:nvSpPr>
          <xdr:spPr>
            <a:xfrm>
              <a:off x="831336" y="137068952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51898B4C-01F8-4884-8851-55668909703F}"/>
                </a:ext>
              </a:extLst>
            </xdr:cNvPr>
            <xdr:cNvSpPr txBox="1"/>
          </xdr:nvSpPr>
          <xdr:spPr>
            <a:xfrm>
              <a:off x="831336" y="137068952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𝐻1:𝑎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18</xdr:col>
      <xdr:colOff>571500</xdr:colOff>
      <xdr:row>821</xdr:row>
      <xdr:rowOff>145675</xdr:rowOff>
    </xdr:from>
    <xdr:ext cx="65" cy="172227"/>
    <xdr:sp macro="" textlink="">
      <xdr:nvSpPr>
        <xdr:cNvPr id="190" name="CaixaDeTexto 189">
          <a:extLst>
            <a:ext uri="{FF2B5EF4-FFF2-40B4-BE49-F238E27FC236}">
              <a16:creationId xmlns:a16="http://schemas.microsoft.com/office/drawing/2014/main" id="{85B66EB3-FC7D-4CD9-98BC-A3531666A260}"/>
            </a:ext>
          </a:extLst>
        </xdr:cNvPr>
        <xdr:cNvSpPr txBox="1"/>
      </xdr:nvSpPr>
      <xdr:spPr>
        <a:xfrm>
          <a:off x="5095875" y="13709136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t-PT" sz="1100"/>
        </a:p>
      </xdr:txBody>
    </xdr:sp>
    <xdr:clientData/>
  </xdr:oneCellAnchor>
  <xdr:oneCellAnchor>
    <xdr:from>
      <xdr:col>13</xdr:col>
      <xdr:colOff>953559</xdr:colOff>
      <xdr:row>828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D67E24A-38D4-42A0-B692-A3E38148F24C}"/>
                </a:ext>
              </a:extLst>
            </xdr:cNvPr>
            <xdr:cNvSpPr txBox="1"/>
          </xdr:nvSpPr>
          <xdr:spPr>
            <a:xfrm>
              <a:off x="1560778" y="1382278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D67E24A-38D4-42A0-B692-A3E38148F24C}"/>
                </a:ext>
              </a:extLst>
            </xdr:cNvPr>
            <xdr:cNvSpPr txBox="1"/>
          </xdr:nvSpPr>
          <xdr:spPr>
            <a:xfrm>
              <a:off x="1560778" y="1382278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809626</xdr:colOff>
      <xdr:row>819</xdr:row>
      <xdr:rowOff>83342</xdr:rowOff>
    </xdr:from>
    <xdr:ext cx="1361393" cy="876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C02380C2-D45D-4F04-AD74-EC10F6219C59}"/>
                </a:ext>
              </a:extLst>
            </xdr:cNvPr>
            <xdr:cNvSpPr txBox="1"/>
          </xdr:nvSpPr>
          <xdr:spPr>
            <a:xfrm>
              <a:off x="3095626" y="136695655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acc>
                                  <m:accPr>
                                    <m:chr m:val="̅"/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sSup>
                                      <m:sSupPr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  <m:sup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acc>
                              </m:num>
                              <m:den>
                                <m:sSub>
                                  <m:sSubPr>
                                    <m:ctrlP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𝑆</m:t>
                                    </m:r>
                                  </m:e>
                                  <m:sub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𝑥𝑥</m:t>
                                    </m:r>
                                  </m:sub>
                                </m:sSub>
                              </m:den>
                            </m:f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C02380C2-D45D-4F04-AD74-EC10F6219C59}"/>
                </a:ext>
              </a:extLst>
            </xdr:cNvPr>
            <xdr:cNvSpPr txBox="1"/>
          </xdr:nvSpPr>
          <xdr:spPr>
            <a:xfrm>
              <a:off x="3095626" y="136695655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𝑇_𝑎=(𝑎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𝑎_0)/(</a:t>
              </a:r>
              <a:r>
                <a:rPr lang="pt-PT" sz="1400" b="0" i="0">
                  <a:latin typeface="Cambria Math" panose="02040503050406030204" pitchFamily="18" charset="0"/>
                </a:rPr>
                <a:t>𝑆/√(1/𝑛+(𝑥^2 ) ̅/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345282</xdr:colOff>
      <xdr:row>821</xdr:row>
      <xdr:rowOff>154782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0CF54217-8B23-4C18-8B71-7E82173F9F96}"/>
                </a:ext>
              </a:extLst>
            </xdr:cNvPr>
            <xdr:cNvSpPr txBox="1"/>
          </xdr:nvSpPr>
          <xdr:spPr>
            <a:xfrm>
              <a:off x="13894595" y="13710047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0CF54217-8B23-4C18-8B71-7E82173F9F96}"/>
                </a:ext>
              </a:extLst>
            </xdr:cNvPr>
            <xdr:cNvSpPr txBox="1"/>
          </xdr:nvSpPr>
          <xdr:spPr>
            <a:xfrm>
              <a:off x="13894595" y="13710047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881063</xdr:colOff>
      <xdr:row>822</xdr:row>
      <xdr:rowOff>95250</xdr:rowOff>
    </xdr:from>
    <xdr:ext cx="821532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C265B21-20BD-4E32-AC6D-5932B0C77FD1}"/>
                </a:ext>
              </a:extLst>
            </xdr:cNvPr>
            <xdr:cNvSpPr txBox="1"/>
          </xdr:nvSpPr>
          <xdr:spPr>
            <a:xfrm>
              <a:off x="1488282" y="137207625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acc>
                              <m:accPr>
                                <m:chr m:val="̅"/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sSup>
                                  <m:sSupPr>
                                    <m:ctrlP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e>
                                  <m:sup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acc>
                          </m:num>
                          <m:den>
                            <m:sSub>
                              <m:sSubPr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19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C265B21-20BD-4E32-AC6D-5932B0C77FD1}"/>
                </a:ext>
              </a:extLst>
            </xdr:cNvPr>
            <xdr:cNvSpPr txBox="1"/>
          </xdr:nvSpPr>
          <xdr:spPr>
            <a:xfrm>
              <a:off x="1488282" y="137207625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1/𝑛+(𝑥^2 ) ̅/𝑆_𝑥𝑥 </a:t>
              </a:r>
              <a:r>
                <a:rPr lang="pt-PT" sz="1200" b="0" i="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oneCellAnchor>
    <xdr:from>
      <xdr:col>13</xdr:col>
      <xdr:colOff>212913</xdr:colOff>
      <xdr:row>837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788B9C83-D369-48CA-BB38-EE81FC69A9C0}"/>
                </a:ext>
              </a:extLst>
            </xdr:cNvPr>
            <xdr:cNvSpPr txBox="1"/>
          </xdr:nvSpPr>
          <xdr:spPr>
            <a:xfrm>
              <a:off x="820132" y="139713542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788B9C83-D369-48CA-BB38-EE81FC69A9C0}"/>
                </a:ext>
              </a:extLst>
            </xdr:cNvPr>
            <xdr:cNvSpPr txBox="1"/>
          </xdr:nvSpPr>
          <xdr:spPr>
            <a:xfrm>
              <a:off x="820132" y="139713542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𝐻0:𝑏=0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839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25EB9A2B-B378-40C2-A34C-3BF7FB5014F3}"/>
                </a:ext>
              </a:extLst>
            </xdr:cNvPr>
            <xdr:cNvSpPr txBox="1"/>
          </xdr:nvSpPr>
          <xdr:spPr>
            <a:xfrm>
              <a:off x="831336" y="14006932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25EB9A2B-B378-40C2-A34C-3BF7FB5014F3}"/>
                </a:ext>
              </a:extLst>
            </xdr:cNvPr>
            <xdr:cNvSpPr txBox="1"/>
          </xdr:nvSpPr>
          <xdr:spPr>
            <a:xfrm>
              <a:off x="831336" y="14006932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112058</xdr:colOff>
      <xdr:row>837</xdr:row>
      <xdr:rowOff>91889</xdr:rowOff>
    </xdr:from>
    <xdr:ext cx="1361393" cy="54918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8BFD003F-7A5B-452C-A628-A6AEDAACDB21}"/>
                </a:ext>
              </a:extLst>
            </xdr:cNvPr>
            <xdr:cNvSpPr txBox="1"/>
          </xdr:nvSpPr>
          <xdr:spPr>
            <a:xfrm>
              <a:off x="2398058" y="139704577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8BFD003F-7A5B-452C-A628-A6AEDAACDB21}"/>
                </a:ext>
              </a:extLst>
            </xdr:cNvPr>
            <xdr:cNvSpPr txBox="1"/>
          </xdr:nvSpPr>
          <xdr:spPr>
            <a:xfrm>
              <a:off x="2398058" y="139704577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𝑇_𝑏=(𝑏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𝑏_0)/(</a:t>
              </a:r>
              <a:r>
                <a:rPr lang="pt-PT" sz="1400" b="0" i="0">
                  <a:latin typeface="Cambria Math" panose="02040503050406030204" pitchFamily="18" charset="0"/>
                </a:rPr>
                <a:t>𝑆/√(𝑆_𝑥𝑥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953559</xdr:colOff>
      <xdr:row>846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AF0F689-5B46-438F-82B6-5C8D418BC6F9}"/>
                </a:ext>
              </a:extLst>
            </xdr:cNvPr>
            <xdr:cNvSpPr txBox="1"/>
          </xdr:nvSpPr>
          <xdr:spPr>
            <a:xfrm>
              <a:off x="1560778" y="1412282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3AF0F689-5B46-438F-82B6-5C8D418BC6F9}"/>
                </a:ext>
              </a:extLst>
            </xdr:cNvPr>
            <xdr:cNvSpPr txBox="1"/>
          </xdr:nvSpPr>
          <xdr:spPr>
            <a:xfrm>
              <a:off x="1560778" y="1412282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18</xdr:col>
      <xdr:colOff>250030</xdr:colOff>
      <xdr:row>839</xdr:row>
      <xdr:rowOff>154781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68F195DB-FFDE-4832-8CB9-378B1BF3E97F}"/>
                </a:ext>
              </a:extLst>
            </xdr:cNvPr>
            <xdr:cNvSpPr txBox="1"/>
          </xdr:nvSpPr>
          <xdr:spPr>
            <a:xfrm>
              <a:off x="13799343" y="14010084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68F195DB-FFDE-4832-8CB9-378B1BF3E97F}"/>
                </a:ext>
              </a:extLst>
            </xdr:cNvPr>
            <xdr:cNvSpPr txBox="1"/>
          </xdr:nvSpPr>
          <xdr:spPr>
            <a:xfrm>
              <a:off x="13799343" y="14010084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95250</xdr:colOff>
      <xdr:row>840</xdr:row>
      <xdr:rowOff>107156</xdr:rowOff>
    </xdr:from>
    <xdr:ext cx="607219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CBADA4C-8BC8-4085-B093-7F5182C3F784}"/>
                </a:ext>
              </a:extLst>
            </xdr:cNvPr>
            <xdr:cNvSpPr txBox="1"/>
          </xdr:nvSpPr>
          <xdr:spPr>
            <a:xfrm>
              <a:off x="1726406" y="140219906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20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CBADA4C-8BC8-4085-B093-7F5182C3F784}"/>
                </a:ext>
              </a:extLst>
            </xdr:cNvPr>
            <xdr:cNvSpPr txBox="1"/>
          </xdr:nvSpPr>
          <xdr:spPr>
            <a:xfrm>
              <a:off x="1726406" y="140219906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203168</xdr:colOff>
      <xdr:row>1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B846E16F-E59D-43A8-A496-7D745E4EB32C}"/>
                </a:ext>
              </a:extLst>
            </xdr:cNvPr>
            <xdr:cNvSpPr txBox="1"/>
          </xdr:nvSpPr>
          <xdr:spPr>
            <a:xfrm>
              <a:off x="4337018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B846E16F-E59D-43A8-A496-7D745E4EB32C}"/>
                </a:ext>
              </a:extLst>
            </xdr:cNvPr>
            <xdr:cNvSpPr txBox="1"/>
          </xdr:nvSpPr>
          <xdr:spPr>
            <a:xfrm>
              <a:off x="4337018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0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32A3B78-E4E0-461E-8258-A1D1AB7C1DA1}"/>
                </a:ext>
              </a:extLst>
            </xdr:cNvPr>
            <xdr:cNvSpPr txBox="1"/>
          </xdr:nvSpPr>
          <xdr:spPr>
            <a:xfrm>
              <a:off x="503872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32A3B78-E4E0-461E-8258-A1D1AB7C1DA1}"/>
                </a:ext>
              </a:extLst>
            </xdr:cNvPr>
            <xdr:cNvSpPr txBox="1"/>
          </xdr:nvSpPr>
          <xdr:spPr>
            <a:xfrm>
              <a:off x="503872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10</xdr:col>
      <xdr:colOff>9525</xdr:colOff>
      <xdr:row>4</xdr:row>
      <xdr:rowOff>152400</xdr:rowOff>
    </xdr:from>
    <xdr:to>
      <xdr:col>17</xdr:col>
      <xdr:colOff>314325</xdr:colOff>
      <xdr:row>21</xdr:row>
      <xdr:rowOff>142875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E891ECE2-DB6E-4619-8ED4-6777387BA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9</xdr:col>
      <xdr:colOff>555593</xdr:colOff>
      <xdr:row>27</xdr:row>
      <xdr:rowOff>27463</xdr:rowOff>
    </xdr:from>
    <xdr:ext cx="2022861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35F6A3C-D97D-4B0D-8C7B-C5454B5C6913}"/>
                </a:ext>
              </a:extLst>
            </xdr:cNvPr>
            <xdr:cNvSpPr txBox="1"/>
          </xdr:nvSpPr>
          <xdr:spPr>
            <a:xfrm>
              <a:off x="6518243" y="439943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35F6A3C-D97D-4B0D-8C7B-C5454B5C6913}"/>
                </a:ext>
              </a:extLst>
            </xdr:cNvPr>
            <xdr:cNvSpPr txBox="1"/>
          </xdr:nvSpPr>
          <xdr:spPr>
            <a:xfrm>
              <a:off x="6518243" y="439943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523875</xdr:colOff>
      <xdr:row>38</xdr:row>
      <xdr:rowOff>76200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C67357E-EDB5-4E35-BB0F-46D7F97881C8}"/>
                </a:ext>
              </a:extLst>
            </xdr:cNvPr>
            <xdr:cNvSpPr txBox="1"/>
          </xdr:nvSpPr>
          <xdr:spPr>
            <a:xfrm>
              <a:off x="6486525" y="62293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C67357E-EDB5-4E35-BB0F-46D7F97881C8}"/>
                </a:ext>
              </a:extLst>
            </xdr:cNvPr>
            <xdr:cNvSpPr txBox="1"/>
          </xdr:nvSpPr>
          <xdr:spPr>
            <a:xfrm>
              <a:off x="6486525" y="62293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19050</xdr:colOff>
      <xdr:row>30</xdr:row>
      <xdr:rowOff>133350</xdr:rowOff>
    </xdr:from>
    <xdr:ext cx="1747914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090C0DE8-1D02-4A00-B304-8500D3E38185}"/>
                </a:ext>
              </a:extLst>
            </xdr:cNvPr>
            <xdr:cNvSpPr txBox="1"/>
          </xdr:nvSpPr>
          <xdr:spPr>
            <a:xfrm>
              <a:off x="6591300" y="499110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090C0DE8-1D02-4A00-B304-8500D3E38185}"/>
                </a:ext>
              </a:extLst>
            </xdr:cNvPr>
            <xdr:cNvSpPr txBox="1"/>
          </xdr:nvSpPr>
          <xdr:spPr>
            <a:xfrm>
              <a:off x="6591300" y="499110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9525</xdr:colOff>
      <xdr:row>34</xdr:row>
      <xdr:rowOff>28575</xdr:rowOff>
    </xdr:from>
    <xdr:ext cx="1778628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3962A91-71A9-40FA-8CFC-87E1E4D89B14}"/>
                </a:ext>
              </a:extLst>
            </xdr:cNvPr>
            <xdr:cNvSpPr txBox="1"/>
          </xdr:nvSpPr>
          <xdr:spPr>
            <a:xfrm>
              <a:off x="6581775" y="553402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3962A91-71A9-40FA-8CFC-87E1E4D89B14}"/>
                </a:ext>
              </a:extLst>
            </xdr:cNvPr>
            <xdr:cNvSpPr txBox="1"/>
          </xdr:nvSpPr>
          <xdr:spPr>
            <a:xfrm>
              <a:off x="6581775" y="553402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381000</xdr:colOff>
      <xdr:row>43</xdr:row>
      <xdr:rowOff>123825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10F5B92E-AEBD-4733-9F0A-412AF9EF5E6E}"/>
                </a:ext>
              </a:extLst>
            </xdr:cNvPr>
            <xdr:cNvSpPr txBox="1"/>
          </xdr:nvSpPr>
          <xdr:spPr>
            <a:xfrm>
              <a:off x="6343650" y="70866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10F5B92E-AEBD-4733-9F0A-412AF9EF5E6E}"/>
                </a:ext>
              </a:extLst>
            </xdr:cNvPr>
            <xdr:cNvSpPr txBox="1"/>
          </xdr:nvSpPr>
          <xdr:spPr>
            <a:xfrm>
              <a:off x="6343650" y="70866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123825</xdr:colOff>
      <xdr:row>46</xdr:row>
      <xdr:rowOff>66675</xdr:rowOff>
    </xdr:from>
    <xdr:ext cx="1304925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4BBD9200-145C-428B-A04A-3B5CF2E35F55}"/>
                </a:ext>
              </a:extLst>
            </xdr:cNvPr>
            <xdr:cNvSpPr txBox="1"/>
          </xdr:nvSpPr>
          <xdr:spPr>
            <a:xfrm>
              <a:off x="6086475" y="751522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4BBD9200-145C-428B-A04A-3B5CF2E35F55}"/>
                </a:ext>
              </a:extLst>
            </xdr:cNvPr>
            <xdr:cNvSpPr txBox="1"/>
          </xdr:nvSpPr>
          <xdr:spPr>
            <a:xfrm>
              <a:off x="6086475" y="751522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142875</xdr:colOff>
      <xdr:row>49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AC68468C-BAA2-40A2-BE49-25070439D613}"/>
                </a:ext>
              </a:extLst>
            </xdr:cNvPr>
            <xdr:cNvSpPr txBox="1"/>
          </xdr:nvSpPr>
          <xdr:spPr>
            <a:xfrm>
              <a:off x="6105525" y="80391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AC68468C-BAA2-40A2-BE49-25070439D613}"/>
                </a:ext>
              </a:extLst>
            </xdr:cNvPr>
            <xdr:cNvSpPr txBox="1"/>
          </xdr:nvSpPr>
          <xdr:spPr>
            <a:xfrm>
              <a:off x="6105525" y="80391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314324</xdr:colOff>
      <xdr:row>52</xdr:row>
      <xdr:rowOff>114300</xdr:rowOff>
    </xdr:from>
    <xdr:ext cx="2343151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9CFA2D1-DA58-4F45-A14A-AF0061AB0D1F}"/>
                </a:ext>
              </a:extLst>
            </xdr:cNvPr>
            <xdr:cNvSpPr txBox="1"/>
          </xdr:nvSpPr>
          <xdr:spPr>
            <a:xfrm>
              <a:off x="6734174" y="8534400"/>
              <a:ext cx="2343151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=183,2867−174,71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9CFA2D1-DA58-4F45-A14A-AF0061AB0D1F}"/>
                </a:ext>
              </a:extLst>
            </xdr:cNvPr>
            <xdr:cNvSpPr txBox="1"/>
          </xdr:nvSpPr>
          <xdr:spPr>
            <a:xfrm>
              <a:off x="6734174" y="8534400"/>
              <a:ext cx="2343151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̂=183,2867−174,71𝑥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128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B4F0FCB-6A7F-4412-81B5-5A0B4473C700}"/>
                </a:ext>
              </a:extLst>
            </xdr:cNvPr>
            <xdr:cNvSpPr txBox="1"/>
          </xdr:nvSpPr>
          <xdr:spPr>
            <a:xfrm>
              <a:off x="4337018" y="2072640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B4F0FCB-6A7F-4412-81B5-5A0B4473C700}"/>
                </a:ext>
              </a:extLst>
            </xdr:cNvPr>
            <xdr:cNvSpPr txBox="1"/>
          </xdr:nvSpPr>
          <xdr:spPr>
            <a:xfrm>
              <a:off x="4337018" y="2072640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127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B947CF9-C271-441E-BB22-4F19C7B454FC}"/>
                </a:ext>
              </a:extLst>
            </xdr:cNvPr>
            <xdr:cNvSpPr txBox="1"/>
          </xdr:nvSpPr>
          <xdr:spPr>
            <a:xfrm>
              <a:off x="5038724" y="2071687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B947CF9-C271-441E-BB22-4F19C7B454FC}"/>
                </a:ext>
              </a:extLst>
            </xdr:cNvPr>
            <xdr:cNvSpPr txBox="1"/>
          </xdr:nvSpPr>
          <xdr:spPr>
            <a:xfrm>
              <a:off x="5038724" y="2071687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10</xdr:col>
      <xdr:colOff>9525</xdr:colOff>
      <xdr:row>131</xdr:row>
      <xdr:rowOff>152400</xdr:rowOff>
    </xdr:from>
    <xdr:to>
      <xdr:col>17</xdr:col>
      <xdr:colOff>314325</xdr:colOff>
      <xdr:row>148</xdr:row>
      <xdr:rowOff>142875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AAB91E3E-0872-4460-B723-7EA4A6D2B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9</xdr:col>
      <xdr:colOff>555593</xdr:colOff>
      <xdr:row>154</xdr:row>
      <xdr:rowOff>27463</xdr:rowOff>
    </xdr:from>
    <xdr:ext cx="2022861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8F692028-1736-4F9E-8C87-CE9A9AF5459F}"/>
                </a:ext>
              </a:extLst>
            </xdr:cNvPr>
            <xdr:cNvSpPr txBox="1"/>
          </xdr:nvSpPr>
          <xdr:spPr>
            <a:xfrm>
              <a:off x="6518243" y="24963913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8F692028-1736-4F9E-8C87-CE9A9AF5459F}"/>
                </a:ext>
              </a:extLst>
            </xdr:cNvPr>
            <xdr:cNvSpPr txBox="1"/>
          </xdr:nvSpPr>
          <xdr:spPr>
            <a:xfrm>
              <a:off x="6518243" y="24963913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523875</xdr:colOff>
      <xdr:row>165</xdr:row>
      <xdr:rowOff>76200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AABA802E-4163-49D1-89BD-6640BD62DDFF}"/>
                </a:ext>
              </a:extLst>
            </xdr:cNvPr>
            <xdr:cNvSpPr txBox="1"/>
          </xdr:nvSpPr>
          <xdr:spPr>
            <a:xfrm>
              <a:off x="6486525" y="2679382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AABA802E-4163-49D1-89BD-6640BD62DDFF}"/>
                </a:ext>
              </a:extLst>
            </xdr:cNvPr>
            <xdr:cNvSpPr txBox="1"/>
          </xdr:nvSpPr>
          <xdr:spPr>
            <a:xfrm>
              <a:off x="6486525" y="2679382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19050</xdr:colOff>
      <xdr:row>157</xdr:row>
      <xdr:rowOff>133350</xdr:rowOff>
    </xdr:from>
    <xdr:ext cx="1747914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AB6B8BA-CC33-4E7B-ADEB-562A3BEE724C}"/>
                </a:ext>
              </a:extLst>
            </xdr:cNvPr>
            <xdr:cNvSpPr txBox="1"/>
          </xdr:nvSpPr>
          <xdr:spPr>
            <a:xfrm>
              <a:off x="6591300" y="25555575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AB6B8BA-CC33-4E7B-ADEB-562A3BEE724C}"/>
                </a:ext>
              </a:extLst>
            </xdr:cNvPr>
            <xdr:cNvSpPr txBox="1"/>
          </xdr:nvSpPr>
          <xdr:spPr>
            <a:xfrm>
              <a:off x="6591300" y="25555575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9525</xdr:colOff>
      <xdr:row>161</xdr:row>
      <xdr:rowOff>28575</xdr:rowOff>
    </xdr:from>
    <xdr:ext cx="1778628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7EDBC693-ED8A-4533-B843-C44EF373F864}"/>
                </a:ext>
              </a:extLst>
            </xdr:cNvPr>
            <xdr:cNvSpPr txBox="1"/>
          </xdr:nvSpPr>
          <xdr:spPr>
            <a:xfrm>
              <a:off x="6581775" y="26098500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7EDBC693-ED8A-4533-B843-C44EF373F864}"/>
                </a:ext>
              </a:extLst>
            </xdr:cNvPr>
            <xdr:cNvSpPr txBox="1"/>
          </xdr:nvSpPr>
          <xdr:spPr>
            <a:xfrm>
              <a:off x="6581775" y="26098500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381000</xdr:colOff>
      <xdr:row>170</xdr:row>
      <xdr:rowOff>123825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04D75BF-E998-48DC-B087-C1CBBBE29459}"/>
                </a:ext>
              </a:extLst>
            </xdr:cNvPr>
            <xdr:cNvSpPr txBox="1"/>
          </xdr:nvSpPr>
          <xdr:spPr>
            <a:xfrm>
              <a:off x="6343650" y="2765107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04D75BF-E998-48DC-B087-C1CBBBE29459}"/>
                </a:ext>
              </a:extLst>
            </xdr:cNvPr>
            <xdr:cNvSpPr txBox="1"/>
          </xdr:nvSpPr>
          <xdr:spPr>
            <a:xfrm>
              <a:off x="6343650" y="2765107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123825</xdr:colOff>
      <xdr:row>173</xdr:row>
      <xdr:rowOff>66675</xdr:rowOff>
    </xdr:from>
    <xdr:ext cx="1304925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87A95A8A-9C1A-4C27-B794-7EC214B7B3D5}"/>
                </a:ext>
              </a:extLst>
            </xdr:cNvPr>
            <xdr:cNvSpPr txBox="1"/>
          </xdr:nvSpPr>
          <xdr:spPr>
            <a:xfrm>
              <a:off x="6086475" y="28079700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87A95A8A-9C1A-4C27-B794-7EC214B7B3D5}"/>
                </a:ext>
              </a:extLst>
            </xdr:cNvPr>
            <xdr:cNvSpPr txBox="1"/>
          </xdr:nvSpPr>
          <xdr:spPr>
            <a:xfrm>
              <a:off x="6086475" y="28079700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142875</xdr:colOff>
      <xdr:row>176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0E15FBA9-4C5B-4325-93BE-BC7FA0D89D09}"/>
                </a:ext>
              </a:extLst>
            </xdr:cNvPr>
            <xdr:cNvSpPr txBox="1"/>
          </xdr:nvSpPr>
          <xdr:spPr>
            <a:xfrm>
              <a:off x="6105525" y="28603575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0E15FBA9-4C5B-4325-93BE-BC7FA0D89D09}"/>
                </a:ext>
              </a:extLst>
            </xdr:cNvPr>
            <xdr:cNvSpPr txBox="1"/>
          </xdr:nvSpPr>
          <xdr:spPr>
            <a:xfrm>
              <a:off x="6105525" y="28603575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304798</xdr:colOff>
      <xdr:row>180</xdr:row>
      <xdr:rowOff>9525</xdr:rowOff>
    </xdr:from>
    <xdr:ext cx="3352802" cy="3429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8C04BC65-29D5-4692-879F-9840C9DAB4A8}"/>
                </a:ext>
              </a:extLst>
            </xdr:cNvPr>
            <xdr:cNvSpPr txBox="1"/>
          </xdr:nvSpPr>
          <xdr:spPr>
            <a:xfrm>
              <a:off x="6724648" y="29156025"/>
              <a:ext cx="3352802" cy="3429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=−23,9041+0,2199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8C04BC65-29D5-4692-879F-9840C9DAB4A8}"/>
                </a:ext>
              </a:extLst>
            </xdr:cNvPr>
            <xdr:cNvSpPr txBox="1"/>
          </xdr:nvSpPr>
          <xdr:spPr>
            <a:xfrm>
              <a:off x="6724648" y="29156025"/>
              <a:ext cx="3352802" cy="3429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̂=−23,9041+0,2199𝑥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255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1288EE4-6019-48B5-BEBF-AEA49DAD39F7}"/>
                </a:ext>
              </a:extLst>
            </xdr:cNvPr>
            <xdr:cNvSpPr txBox="1"/>
          </xdr:nvSpPr>
          <xdr:spPr>
            <a:xfrm>
              <a:off x="4337018" y="4129087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1288EE4-6019-48B5-BEBF-AEA49DAD39F7}"/>
                </a:ext>
              </a:extLst>
            </xdr:cNvPr>
            <xdr:cNvSpPr txBox="1"/>
          </xdr:nvSpPr>
          <xdr:spPr>
            <a:xfrm>
              <a:off x="4337018" y="4129087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254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1618BCD-4865-4136-BC67-78E87A90D820}"/>
                </a:ext>
              </a:extLst>
            </xdr:cNvPr>
            <xdr:cNvSpPr txBox="1"/>
          </xdr:nvSpPr>
          <xdr:spPr>
            <a:xfrm>
              <a:off x="5038724" y="4128134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1618BCD-4865-4136-BC67-78E87A90D820}"/>
                </a:ext>
              </a:extLst>
            </xdr:cNvPr>
            <xdr:cNvSpPr txBox="1"/>
          </xdr:nvSpPr>
          <xdr:spPr>
            <a:xfrm>
              <a:off x="5038724" y="4128134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10</xdr:col>
      <xdr:colOff>9525</xdr:colOff>
      <xdr:row>258</xdr:row>
      <xdr:rowOff>152400</xdr:rowOff>
    </xdr:from>
    <xdr:to>
      <xdr:col>17</xdr:col>
      <xdr:colOff>314325</xdr:colOff>
      <xdr:row>275</xdr:row>
      <xdr:rowOff>142875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77430868-3033-4AFF-9B7B-D5117D6F54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9</xdr:col>
      <xdr:colOff>555593</xdr:colOff>
      <xdr:row>281</xdr:row>
      <xdr:rowOff>27463</xdr:rowOff>
    </xdr:from>
    <xdr:ext cx="2022861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4947C2C-8DF2-455B-A855-42DEE19C3C59}"/>
                </a:ext>
              </a:extLst>
            </xdr:cNvPr>
            <xdr:cNvSpPr txBox="1"/>
          </xdr:nvSpPr>
          <xdr:spPr>
            <a:xfrm>
              <a:off x="6518243" y="4552838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4947C2C-8DF2-455B-A855-42DEE19C3C59}"/>
                </a:ext>
              </a:extLst>
            </xdr:cNvPr>
            <xdr:cNvSpPr txBox="1"/>
          </xdr:nvSpPr>
          <xdr:spPr>
            <a:xfrm>
              <a:off x="6518243" y="4552838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523875</xdr:colOff>
      <xdr:row>292</xdr:row>
      <xdr:rowOff>76200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35CCD72-CA87-4CC3-A424-A22FADF1F997}"/>
                </a:ext>
              </a:extLst>
            </xdr:cNvPr>
            <xdr:cNvSpPr txBox="1"/>
          </xdr:nvSpPr>
          <xdr:spPr>
            <a:xfrm>
              <a:off x="6486525" y="4735830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35CCD72-CA87-4CC3-A424-A22FADF1F997}"/>
                </a:ext>
              </a:extLst>
            </xdr:cNvPr>
            <xdr:cNvSpPr txBox="1"/>
          </xdr:nvSpPr>
          <xdr:spPr>
            <a:xfrm>
              <a:off x="6486525" y="4735830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19050</xdr:colOff>
      <xdr:row>284</xdr:row>
      <xdr:rowOff>133350</xdr:rowOff>
    </xdr:from>
    <xdr:ext cx="1747914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3F9343E9-0594-42E7-A87C-5CD0DC502B4A}"/>
                </a:ext>
              </a:extLst>
            </xdr:cNvPr>
            <xdr:cNvSpPr txBox="1"/>
          </xdr:nvSpPr>
          <xdr:spPr>
            <a:xfrm>
              <a:off x="6591300" y="4612005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3F9343E9-0594-42E7-A87C-5CD0DC502B4A}"/>
                </a:ext>
              </a:extLst>
            </xdr:cNvPr>
            <xdr:cNvSpPr txBox="1"/>
          </xdr:nvSpPr>
          <xdr:spPr>
            <a:xfrm>
              <a:off x="6591300" y="4612005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9525</xdr:colOff>
      <xdr:row>288</xdr:row>
      <xdr:rowOff>28575</xdr:rowOff>
    </xdr:from>
    <xdr:ext cx="1778628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FD88ECAE-BE67-4D4B-9939-0E4312CE15A8}"/>
                </a:ext>
              </a:extLst>
            </xdr:cNvPr>
            <xdr:cNvSpPr txBox="1"/>
          </xdr:nvSpPr>
          <xdr:spPr>
            <a:xfrm>
              <a:off x="6581775" y="4666297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FD88ECAE-BE67-4D4B-9939-0E4312CE15A8}"/>
                </a:ext>
              </a:extLst>
            </xdr:cNvPr>
            <xdr:cNvSpPr txBox="1"/>
          </xdr:nvSpPr>
          <xdr:spPr>
            <a:xfrm>
              <a:off x="6581775" y="4666297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381000</xdr:colOff>
      <xdr:row>297</xdr:row>
      <xdr:rowOff>123825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E632C3DE-F1F9-4E59-A154-7108FA30AECD}"/>
                </a:ext>
              </a:extLst>
            </xdr:cNvPr>
            <xdr:cNvSpPr txBox="1"/>
          </xdr:nvSpPr>
          <xdr:spPr>
            <a:xfrm>
              <a:off x="6343650" y="4821555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E632C3DE-F1F9-4E59-A154-7108FA30AECD}"/>
                </a:ext>
              </a:extLst>
            </xdr:cNvPr>
            <xdr:cNvSpPr txBox="1"/>
          </xdr:nvSpPr>
          <xdr:spPr>
            <a:xfrm>
              <a:off x="6343650" y="4821555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123825</xdr:colOff>
      <xdr:row>300</xdr:row>
      <xdr:rowOff>66675</xdr:rowOff>
    </xdr:from>
    <xdr:ext cx="1304925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B59200D1-3B46-4A84-A223-1998AAEFBAED}"/>
                </a:ext>
              </a:extLst>
            </xdr:cNvPr>
            <xdr:cNvSpPr txBox="1"/>
          </xdr:nvSpPr>
          <xdr:spPr>
            <a:xfrm>
              <a:off x="6086475" y="4864417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B59200D1-3B46-4A84-A223-1998AAEFBAED}"/>
                </a:ext>
              </a:extLst>
            </xdr:cNvPr>
            <xdr:cNvSpPr txBox="1"/>
          </xdr:nvSpPr>
          <xdr:spPr>
            <a:xfrm>
              <a:off x="6086475" y="4864417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142875</xdr:colOff>
      <xdr:row>303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23CEA652-E4D5-478B-908F-43646A9E2EA7}"/>
                </a:ext>
              </a:extLst>
            </xdr:cNvPr>
            <xdr:cNvSpPr txBox="1"/>
          </xdr:nvSpPr>
          <xdr:spPr>
            <a:xfrm>
              <a:off x="6105525" y="4916805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23CEA652-E4D5-478B-908F-43646A9E2EA7}"/>
                </a:ext>
              </a:extLst>
            </xdr:cNvPr>
            <xdr:cNvSpPr txBox="1"/>
          </xdr:nvSpPr>
          <xdr:spPr>
            <a:xfrm>
              <a:off x="6105525" y="4916805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382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0880813C-71A4-4A14-AAB2-6F19F54DE0A3}"/>
                </a:ext>
              </a:extLst>
            </xdr:cNvPr>
            <xdr:cNvSpPr txBox="1"/>
          </xdr:nvSpPr>
          <xdr:spPr>
            <a:xfrm>
              <a:off x="4337018" y="6185535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0880813C-71A4-4A14-AAB2-6F19F54DE0A3}"/>
                </a:ext>
              </a:extLst>
            </xdr:cNvPr>
            <xdr:cNvSpPr txBox="1"/>
          </xdr:nvSpPr>
          <xdr:spPr>
            <a:xfrm>
              <a:off x="4337018" y="6185535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381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62F57C9-D360-4471-8E26-F385E4C0529C}"/>
                </a:ext>
              </a:extLst>
            </xdr:cNvPr>
            <xdr:cNvSpPr txBox="1"/>
          </xdr:nvSpPr>
          <xdr:spPr>
            <a:xfrm>
              <a:off x="5038724" y="6184582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62F57C9-D360-4471-8E26-F385E4C0529C}"/>
                </a:ext>
              </a:extLst>
            </xdr:cNvPr>
            <xdr:cNvSpPr txBox="1"/>
          </xdr:nvSpPr>
          <xdr:spPr>
            <a:xfrm>
              <a:off x="5038724" y="6184582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10</xdr:col>
      <xdr:colOff>9525</xdr:colOff>
      <xdr:row>385</xdr:row>
      <xdr:rowOff>152400</xdr:rowOff>
    </xdr:from>
    <xdr:to>
      <xdr:col>17</xdr:col>
      <xdr:colOff>314325</xdr:colOff>
      <xdr:row>402</xdr:row>
      <xdr:rowOff>142875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9015D84D-29C2-4E9D-A7B0-A032898E4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9</xdr:col>
      <xdr:colOff>555593</xdr:colOff>
      <xdr:row>408</xdr:row>
      <xdr:rowOff>27463</xdr:rowOff>
    </xdr:from>
    <xdr:ext cx="2022861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CF89AA6-4527-45D1-934B-9B99DD830BE8}"/>
                </a:ext>
              </a:extLst>
            </xdr:cNvPr>
            <xdr:cNvSpPr txBox="1"/>
          </xdr:nvSpPr>
          <xdr:spPr>
            <a:xfrm>
              <a:off x="6518243" y="66092863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CF89AA6-4527-45D1-934B-9B99DD830BE8}"/>
                </a:ext>
              </a:extLst>
            </xdr:cNvPr>
            <xdr:cNvSpPr txBox="1"/>
          </xdr:nvSpPr>
          <xdr:spPr>
            <a:xfrm>
              <a:off x="6518243" y="66092863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523875</xdr:colOff>
      <xdr:row>419</xdr:row>
      <xdr:rowOff>76200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0AEA212-D203-4EFD-92B5-AA6927F2F63A}"/>
                </a:ext>
              </a:extLst>
            </xdr:cNvPr>
            <xdr:cNvSpPr txBox="1"/>
          </xdr:nvSpPr>
          <xdr:spPr>
            <a:xfrm>
              <a:off x="6486525" y="6792277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0AEA212-D203-4EFD-92B5-AA6927F2F63A}"/>
                </a:ext>
              </a:extLst>
            </xdr:cNvPr>
            <xdr:cNvSpPr txBox="1"/>
          </xdr:nvSpPr>
          <xdr:spPr>
            <a:xfrm>
              <a:off x="6486525" y="6792277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19050</xdr:colOff>
      <xdr:row>411</xdr:row>
      <xdr:rowOff>133350</xdr:rowOff>
    </xdr:from>
    <xdr:ext cx="1747914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CC82D1A-34EB-433F-9DC1-833612A75F15}"/>
                </a:ext>
              </a:extLst>
            </xdr:cNvPr>
            <xdr:cNvSpPr txBox="1"/>
          </xdr:nvSpPr>
          <xdr:spPr>
            <a:xfrm>
              <a:off x="6591300" y="66684525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CC82D1A-34EB-433F-9DC1-833612A75F15}"/>
                </a:ext>
              </a:extLst>
            </xdr:cNvPr>
            <xdr:cNvSpPr txBox="1"/>
          </xdr:nvSpPr>
          <xdr:spPr>
            <a:xfrm>
              <a:off x="6591300" y="66684525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9525</xdr:colOff>
      <xdr:row>415</xdr:row>
      <xdr:rowOff>28575</xdr:rowOff>
    </xdr:from>
    <xdr:ext cx="1778628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CCBCA2BF-526D-4559-8A7A-2409941D3966}"/>
                </a:ext>
              </a:extLst>
            </xdr:cNvPr>
            <xdr:cNvSpPr txBox="1"/>
          </xdr:nvSpPr>
          <xdr:spPr>
            <a:xfrm>
              <a:off x="6581775" y="67227450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CCBCA2BF-526D-4559-8A7A-2409941D3966}"/>
                </a:ext>
              </a:extLst>
            </xdr:cNvPr>
            <xdr:cNvSpPr txBox="1"/>
          </xdr:nvSpPr>
          <xdr:spPr>
            <a:xfrm>
              <a:off x="6581775" y="67227450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381000</xdr:colOff>
      <xdr:row>424</xdr:row>
      <xdr:rowOff>123825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CBC2849D-E9C2-439E-9329-16799C3EACD9}"/>
                </a:ext>
              </a:extLst>
            </xdr:cNvPr>
            <xdr:cNvSpPr txBox="1"/>
          </xdr:nvSpPr>
          <xdr:spPr>
            <a:xfrm>
              <a:off x="6343650" y="6878002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CBC2849D-E9C2-439E-9329-16799C3EACD9}"/>
                </a:ext>
              </a:extLst>
            </xdr:cNvPr>
            <xdr:cNvSpPr txBox="1"/>
          </xdr:nvSpPr>
          <xdr:spPr>
            <a:xfrm>
              <a:off x="6343650" y="6878002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123825</xdr:colOff>
      <xdr:row>427</xdr:row>
      <xdr:rowOff>66675</xdr:rowOff>
    </xdr:from>
    <xdr:ext cx="1304925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FD5E423F-915E-408D-A272-802171A6DEAB}"/>
                </a:ext>
              </a:extLst>
            </xdr:cNvPr>
            <xdr:cNvSpPr txBox="1"/>
          </xdr:nvSpPr>
          <xdr:spPr>
            <a:xfrm>
              <a:off x="6086475" y="69208650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FD5E423F-915E-408D-A272-802171A6DEAB}"/>
                </a:ext>
              </a:extLst>
            </xdr:cNvPr>
            <xdr:cNvSpPr txBox="1"/>
          </xdr:nvSpPr>
          <xdr:spPr>
            <a:xfrm>
              <a:off x="6086475" y="69208650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142875</xdr:colOff>
      <xdr:row>430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7B6A1D29-637C-4D56-AFE9-3B21D7D39EC0}"/>
                </a:ext>
              </a:extLst>
            </xdr:cNvPr>
            <xdr:cNvSpPr txBox="1"/>
          </xdr:nvSpPr>
          <xdr:spPr>
            <a:xfrm>
              <a:off x="6105525" y="69732525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7B6A1D29-637C-4D56-AFE9-3B21D7D39EC0}"/>
                </a:ext>
              </a:extLst>
            </xdr:cNvPr>
            <xdr:cNvSpPr txBox="1"/>
          </xdr:nvSpPr>
          <xdr:spPr>
            <a:xfrm>
              <a:off x="6105525" y="69732525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314324</xdr:colOff>
      <xdr:row>433</xdr:row>
      <xdr:rowOff>114300</xdr:rowOff>
    </xdr:from>
    <xdr:ext cx="2628901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CAB6293-FA5B-41B0-8162-6EF0A636A590}"/>
                </a:ext>
              </a:extLst>
            </xdr:cNvPr>
            <xdr:cNvSpPr txBox="1"/>
          </xdr:nvSpPr>
          <xdr:spPr>
            <a:xfrm>
              <a:off x="6276974" y="70227825"/>
              <a:ext cx="2628901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=45,3636−0,0002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CAB6293-FA5B-41B0-8162-6EF0A636A590}"/>
                </a:ext>
              </a:extLst>
            </xdr:cNvPr>
            <xdr:cNvSpPr txBox="1"/>
          </xdr:nvSpPr>
          <xdr:spPr>
            <a:xfrm>
              <a:off x="6276974" y="70227825"/>
              <a:ext cx="2628901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̂=45,3636−0,0002𝑥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509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6D234527-69AD-4209-AB44-CE6175214833}"/>
                </a:ext>
              </a:extLst>
            </xdr:cNvPr>
            <xdr:cNvSpPr txBox="1"/>
          </xdr:nvSpPr>
          <xdr:spPr>
            <a:xfrm>
              <a:off x="4337018" y="824198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6D234527-69AD-4209-AB44-CE6175214833}"/>
                </a:ext>
              </a:extLst>
            </xdr:cNvPr>
            <xdr:cNvSpPr txBox="1"/>
          </xdr:nvSpPr>
          <xdr:spPr>
            <a:xfrm>
              <a:off x="4337018" y="824198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508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6D3997E-1CC3-4C32-9F45-E560E0089E39}"/>
                </a:ext>
              </a:extLst>
            </xdr:cNvPr>
            <xdr:cNvSpPr txBox="1"/>
          </xdr:nvSpPr>
          <xdr:spPr>
            <a:xfrm>
              <a:off x="5038724" y="824102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6D3997E-1CC3-4C32-9F45-E560E0089E39}"/>
                </a:ext>
              </a:extLst>
            </xdr:cNvPr>
            <xdr:cNvSpPr txBox="1"/>
          </xdr:nvSpPr>
          <xdr:spPr>
            <a:xfrm>
              <a:off x="5038724" y="824102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10</xdr:col>
      <xdr:colOff>9525</xdr:colOff>
      <xdr:row>512</xdr:row>
      <xdr:rowOff>152400</xdr:rowOff>
    </xdr:from>
    <xdr:to>
      <xdr:col>17</xdr:col>
      <xdr:colOff>314325</xdr:colOff>
      <xdr:row>529</xdr:row>
      <xdr:rowOff>142875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F34E1A54-F774-4E85-8A1A-8681C7A31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9</xdr:col>
      <xdr:colOff>555593</xdr:colOff>
      <xdr:row>535</xdr:row>
      <xdr:rowOff>27463</xdr:rowOff>
    </xdr:from>
    <xdr:ext cx="2022861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68CDBE0-CB89-406B-834C-D82C3CAB5A44}"/>
                </a:ext>
              </a:extLst>
            </xdr:cNvPr>
            <xdr:cNvSpPr txBox="1"/>
          </xdr:nvSpPr>
          <xdr:spPr>
            <a:xfrm>
              <a:off x="6518243" y="8665733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68CDBE0-CB89-406B-834C-D82C3CAB5A44}"/>
                </a:ext>
              </a:extLst>
            </xdr:cNvPr>
            <xdr:cNvSpPr txBox="1"/>
          </xdr:nvSpPr>
          <xdr:spPr>
            <a:xfrm>
              <a:off x="6518243" y="86657338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523875</xdr:colOff>
      <xdr:row>546</xdr:row>
      <xdr:rowOff>76200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45463340-8447-444C-AC33-2214EA6F8D35}"/>
                </a:ext>
              </a:extLst>
            </xdr:cNvPr>
            <xdr:cNvSpPr txBox="1"/>
          </xdr:nvSpPr>
          <xdr:spPr>
            <a:xfrm>
              <a:off x="6486525" y="884872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45463340-8447-444C-AC33-2214EA6F8D35}"/>
                </a:ext>
              </a:extLst>
            </xdr:cNvPr>
            <xdr:cNvSpPr txBox="1"/>
          </xdr:nvSpPr>
          <xdr:spPr>
            <a:xfrm>
              <a:off x="6486525" y="884872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19050</xdr:colOff>
      <xdr:row>538</xdr:row>
      <xdr:rowOff>133350</xdr:rowOff>
    </xdr:from>
    <xdr:ext cx="1747914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B3B9016E-C3C3-43FD-A606-6CE0D8C8B863}"/>
                </a:ext>
              </a:extLst>
            </xdr:cNvPr>
            <xdr:cNvSpPr txBox="1"/>
          </xdr:nvSpPr>
          <xdr:spPr>
            <a:xfrm>
              <a:off x="6591300" y="8724900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B3B9016E-C3C3-43FD-A606-6CE0D8C8B863}"/>
                </a:ext>
              </a:extLst>
            </xdr:cNvPr>
            <xdr:cNvSpPr txBox="1"/>
          </xdr:nvSpPr>
          <xdr:spPr>
            <a:xfrm>
              <a:off x="6591300" y="87249000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9525</xdr:colOff>
      <xdr:row>542</xdr:row>
      <xdr:rowOff>28575</xdr:rowOff>
    </xdr:from>
    <xdr:ext cx="1778628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28B3AE22-3897-4A90-94A4-45556EF33B0A}"/>
                </a:ext>
              </a:extLst>
            </xdr:cNvPr>
            <xdr:cNvSpPr txBox="1"/>
          </xdr:nvSpPr>
          <xdr:spPr>
            <a:xfrm>
              <a:off x="6581775" y="8779192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28B3AE22-3897-4A90-94A4-45556EF33B0A}"/>
                </a:ext>
              </a:extLst>
            </xdr:cNvPr>
            <xdr:cNvSpPr txBox="1"/>
          </xdr:nvSpPr>
          <xdr:spPr>
            <a:xfrm>
              <a:off x="6581775" y="87791925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381000</xdr:colOff>
      <xdr:row>551</xdr:row>
      <xdr:rowOff>123825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9370F0A-B25D-4BB8-8CC8-6A181F0FD256}"/>
                </a:ext>
              </a:extLst>
            </xdr:cNvPr>
            <xdr:cNvSpPr txBox="1"/>
          </xdr:nvSpPr>
          <xdr:spPr>
            <a:xfrm>
              <a:off x="6343650" y="893445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9370F0A-B25D-4BB8-8CC8-6A181F0FD256}"/>
                </a:ext>
              </a:extLst>
            </xdr:cNvPr>
            <xdr:cNvSpPr txBox="1"/>
          </xdr:nvSpPr>
          <xdr:spPr>
            <a:xfrm>
              <a:off x="6343650" y="893445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123825</xdr:colOff>
      <xdr:row>554</xdr:row>
      <xdr:rowOff>66675</xdr:rowOff>
    </xdr:from>
    <xdr:ext cx="1304925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F6B0FCE-FB60-457A-BA95-69C5EF92BD2D}"/>
                </a:ext>
              </a:extLst>
            </xdr:cNvPr>
            <xdr:cNvSpPr txBox="1"/>
          </xdr:nvSpPr>
          <xdr:spPr>
            <a:xfrm>
              <a:off x="6086475" y="8977312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F6B0FCE-FB60-457A-BA95-69C5EF92BD2D}"/>
                </a:ext>
              </a:extLst>
            </xdr:cNvPr>
            <xdr:cNvSpPr txBox="1"/>
          </xdr:nvSpPr>
          <xdr:spPr>
            <a:xfrm>
              <a:off x="6086475" y="89773125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142875</xdr:colOff>
      <xdr:row>557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D867CE08-9667-45E7-9EC1-77354EABDF3B}"/>
                </a:ext>
              </a:extLst>
            </xdr:cNvPr>
            <xdr:cNvSpPr txBox="1"/>
          </xdr:nvSpPr>
          <xdr:spPr>
            <a:xfrm>
              <a:off x="6105525" y="902970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D867CE08-9667-45E7-9EC1-77354EABDF3B}"/>
                </a:ext>
              </a:extLst>
            </xdr:cNvPr>
            <xdr:cNvSpPr txBox="1"/>
          </xdr:nvSpPr>
          <xdr:spPr>
            <a:xfrm>
              <a:off x="6105525" y="902970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314324</xdr:colOff>
      <xdr:row>560</xdr:row>
      <xdr:rowOff>114300</xdr:rowOff>
    </xdr:from>
    <xdr:ext cx="2266951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D3B45021-A74C-4E0A-A623-72DB38214CCC}"/>
                </a:ext>
              </a:extLst>
            </xdr:cNvPr>
            <xdr:cNvSpPr txBox="1"/>
          </xdr:nvSpPr>
          <xdr:spPr>
            <a:xfrm>
              <a:off x="6734174" y="90792300"/>
              <a:ext cx="2266951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=−13,0722+1422,64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D3B45021-A74C-4E0A-A623-72DB38214CCC}"/>
                </a:ext>
              </a:extLst>
            </xdr:cNvPr>
            <xdr:cNvSpPr txBox="1"/>
          </xdr:nvSpPr>
          <xdr:spPr>
            <a:xfrm>
              <a:off x="6734174" y="90792300"/>
              <a:ext cx="2266951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̂=−13,0722+1422,64𝑥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636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F866B1AF-9383-4262-ACB8-181207484A2D}"/>
                </a:ext>
              </a:extLst>
            </xdr:cNvPr>
            <xdr:cNvSpPr txBox="1"/>
          </xdr:nvSpPr>
          <xdr:spPr>
            <a:xfrm>
              <a:off x="4337018" y="10298430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F866B1AF-9383-4262-ACB8-181207484A2D}"/>
                </a:ext>
              </a:extLst>
            </xdr:cNvPr>
            <xdr:cNvSpPr txBox="1"/>
          </xdr:nvSpPr>
          <xdr:spPr>
            <a:xfrm>
              <a:off x="4337018" y="10298430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635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BCC4FAC5-F05B-483D-A6D8-315E92316C24}"/>
                </a:ext>
              </a:extLst>
            </xdr:cNvPr>
            <xdr:cNvSpPr txBox="1"/>
          </xdr:nvSpPr>
          <xdr:spPr>
            <a:xfrm>
              <a:off x="5038724" y="10297477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BCC4FAC5-F05B-483D-A6D8-315E92316C24}"/>
                </a:ext>
              </a:extLst>
            </xdr:cNvPr>
            <xdr:cNvSpPr txBox="1"/>
          </xdr:nvSpPr>
          <xdr:spPr>
            <a:xfrm>
              <a:off x="5038724" y="10297477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10</xdr:col>
      <xdr:colOff>9525</xdr:colOff>
      <xdr:row>639</xdr:row>
      <xdr:rowOff>152400</xdr:rowOff>
    </xdr:from>
    <xdr:to>
      <xdr:col>17</xdr:col>
      <xdr:colOff>314325</xdr:colOff>
      <xdr:row>656</xdr:row>
      <xdr:rowOff>142875</xdr:rowOff>
    </xdr:to>
    <xdr:graphicFrame macro="">
      <xdr:nvGraphicFramePr>
        <xdr:cNvPr id="77" name="Gráfico 76">
          <a:extLst>
            <a:ext uri="{FF2B5EF4-FFF2-40B4-BE49-F238E27FC236}">
              <a16:creationId xmlns:a16="http://schemas.microsoft.com/office/drawing/2014/main" id="{DD6D07A1-E3FB-4E44-9F9A-DEAFB6E1F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9</xdr:col>
      <xdr:colOff>555593</xdr:colOff>
      <xdr:row>662</xdr:row>
      <xdr:rowOff>27463</xdr:rowOff>
    </xdr:from>
    <xdr:ext cx="2022861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5E435DA3-921B-4FEF-9571-67D3162EF3B7}"/>
                </a:ext>
              </a:extLst>
            </xdr:cNvPr>
            <xdr:cNvSpPr txBox="1"/>
          </xdr:nvSpPr>
          <xdr:spPr>
            <a:xfrm>
              <a:off x="6518243" y="107221813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5E435DA3-921B-4FEF-9571-67D3162EF3B7}"/>
                </a:ext>
              </a:extLst>
            </xdr:cNvPr>
            <xdr:cNvSpPr txBox="1"/>
          </xdr:nvSpPr>
          <xdr:spPr>
            <a:xfrm>
              <a:off x="6518243" y="107221813"/>
              <a:ext cx="2022861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523875</xdr:colOff>
      <xdr:row>673</xdr:row>
      <xdr:rowOff>76200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79E7279-FB7B-4FD0-B471-6552EF4002FB}"/>
                </a:ext>
              </a:extLst>
            </xdr:cNvPr>
            <xdr:cNvSpPr txBox="1"/>
          </xdr:nvSpPr>
          <xdr:spPr>
            <a:xfrm>
              <a:off x="6486525" y="10905172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79E7279-FB7B-4FD0-B471-6552EF4002FB}"/>
                </a:ext>
              </a:extLst>
            </xdr:cNvPr>
            <xdr:cNvSpPr txBox="1"/>
          </xdr:nvSpPr>
          <xdr:spPr>
            <a:xfrm>
              <a:off x="6486525" y="10905172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19050</xdr:colOff>
      <xdr:row>665</xdr:row>
      <xdr:rowOff>133350</xdr:rowOff>
    </xdr:from>
    <xdr:ext cx="1747914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A39F83FA-D1C3-4422-9664-1E176A392DE5}"/>
                </a:ext>
              </a:extLst>
            </xdr:cNvPr>
            <xdr:cNvSpPr txBox="1"/>
          </xdr:nvSpPr>
          <xdr:spPr>
            <a:xfrm>
              <a:off x="6591300" y="107813475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A39F83FA-D1C3-4422-9664-1E176A392DE5}"/>
                </a:ext>
              </a:extLst>
            </xdr:cNvPr>
            <xdr:cNvSpPr txBox="1"/>
          </xdr:nvSpPr>
          <xdr:spPr>
            <a:xfrm>
              <a:off x="6591300" y="107813475"/>
              <a:ext cx="1747914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9525</xdr:colOff>
      <xdr:row>669</xdr:row>
      <xdr:rowOff>28575</xdr:rowOff>
    </xdr:from>
    <xdr:ext cx="1778628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90DAC3A3-5A25-42C4-8CE0-41FEB890A7AD}"/>
                </a:ext>
              </a:extLst>
            </xdr:cNvPr>
            <xdr:cNvSpPr txBox="1"/>
          </xdr:nvSpPr>
          <xdr:spPr>
            <a:xfrm>
              <a:off x="6581775" y="108356400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90DAC3A3-5A25-42C4-8CE0-41FEB890A7AD}"/>
                </a:ext>
              </a:extLst>
            </xdr:cNvPr>
            <xdr:cNvSpPr txBox="1"/>
          </xdr:nvSpPr>
          <xdr:spPr>
            <a:xfrm>
              <a:off x="6581775" y="108356400"/>
              <a:ext cx="1778628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381000</xdr:colOff>
      <xdr:row>678</xdr:row>
      <xdr:rowOff>123825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59BC0DC-33B0-4CE7-B120-6322C8A2C6AF}"/>
                </a:ext>
              </a:extLst>
            </xdr:cNvPr>
            <xdr:cNvSpPr txBox="1"/>
          </xdr:nvSpPr>
          <xdr:spPr>
            <a:xfrm>
              <a:off x="6343650" y="10990897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59BC0DC-33B0-4CE7-B120-6322C8A2C6AF}"/>
                </a:ext>
              </a:extLst>
            </xdr:cNvPr>
            <xdr:cNvSpPr txBox="1"/>
          </xdr:nvSpPr>
          <xdr:spPr>
            <a:xfrm>
              <a:off x="6343650" y="10990897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123825</xdr:colOff>
      <xdr:row>681</xdr:row>
      <xdr:rowOff>66675</xdr:rowOff>
    </xdr:from>
    <xdr:ext cx="1304925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709656A-AD20-4786-96FE-0F1AB067589B}"/>
                </a:ext>
              </a:extLst>
            </xdr:cNvPr>
            <xdr:cNvSpPr txBox="1"/>
          </xdr:nvSpPr>
          <xdr:spPr>
            <a:xfrm>
              <a:off x="6086475" y="110337600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709656A-AD20-4786-96FE-0F1AB067589B}"/>
                </a:ext>
              </a:extLst>
            </xdr:cNvPr>
            <xdr:cNvSpPr txBox="1"/>
          </xdr:nvSpPr>
          <xdr:spPr>
            <a:xfrm>
              <a:off x="6086475" y="110337600"/>
              <a:ext cx="1304925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142875</xdr:colOff>
      <xdr:row>684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878AEB57-0432-4DD8-ADF7-18F680CCF7D0}"/>
                </a:ext>
              </a:extLst>
            </xdr:cNvPr>
            <xdr:cNvSpPr txBox="1"/>
          </xdr:nvSpPr>
          <xdr:spPr>
            <a:xfrm>
              <a:off x="6105525" y="110861475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878AEB57-0432-4DD8-ADF7-18F680CCF7D0}"/>
                </a:ext>
              </a:extLst>
            </xdr:cNvPr>
            <xdr:cNvSpPr txBox="1"/>
          </xdr:nvSpPr>
          <xdr:spPr>
            <a:xfrm>
              <a:off x="6105525" y="110861475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314324</xdr:colOff>
      <xdr:row>687</xdr:row>
      <xdr:rowOff>114301</xdr:rowOff>
    </xdr:from>
    <xdr:ext cx="280987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1EABB23A-B797-4517-87F7-EE700F91654D}"/>
                </a:ext>
              </a:extLst>
            </xdr:cNvPr>
            <xdr:cNvSpPr txBox="1"/>
          </xdr:nvSpPr>
          <xdr:spPr>
            <a:xfrm>
              <a:off x="6276974" y="111356776"/>
              <a:ext cx="280987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=106,3798−0,0001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1EABB23A-B797-4517-87F7-EE700F91654D}"/>
                </a:ext>
              </a:extLst>
            </xdr:cNvPr>
            <xdr:cNvSpPr txBox="1"/>
          </xdr:nvSpPr>
          <xdr:spPr>
            <a:xfrm>
              <a:off x="6276974" y="111356776"/>
              <a:ext cx="280987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̂=106,3798−0,0001𝑥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1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7D331923-E7F0-4DC1-A66F-9A13A5A1AFD0}"/>
                </a:ext>
              </a:extLst>
            </xdr:cNvPr>
            <xdr:cNvSpPr txBox="1"/>
          </xdr:nvSpPr>
          <xdr:spPr>
            <a:xfrm>
              <a:off x="4327493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7D331923-E7F0-4DC1-A66F-9A13A5A1AFD0}"/>
                </a:ext>
              </a:extLst>
            </xdr:cNvPr>
            <xdr:cNvSpPr txBox="1"/>
          </xdr:nvSpPr>
          <xdr:spPr>
            <a:xfrm>
              <a:off x="4327493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0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3BB0993B-D1DB-4DB4-B08A-1EF93F3382C2}"/>
                </a:ext>
              </a:extLst>
            </xdr:cNvPr>
            <xdr:cNvSpPr txBox="1"/>
          </xdr:nvSpPr>
          <xdr:spPr>
            <a:xfrm>
              <a:off x="519112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3BB0993B-D1DB-4DB4-B08A-1EF93F3382C2}"/>
                </a:ext>
              </a:extLst>
            </xdr:cNvPr>
            <xdr:cNvSpPr txBox="1"/>
          </xdr:nvSpPr>
          <xdr:spPr>
            <a:xfrm>
              <a:off x="519112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128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5945327-E5F3-40D5-B689-732BF7146C1E}"/>
                </a:ext>
              </a:extLst>
            </xdr:cNvPr>
            <xdr:cNvSpPr txBox="1"/>
          </xdr:nvSpPr>
          <xdr:spPr>
            <a:xfrm>
              <a:off x="4327493" y="2072640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5945327-E5F3-40D5-B689-732BF7146C1E}"/>
                </a:ext>
              </a:extLst>
            </xdr:cNvPr>
            <xdr:cNvSpPr txBox="1"/>
          </xdr:nvSpPr>
          <xdr:spPr>
            <a:xfrm>
              <a:off x="4327493" y="2072640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127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6DF95961-582A-4C97-A8BB-4BF94057E68B}"/>
                </a:ext>
              </a:extLst>
            </xdr:cNvPr>
            <xdr:cNvSpPr txBox="1"/>
          </xdr:nvSpPr>
          <xdr:spPr>
            <a:xfrm>
              <a:off x="5191124" y="2071687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6DF95961-582A-4C97-A8BB-4BF94057E68B}"/>
                </a:ext>
              </a:extLst>
            </xdr:cNvPr>
            <xdr:cNvSpPr txBox="1"/>
          </xdr:nvSpPr>
          <xdr:spPr>
            <a:xfrm>
              <a:off x="5191124" y="2071687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255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F5546389-C887-436F-820B-3F859F5B9F6E}"/>
                </a:ext>
              </a:extLst>
            </xdr:cNvPr>
            <xdr:cNvSpPr txBox="1"/>
          </xdr:nvSpPr>
          <xdr:spPr>
            <a:xfrm>
              <a:off x="4327493" y="4129087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F5546389-C887-436F-820B-3F859F5B9F6E}"/>
                </a:ext>
              </a:extLst>
            </xdr:cNvPr>
            <xdr:cNvSpPr txBox="1"/>
          </xdr:nvSpPr>
          <xdr:spPr>
            <a:xfrm>
              <a:off x="4327493" y="4129087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254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A11CE712-0D2D-4FE0-8115-B9A40D9F5994}"/>
                </a:ext>
              </a:extLst>
            </xdr:cNvPr>
            <xdr:cNvSpPr txBox="1"/>
          </xdr:nvSpPr>
          <xdr:spPr>
            <a:xfrm>
              <a:off x="5191124" y="4128134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A11CE712-0D2D-4FE0-8115-B9A40D9F5994}"/>
                </a:ext>
              </a:extLst>
            </xdr:cNvPr>
            <xdr:cNvSpPr txBox="1"/>
          </xdr:nvSpPr>
          <xdr:spPr>
            <a:xfrm>
              <a:off x="5191124" y="4128134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382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87C1A8A1-747C-4461-9425-DC52928415D8}"/>
                </a:ext>
              </a:extLst>
            </xdr:cNvPr>
            <xdr:cNvSpPr txBox="1"/>
          </xdr:nvSpPr>
          <xdr:spPr>
            <a:xfrm>
              <a:off x="4327493" y="6185535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87C1A8A1-747C-4461-9425-DC52928415D8}"/>
                </a:ext>
              </a:extLst>
            </xdr:cNvPr>
            <xdr:cNvSpPr txBox="1"/>
          </xdr:nvSpPr>
          <xdr:spPr>
            <a:xfrm>
              <a:off x="4327493" y="6185535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381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2C06A739-E9C1-460B-9D06-2DAE441DEC0A}"/>
                </a:ext>
              </a:extLst>
            </xdr:cNvPr>
            <xdr:cNvSpPr txBox="1"/>
          </xdr:nvSpPr>
          <xdr:spPr>
            <a:xfrm>
              <a:off x="5191124" y="6184582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2C06A739-E9C1-460B-9D06-2DAE441DEC0A}"/>
                </a:ext>
              </a:extLst>
            </xdr:cNvPr>
            <xdr:cNvSpPr txBox="1"/>
          </xdr:nvSpPr>
          <xdr:spPr>
            <a:xfrm>
              <a:off x="5191124" y="6184582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509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E6AB8917-7E43-4ABE-AD6E-12091B956ACD}"/>
                </a:ext>
              </a:extLst>
            </xdr:cNvPr>
            <xdr:cNvSpPr txBox="1"/>
          </xdr:nvSpPr>
          <xdr:spPr>
            <a:xfrm>
              <a:off x="4327493" y="824198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E6AB8917-7E43-4ABE-AD6E-12091B956ACD}"/>
                </a:ext>
              </a:extLst>
            </xdr:cNvPr>
            <xdr:cNvSpPr txBox="1"/>
          </xdr:nvSpPr>
          <xdr:spPr>
            <a:xfrm>
              <a:off x="4327493" y="824198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508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EF54350B-2197-429A-94BD-F1DE17BADB5D}"/>
                </a:ext>
              </a:extLst>
            </xdr:cNvPr>
            <xdr:cNvSpPr txBox="1"/>
          </xdr:nvSpPr>
          <xdr:spPr>
            <a:xfrm>
              <a:off x="5191124" y="824102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EF54350B-2197-429A-94BD-F1DE17BADB5D}"/>
                </a:ext>
              </a:extLst>
            </xdr:cNvPr>
            <xdr:cNvSpPr txBox="1"/>
          </xdr:nvSpPr>
          <xdr:spPr>
            <a:xfrm>
              <a:off x="5191124" y="824102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636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D5E23473-2EB9-438E-8DE1-15AF8C69F171}"/>
                </a:ext>
              </a:extLst>
            </xdr:cNvPr>
            <xdr:cNvSpPr txBox="1"/>
          </xdr:nvSpPr>
          <xdr:spPr>
            <a:xfrm>
              <a:off x="4327493" y="10298430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D5E23473-2EB9-438E-8DE1-15AF8C69F171}"/>
                </a:ext>
              </a:extLst>
            </xdr:cNvPr>
            <xdr:cNvSpPr txBox="1"/>
          </xdr:nvSpPr>
          <xdr:spPr>
            <a:xfrm>
              <a:off x="4327493" y="10298430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635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2518EAAA-1D02-404B-BA10-EA636A171B03}"/>
                </a:ext>
              </a:extLst>
            </xdr:cNvPr>
            <xdr:cNvSpPr txBox="1"/>
          </xdr:nvSpPr>
          <xdr:spPr>
            <a:xfrm>
              <a:off x="5191124" y="10297477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2518EAAA-1D02-404B-BA10-EA636A171B03}"/>
                </a:ext>
              </a:extLst>
            </xdr:cNvPr>
            <xdr:cNvSpPr txBox="1"/>
          </xdr:nvSpPr>
          <xdr:spPr>
            <a:xfrm>
              <a:off x="5191124" y="10297477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742950</xdr:colOff>
      <xdr:row>38</xdr:row>
      <xdr:rowOff>152400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08C6946E-B9E9-4E14-8996-04139AC502D3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08C6946E-B9E9-4E14-8996-04139AC502D3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742950</xdr:colOff>
      <xdr:row>165</xdr:row>
      <xdr:rowOff>152400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DF9EE899-8BA0-4EBF-8F5C-F5843D7FEED5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DF9EE899-8BA0-4EBF-8F5C-F5843D7FEED5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742950</xdr:colOff>
      <xdr:row>292</xdr:row>
      <xdr:rowOff>152400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24E8FF4C-421A-45F6-B78C-F6268131976C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24E8FF4C-421A-45F6-B78C-F6268131976C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742950</xdr:colOff>
      <xdr:row>419</xdr:row>
      <xdr:rowOff>152400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0253FDDA-C333-4368-B594-AF556328B9DA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0253FDDA-C333-4368-B594-AF556328B9DA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742950</xdr:colOff>
      <xdr:row>546</xdr:row>
      <xdr:rowOff>152400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58F81D69-4C59-4876-BC59-6054D1BFF34C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58F81D69-4C59-4876-BC59-6054D1BFF34C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742950</xdr:colOff>
      <xdr:row>673</xdr:row>
      <xdr:rowOff>152400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64B5EA35-E5E8-4DFA-AD19-D71967D47686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64B5EA35-E5E8-4DFA-AD19-D71967D47686}"/>
                </a:ext>
              </a:extLst>
            </xdr:cNvPr>
            <xdr:cNvSpPr txBox="1"/>
          </xdr:nvSpPr>
          <xdr:spPr>
            <a:xfrm>
              <a:off x="10039350" y="6305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114300</xdr:colOff>
      <xdr:row>1</xdr:row>
      <xdr:rowOff>0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324C0742-60F1-48D4-9AA4-1D6F085FF803}"/>
                </a:ext>
              </a:extLst>
            </xdr:cNvPr>
            <xdr:cNvSpPr txBox="1"/>
          </xdr:nvSpPr>
          <xdr:spPr>
            <a:xfrm>
              <a:off x="5010150" y="1619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324C0742-60F1-48D4-9AA4-1D6F085FF803}"/>
                </a:ext>
              </a:extLst>
            </xdr:cNvPr>
            <xdr:cNvSpPr txBox="1"/>
          </xdr:nvSpPr>
          <xdr:spPr>
            <a:xfrm>
              <a:off x="5010150" y="1619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171449</xdr:colOff>
      <xdr:row>382</xdr:row>
      <xdr:rowOff>9525</xdr:rowOff>
    </xdr:from>
    <xdr:ext cx="3905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C5D49D6A-218F-46A1-B4A3-58C81078EC69}"/>
                </a:ext>
              </a:extLst>
            </xdr:cNvPr>
            <xdr:cNvSpPr txBox="1"/>
          </xdr:nvSpPr>
          <xdr:spPr>
            <a:xfrm>
              <a:off x="5067299" y="61864875"/>
              <a:ext cx="3905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C5D49D6A-218F-46A1-B4A3-58C81078EC69}"/>
                </a:ext>
              </a:extLst>
            </xdr:cNvPr>
            <xdr:cNvSpPr txBox="1"/>
          </xdr:nvSpPr>
          <xdr:spPr>
            <a:xfrm>
              <a:off x="5067299" y="61864875"/>
              <a:ext cx="3905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171450</xdr:colOff>
      <xdr:row>636</xdr:row>
      <xdr:rowOff>9525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AE58D253-B91E-4723-8018-9D6AF56106F3}"/>
                </a:ext>
              </a:extLst>
            </xdr:cNvPr>
            <xdr:cNvSpPr txBox="1"/>
          </xdr:nvSpPr>
          <xdr:spPr>
            <a:xfrm>
              <a:off x="5067300" y="1029938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𝑌</m:t>
                      </m:r>
                    </m:e>
                  </m:acc>
                </m:oMath>
              </a14:m>
              <a:r>
                <a:rPr lang="pt-PT" sz="1100"/>
                <a:t>-Y</a:t>
              </a:r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AE58D253-B91E-4723-8018-9D6AF56106F3}"/>
                </a:ext>
              </a:extLst>
            </xdr:cNvPr>
            <xdr:cNvSpPr txBox="1"/>
          </xdr:nvSpPr>
          <xdr:spPr>
            <a:xfrm>
              <a:off x="5067300" y="1029938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r>
                <a:rPr lang="pt-PT" sz="1100"/>
                <a:t>-Y</a:t>
              </a:r>
            </a:p>
          </xdr:txBody>
        </xdr:sp>
      </mc:Fallback>
    </mc:AlternateContent>
    <xdr:clientData/>
  </xdr:oneCellAnchor>
  <xdr:oneCellAnchor>
    <xdr:from>
      <xdr:col>7</xdr:col>
      <xdr:colOff>104775</xdr:colOff>
      <xdr:row>128</xdr:row>
      <xdr:rowOff>9525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826166B3-6F64-431C-85CF-18E01C6AD67B}"/>
                </a:ext>
              </a:extLst>
            </xdr:cNvPr>
            <xdr:cNvSpPr txBox="1"/>
          </xdr:nvSpPr>
          <xdr:spPr>
            <a:xfrm>
              <a:off x="5000625" y="207359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826166B3-6F64-431C-85CF-18E01C6AD67B}"/>
                </a:ext>
              </a:extLst>
            </xdr:cNvPr>
            <xdr:cNvSpPr txBox="1"/>
          </xdr:nvSpPr>
          <xdr:spPr>
            <a:xfrm>
              <a:off x="5000625" y="207359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95250</xdr:colOff>
      <xdr:row>255</xdr:row>
      <xdr:rowOff>9525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61DF715F-8042-42AE-AEF3-8FF7F0B23748}"/>
                </a:ext>
              </a:extLst>
            </xdr:cNvPr>
            <xdr:cNvSpPr txBox="1"/>
          </xdr:nvSpPr>
          <xdr:spPr>
            <a:xfrm>
              <a:off x="4991100" y="41300400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61DF715F-8042-42AE-AEF3-8FF7F0B23748}"/>
                </a:ext>
              </a:extLst>
            </xdr:cNvPr>
            <xdr:cNvSpPr txBox="1"/>
          </xdr:nvSpPr>
          <xdr:spPr>
            <a:xfrm>
              <a:off x="4991100" y="41300400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85725</xdr:colOff>
      <xdr:row>509</xdr:row>
      <xdr:rowOff>0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7687750B-9EE6-4515-98A6-EA4E3A2CD5EE}"/>
                </a:ext>
              </a:extLst>
            </xdr:cNvPr>
            <xdr:cNvSpPr txBox="1"/>
          </xdr:nvSpPr>
          <xdr:spPr>
            <a:xfrm>
              <a:off x="4981575" y="824198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7687750B-9EE6-4515-98A6-EA4E3A2CD5EE}"/>
                </a:ext>
              </a:extLst>
            </xdr:cNvPr>
            <xdr:cNvSpPr txBox="1"/>
          </xdr:nvSpPr>
          <xdr:spPr>
            <a:xfrm>
              <a:off x="4981575" y="824198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13</xdr:col>
      <xdr:colOff>76201</xdr:colOff>
      <xdr:row>762</xdr:row>
      <xdr:rowOff>17394</xdr:rowOff>
    </xdr:from>
    <xdr:to>
      <xdr:col>16</xdr:col>
      <xdr:colOff>238125</xdr:colOff>
      <xdr:row>773</xdr:row>
      <xdr:rowOff>85724</xdr:rowOff>
    </xdr:to>
    <xdr:pic>
      <xdr:nvPicPr>
        <xdr:cNvPr id="93" name="Imagem 92" descr="Imagem">
          <a:extLst>
            <a:ext uri="{FF2B5EF4-FFF2-40B4-BE49-F238E27FC236}">
              <a16:creationId xmlns:a16="http://schemas.microsoft.com/office/drawing/2014/main" id="{95C83FD6-81DB-4B3F-B9AF-93A646684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1" y="123404244"/>
          <a:ext cx="1990724" cy="18495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419100</xdr:colOff>
      <xdr:row>773</xdr:row>
      <xdr:rowOff>142875</xdr:rowOff>
    </xdr:from>
    <xdr:to>
      <xdr:col>18</xdr:col>
      <xdr:colOff>276801</xdr:colOff>
      <xdr:row>780</xdr:row>
      <xdr:rowOff>85878</xdr:rowOff>
    </xdr:to>
    <xdr:pic>
      <xdr:nvPicPr>
        <xdr:cNvPr id="96" name="Imagem 95">
          <a:extLst>
            <a:ext uri="{FF2B5EF4-FFF2-40B4-BE49-F238E27FC236}">
              <a16:creationId xmlns:a16="http://schemas.microsoft.com/office/drawing/2014/main" id="{368373CC-49B5-4187-9821-FA0EE6306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29700" y="125320425"/>
          <a:ext cx="4124901" cy="1076477"/>
        </a:xfrm>
        <a:prstGeom prst="rect">
          <a:avLst/>
        </a:prstGeom>
      </xdr:spPr>
    </xdr:pic>
    <xdr:clientData/>
  </xdr:twoCellAnchor>
  <xdr:oneCellAnchor>
    <xdr:from>
      <xdr:col>1</xdr:col>
      <xdr:colOff>953559</xdr:colOff>
      <xdr:row>784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FB2DA3E-4332-469A-969A-0B8F412BFF04}"/>
                </a:ext>
              </a:extLst>
            </xdr:cNvPr>
            <xdr:cNvSpPr txBox="1"/>
          </xdr:nvSpPr>
          <xdr:spPr>
            <a:xfrm>
              <a:off x="1563159" y="1270931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9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3FB2DA3E-4332-469A-969A-0B8F412BFF04}"/>
                </a:ext>
              </a:extLst>
            </xdr:cNvPr>
            <xdr:cNvSpPr txBox="1"/>
          </xdr:nvSpPr>
          <xdr:spPr>
            <a:xfrm>
              <a:off x="1563159" y="1270931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4</xdr:col>
      <xdr:colOff>628650</xdr:colOff>
      <xdr:row>783</xdr:row>
      <xdr:rowOff>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9DD05A2-0731-4E9B-A8E0-912D42E529E4}"/>
                </a:ext>
              </a:extLst>
            </xdr:cNvPr>
            <xdr:cNvSpPr txBox="1"/>
          </xdr:nvSpPr>
          <xdr:spPr>
            <a:xfrm>
              <a:off x="3752850" y="126815850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0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9DD05A2-0731-4E9B-A8E0-912D42E529E4}"/>
                </a:ext>
              </a:extLst>
            </xdr:cNvPr>
            <xdr:cNvSpPr txBox="1"/>
          </xdr:nvSpPr>
          <xdr:spPr>
            <a:xfrm>
              <a:off x="3752850" y="126815850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9</xdr:col>
      <xdr:colOff>352425</xdr:colOff>
      <xdr:row>767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7DAA898A-9E51-4D3B-B8CB-49B77CA8D933}"/>
                </a:ext>
              </a:extLst>
            </xdr:cNvPr>
            <xdr:cNvSpPr txBox="1"/>
          </xdr:nvSpPr>
          <xdr:spPr>
            <a:xfrm>
              <a:off x="7477125" y="12435839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7DAA898A-9E51-4D3B-B8CB-49B77CA8D933}"/>
                </a:ext>
              </a:extLst>
            </xdr:cNvPr>
            <xdr:cNvSpPr txBox="1"/>
          </xdr:nvSpPr>
          <xdr:spPr>
            <a:xfrm>
              <a:off x="7477125" y="12435839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333375</xdr:colOff>
      <xdr:row>770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F8513DF2-BC27-443D-B25C-0D19E88589D1}"/>
                </a:ext>
              </a:extLst>
            </xdr:cNvPr>
            <xdr:cNvSpPr txBox="1"/>
          </xdr:nvSpPr>
          <xdr:spPr>
            <a:xfrm>
              <a:off x="7458075" y="1246822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F8513DF2-BC27-443D-B25C-0D19E88589D1}"/>
                </a:ext>
              </a:extLst>
            </xdr:cNvPr>
            <xdr:cNvSpPr txBox="1"/>
          </xdr:nvSpPr>
          <xdr:spPr>
            <a:xfrm>
              <a:off x="7458075" y="1246822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953559</xdr:colOff>
      <xdr:row>791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2C911EA6-A4B0-4520-8B44-AEAB4C7369FE}"/>
                </a:ext>
              </a:extLst>
            </xdr:cNvPr>
            <xdr:cNvSpPr txBox="1"/>
          </xdr:nvSpPr>
          <xdr:spPr>
            <a:xfrm>
              <a:off x="1563159" y="1282456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1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2C911EA6-A4B0-4520-8B44-AEAB4C7369FE}"/>
                </a:ext>
              </a:extLst>
            </xdr:cNvPr>
            <xdr:cNvSpPr txBox="1"/>
          </xdr:nvSpPr>
          <xdr:spPr>
            <a:xfrm>
              <a:off x="1563159" y="1282456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5</xdr:col>
      <xdr:colOff>57150</xdr:colOff>
      <xdr:row>789</xdr:row>
      <xdr:rowOff>152400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D241810-7CB1-410B-B8BA-1AB29FF9A947}"/>
                </a:ext>
              </a:extLst>
            </xdr:cNvPr>
            <xdr:cNvSpPr txBox="1"/>
          </xdr:nvSpPr>
          <xdr:spPr>
            <a:xfrm>
              <a:off x="3981450" y="12794932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1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D241810-7CB1-410B-B8BA-1AB29FF9A947}"/>
                </a:ext>
              </a:extLst>
            </xdr:cNvPr>
            <xdr:cNvSpPr txBox="1"/>
          </xdr:nvSpPr>
          <xdr:spPr>
            <a:xfrm>
              <a:off x="3981450" y="12794932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9</xdr:col>
      <xdr:colOff>257175</xdr:colOff>
      <xdr:row>772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C88A0037-6DB4-4C61-811C-8339574981D9}"/>
                </a:ext>
              </a:extLst>
            </xdr:cNvPr>
            <xdr:cNvSpPr txBox="1"/>
          </xdr:nvSpPr>
          <xdr:spPr>
            <a:xfrm>
              <a:off x="7381875" y="12500610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C88A0037-6DB4-4C61-811C-8339574981D9}"/>
                </a:ext>
              </a:extLst>
            </xdr:cNvPr>
            <xdr:cNvSpPr txBox="1"/>
          </xdr:nvSpPr>
          <xdr:spPr>
            <a:xfrm>
              <a:off x="7381875" y="12500610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953559</xdr:colOff>
      <xdr:row>800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3ED0E00-60D7-4C7B-94E4-3E626FC0B4A3}"/>
                </a:ext>
              </a:extLst>
            </xdr:cNvPr>
            <xdr:cNvSpPr txBox="1"/>
          </xdr:nvSpPr>
          <xdr:spPr>
            <a:xfrm>
              <a:off x="1563159" y="1297220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2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3ED0E00-60D7-4C7B-94E4-3E626FC0B4A3}"/>
                </a:ext>
              </a:extLst>
            </xdr:cNvPr>
            <xdr:cNvSpPr txBox="1"/>
          </xdr:nvSpPr>
          <xdr:spPr>
            <a:xfrm>
              <a:off x="1563159" y="1297220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4</xdr:col>
      <xdr:colOff>426244</xdr:colOff>
      <xdr:row>799</xdr:row>
      <xdr:rowOff>11906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5B09CD2-5B10-4D57-9BF3-1EFB308A9905}"/>
                </a:ext>
              </a:extLst>
            </xdr:cNvPr>
            <xdr:cNvSpPr txBox="1"/>
          </xdr:nvSpPr>
          <xdr:spPr>
            <a:xfrm>
              <a:off x="3550444" y="129456656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2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5B09CD2-5B10-4D57-9BF3-1EFB308A9905}"/>
                </a:ext>
              </a:extLst>
            </xdr:cNvPr>
            <xdr:cNvSpPr txBox="1"/>
          </xdr:nvSpPr>
          <xdr:spPr>
            <a:xfrm>
              <a:off x="3550444" y="129456656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810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A831BA7-1AD1-4B84-B913-BADC1667D894}"/>
                </a:ext>
              </a:extLst>
            </xdr:cNvPr>
            <xdr:cNvSpPr txBox="1"/>
          </xdr:nvSpPr>
          <xdr:spPr>
            <a:xfrm>
              <a:off x="1563159" y="1313984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2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A831BA7-1AD1-4B84-B913-BADC1667D894}"/>
                </a:ext>
              </a:extLst>
            </xdr:cNvPr>
            <xdr:cNvSpPr txBox="1"/>
          </xdr:nvSpPr>
          <xdr:spPr>
            <a:xfrm>
              <a:off x="1563159" y="1313984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4</xdr:col>
      <xdr:colOff>283369</xdr:colOff>
      <xdr:row>809</xdr:row>
      <xdr:rowOff>11906</xdr:rowOff>
    </xdr:from>
    <xdr:ext cx="1323974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5F62694-135A-458D-98C7-E5D0EE9769C2}"/>
                </a:ext>
              </a:extLst>
            </xdr:cNvPr>
            <xdr:cNvSpPr txBox="1"/>
          </xdr:nvSpPr>
          <xdr:spPr>
            <a:xfrm>
              <a:off x="3407569" y="131133056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1+</m:t>
                        </m:r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2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5F62694-135A-458D-98C7-E5D0EE9769C2}"/>
                </a:ext>
              </a:extLst>
            </xdr:cNvPr>
            <xdr:cNvSpPr txBox="1"/>
          </xdr:nvSpPr>
          <xdr:spPr>
            <a:xfrm>
              <a:off x="3407569" y="131133056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1+1/𝑛+(𝑥0−𝑥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212913</xdr:colOff>
      <xdr:row>819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49CE45B6-3B1C-4BB4-B8E0-3E84AF2502EB}"/>
                </a:ext>
              </a:extLst>
            </xdr:cNvPr>
            <xdr:cNvSpPr txBox="1"/>
          </xdr:nvSpPr>
          <xdr:spPr>
            <a:xfrm>
              <a:off x="822513" y="1328984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49CE45B6-3B1C-4BB4-B8E0-3E84AF2502EB}"/>
                </a:ext>
              </a:extLst>
            </xdr:cNvPr>
            <xdr:cNvSpPr txBox="1"/>
          </xdr:nvSpPr>
          <xdr:spPr>
            <a:xfrm>
              <a:off x="822513" y="1328984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𝐻0:𝑎=0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821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5998BAAA-E5B5-48FD-A1F9-237F37E4FC10}"/>
                </a:ext>
              </a:extLst>
            </xdr:cNvPr>
            <xdr:cNvSpPr txBox="1"/>
          </xdr:nvSpPr>
          <xdr:spPr>
            <a:xfrm>
              <a:off x="833717" y="1332446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5998BAAA-E5B5-48FD-A1F9-237F37E4FC10}"/>
                </a:ext>
              </a:extLst>
            </xdr:cNvPr>
            <xdr:cNvSpPr txBox="1"/>
          </xdr:nvSpPr>
          <xdr:spPr>
            <a:xfrm>
              <a:off x="833717" y="1332446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𝐻1:𝑎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6</xdr:col>
      <xdr:colOff>571500</xdr:colOff>
      <xdr:row>821</xdr:row>
      <xdr:rowOff>145675</xdr:rowOff>
    </xdr:from>
    <xdr:ext cx="65" cy="172227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F642D695-31B3-4518-9F23-1FDC740E8F64}"/>
            </a:ext>
          </a:extLst>
        </xdr:cNvPr>
        <xdr:cNvSpPr txBox="1"/>
      </xdr:nvSpPr>
      <xdr:spPr>
        <a:xfrm>
          <a:off x="5105400" y="133267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t-PT" sz="1100"/>
        </a:p>
      </xdr:txBody>
    </xdr:sp>
    <xdr:clientData/>
  </xdr:oneCellAnchor>
  <xdr:oneCellAnchor>
    <xdr:from>
      <xdr:col>1</xdr:col>
      <xdr:colOff>953559</xdr:colOff>
      <xdr:row>828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171C356-7D8B-42AF-80D9-919649B5C340}"/>
                </a:ext>
              </a:extLst>
            </xdr:cNvPr>
            <xdr:cNvSpPr txBox="1"/>
          </xdr:nvSpPr>
          <xdr:spPr>
            <a:xfrm>
              <a:off x="1563159" y="1343702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3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171C356-7D8B-42AF-80D9-919649B5C340}"/>
                </a:ext>
              </a:extLst>
            </xdr:cNvPr>
            <xdr:cNvSpPr txBox="1"/>
          </xdr:nvSpPr>
          <xdr:spPr>
            <a:xfrm>
              <a:off x="1563159" y="1343702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212913</xdr:colOff>
      <xdr:row>837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951FE5C-85DE-4562-90E2-567B6C9F0799}"/>
                </a:ext>
              </a:extLst>
            </xdr:cNvPr>
            <xdr:cNvSpPr txBox="1"/>
          </xdr:nvSpPr>
          <xdr:spPr>
            <a:xfrm>
              <a:off x="822513" y="1358321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951FE5C-85DE-4562-90E2-567B6C9F0799}"/>
                </a:ext>
              </a:extLst>
            </xdr:cNvPr>
            <xdr:cNvSpPr txBox="1"/>
          </xdr:nvSpPr>
          <xdr:spPr>
            <a:xfrm>
              <a:off x="822513" y="1358321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𝐻0:𝑏=0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839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D6860373-6529-46C4-8C8D-ED4F66379070}"/>
                </a:ext>
              </a:extLst>
            </xdr:cNvPr>
            <xdr:cNvSpPr txBox="1"/>
          </xdr:nvSpPr>
          <xdr:spPr>
            <a:xfrm>
              <a:off x="833717" y="1361783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D6860373-6529-46C4-8C8D-ED4F66379070}"/>
                </a:ext>
              </a:extLst>
            </xdr:cNvPr>
            <xdr:cNvSpPr txBox="1"/>
          </xdr:nvSpPr>
          <xdr:spPr>
            <a:xfrm>
              <a:off x="833717" y="1361783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</xdr:col>
      <xdr:colOff>112058</xdr:colOff>
      <xdr:row>837</xdr:row>
      <xdr:rowOff>91889</xdr:rowOff>
    </xdr:from>
    <xdr:ext cx="1361393" cy="549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890BF06-C3F5-4106-88F5-CA20C588EF77}"/>
                </a:ext>
              </a:extLst>
            </xdr:cNvPr>
            <xdr:cNvSpPr txBox="1"/>
          </xdr:nvSpPr>
          <xdr:spPr>
            <a:xfrm>
              <a:off x="2407583" y="135823139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890BF06-C3F5-4106-88F5-CA20C588EF77}"/>
                </a:ext>
              </a:extLst>
            </xdr:cNvPr>
            <xdr:cNvSpPr txBox="1"/>
          </xdr:nvSpPr>
          <xdr:spPr>
            <a:xfrm>
              <a:off x="2407583" y="135823139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𝑇_0=(𝑏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_0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</a:t>
              </a:r>
              <a:r>
                <a:rPr lang="pt-PT" sz="1400" b="0" i="0">
                  <a:latin typeface="Cambria Math" panose="02040503050406030204" pitchFamily="18" charset="0"/>
                </a:rPr>
                <a:t>𝑆/√(𝑆_𝑥𝑥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953559</xdr:colOff>
      <xdr:row>846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576B12B-FC1A-49C6-AE71-576D1378489F}"/>
                </a:ext>
              </a:extLst>
            </xdr:cNvPr>
            <xdr:cNvSpPr txBox="1"/>
          </xdr:nvSpPr>
          <xdr:spPr>
            <a:xfrm>
              <a:off x="1563159" y="1373039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3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576B12B-FC1A-49C6-AE71-576D1378489F}"/>
                </a:ext>
              </a:extLst>
            </xdr:cNvPr>
            <xdr:cNvSpPr txBox="1"/>
          </xdr:nvSpPr>
          <xdr:spPr>
            <a:xfrm>
              <a:off x="1563159" y="1373039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809626</xdr:colOff>
      <xdr:row>819</xdr:row>
      <xdr:rowOff>83342</xdr:rowOff>
    </xdr:from>
    <xdr:ext cx="1361393" cy="876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C5EC91DA-9A10-4F2A-97C1-B3E013FDF673}"/>
                </a:ext>
              </a:extLst>
            </xdr:cNvPr>
            <xdr:cNvSpPr txBox="1"/>
          </xdr:nvSpPr>
          <xdr:spPr>
            <a:xfrm>
              <a:off x="3105151" y="132880892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acc>
                                  <m:accPr>
                                    <m:chr m:val="̅"/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sSup>
                                      <m:sSupPr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  <m:sup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acc>
                              </m:num>
                              <m:den>
                                <m:sSub>
                                  <m:sSubPr>
                                    <m:ctrlP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𝑆</m:t>
                                    </m:r>
                                  </m:e>
                                  <m:sub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𝑥𝑥</m:t>
                                    </m:r>
                                  </m:sub>
                                </m:sSub>
                              </m:den>
                            </m:f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C5EC91DA-9A10-4F2A-97C1-B3E013FDF673}"/>
                </a:ext>
              </a:extLst>
            </xdr:cNvPr>
            <xdr:cNvSpPr txBox="1"/>
          </xdr:nvSpPr>
          <xdr:spPr>
            <a:xfrm>
              <a:off x="3105151" y="132880892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𝑇_0=(𝑎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_0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</a:t>
              </a:r>
              <a:r>
                <a:rPr lang="pt-PT" sz="1400" b="0" i="0">
                  <a:latin typeface="Cambria Math" panose="02040503050406030204" pitchFamily="18" charset="0"/>
                </a:rPr>
                <a:t>𝑆/√(1/𝑛+(𝑥^2 ) ̅/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𝑆_𝑥𝑥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6</xdr:col>
      <xdr:colOff>324971</xdr:colOff>
      <xdr:row>822</xdr:row>
      <xdr:rowOff>9105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BB65945B-4C5C-4666-993C-5FA75CA1892B}"/>
                </a:ext>
              </a:extLst>
            </xdr:cNvPr>
            <xdr:cNvSpPr txBox="1"/>
          </xdr:nvSpPr>
          <xdr:spPr>
            <a:xfrm>
              <a:off x="4908177" y="12938101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BB65945B-4C5C-4666-993C-5FA75CA1892B}"/>
                </a:ext>
              </a:extLst>
            </xdr:cNvPr>
            <xdr:cNvSpPr txBox="1"/>
          </xdr:nvSpPr>
          <xdr:spPr>
            <a:xfrm>
              <a:off x="4908177" y="12938101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340518</xdr:colOff>
      <xdr:row>839</xdr:row>
      <xdr:rowOff>154781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D56C6BFB-4473-448F-8653-D0881D677008}"/>
                </a:ext>
              </a:extLst>
            </xdr:cNvPr>
            <xdr:cNvSpPr txBox="1"/>
          </xdr:nvSpPr>
          <xdr:spPr>
            <a:xfrm>
              <a:off x="4931568" y="136209881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D56C6BFB-4473-448F-8653-D0881D677008}"/>
                </a:ext>
              </a:extLst>
            </xdr:cNvPr>
            <xdr:cNvSpPr txBox="1"/>
          </xdr:nvSpPr>
          <xdr:spPr>
            <a:xfrm>
              <a:off x="4931568" y="136209881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95250</xdr:colOff>
      <xdr:row>840</xdr:row>
      <xdr:rowOff>107156</xdr:rowOff>
    </xdr:from>
    <xdr:ext cx="607219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DF692BD-FE6C-4F4F-BBA1-780886A7296A}"/>
                </a:ext>
              </a:extLst>
            </xdr:cNvPr>
            <xdr:cNvSpPr txBox="1"/>
          </xdr:nvSpPr>
          <xdr:spPr>
            <a:xfrm>
              <a:off x="1733550" y="136324181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13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DF692BD-FE6C-4F4F-BBA1-780886A7296A}"/>
                </a:ext>
              </a:extLst>
            </xdr:cNvPr>
            <xdr:cNvSpPr txBox="1"/>
          </xdr:nvSpPr>
          <xdr:spPr>
            <a:xfrm>
              <a:off x="1733550" y="136324181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oneCellAnchor>
    <xdr:from>
      <xdr:col>1</xdr:col>
      <xdr:colOff>881063</xdr:colOff>
      <xdr:row>822</xdr:row>
      <xdr:rowOff>95250</xdr:rowOff>
    </xdr:from>
    <xdr:ext cx="821532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3524CEF-65DD-4E07-8B52-5D1869FB15F4}"/>
                </a:ext>
              </a:extLst>
            </xdr:cNvPr>
            <xdr:cNvSpPr txBox="1"/>
          </xdr:nvSpPr>
          <xdr:spPr>
            <a:xfrm>
              <a:off x="1490663" y="133378575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acc>
                              <m:accPr>
                                <m:chr m:val="̅"/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sSup>
                                  <m:sSupPr>
                                    <m:ctrlP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e>
                                  <m:sup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acc>
                          </m:num>
                          <m:den>
                            <m:sSub>
                              <m:sSubPr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13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3524CEF-65DD-4E07-8B52-5D1869FB15F4}"/>
                </a:ext>
              </a:extLst>
            </xdr:cNvPr>
            <xdr:cNvSpPr txBox="1"/>
          </xdr:nvSpPr>
          <xdr:spPr>
            <a:xfrm>
              <a:off x="1490663" y="133378575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effectLst/>
                  <a:latin typeface="+mn-lt"/>
                  <a:ea typeface="+mn-ea"/>
                  <a:cs typeface="+mn-cs"/>
                </a:rPr>
                <a:t>1/𝑛+(𝑥^2 ) ̅/𝑆_𝑥𝑥 </a:t>
              </a:r>
              <a:r>
                <a:rPr lang="pt-PT" sz="1200" b="0" i="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oneCellAnchor>
    <xdr:from>
      <xdr:col>3</xdr:col>
      <xdr:colOff>726283</xdr:colOff>
      <xdr:row>855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898A5F5B-1B86-4732-909D-2CACD0159C32}"/>
                </a:ext>
              </a:extLst>
            </xdr:cNvPr>
            <xdr:cNvSpPr txBox="1"/>
          </xdr:nvSpPr>
          <xdr:spPr>
            <a:xfrm>
              <a:off x="3021808" y="13879592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898A5F5B-1B86-4732-909D-2CACD0159C32}"/>
                </a:ext>
              </a:extLst>
            </xdr:cNvPr>
            <xdr:cNvSpPr txBox="1"/>
          </xdr:nvSpPr>
          <xdr:spPr>
            <a:xfrm>
              <a:off x="3021808" y="13879592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</xdr:col>
      <xdr:colOff>678656</xdr:colOff>
      <xdr:row>857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BC376F24-8BCF-4AD3-AA49-709DC45C84ED}"/>
                </a:ext>
              </a:extLst>
            </xdr:cNvPr>
            <xdr:cNvSpPr txBox="1"/>
          </xdr:nvSpPr>
          <xdr:spPr>
            <a:xfrm>
              <a:off x="2974181" y="1390959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BC376F24-8BCF-4AD3-AA49-709DC45C84ED}"/>
                </a:ext>
              </a:extLst>
            </xdr:cNvPr>
            <xdr:cNvSpPr txBox="1"/>
          </xdr:nvSpPr>
          <xdr:spPr>
            <a:xfrm>
              <a:off x="2974181" y="1390959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352425</xdr:colOff>
      <xdr:row>56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F02BD076-D7E5-4396-A810-9C5C68823B43}"/>
                </a:ext>
              </a:extLst>
            </xdr:cNvPr>
            <xdr:cNvSpPr txBox="1"/>
          </xdr:nvSpPr>
          <xdr:spPr>
            <a:xfrm>
              <a:off x="9829800" y="922972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F02BD076-D7E5-4396-A810-9C5C68823B43}"/>
                </a:ext>
              </a:extLst>
            </xdr:cNvPr>
            <xdr:cNvSpPr txBox="1"/>
          </xdr:nvSpPr>
          <xdr:spPr>
            <a:xfrm>
              <a:off x="9829800" y="922972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333375</xdr:colOff>
      <xdr:row>59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C3691D88-B203-40FE-9F44-6108BF4A2520}"/>
                </a:ext>
              </a:extLst>
            </xdr:cNvPr>
            <xdr:cNvSpPr txBox="1"/>
          </xdr:nvSpPr>
          <xdr:spPr>
            <a:xfrm>
              <a:off x="9810750" y="95535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C3691D88-B203-40FE-9F44-6108BF4A2520}"/>
                </a:ext>
              </a:extLst>
            </xdr:cNvPr>
            <xdr:cNvSpPr txBox="1"/>
          </xdr:nvSpPr>
          <xdr:spPr>
            <a:xfrm>
              <a:off x="9810750" y="95535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61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B36D4057-358B-4540-9FDF-81B560AD9E56}"/>
                </a:ext>
              </a:extLst>
            </xdr:cNvPr>
            <xdr:cNvSpPr txBox="1"/>
          </xdr:nvSpPr>
          <xdr:spPr>
            <a:xfrm>
              <a:off x="9734550" y="98774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B36D4057-358B-4540-9FDF-81B560AD9E56}"/>
                </a:ext>
              </a:extLst>
            </xdr:cNvPr>
            <xdr:cNvSpPr txBox="1"/>
          </xdr:nvSpPr>
          <xdr:spPr>
            <a:xfrm>
              <a:off x="9734550" y="98774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18</xdr:col>
      <xdr:colOff>145258</xdr:colOff>
      <xdr:row>55</xdr:row>
      <xdr:rowOff>71438</xdr:rowOff>
    </xdr:from>
    <xdr:to>
      <xdr:col>21</xdr:col>
      <xdr:colOff>307182</xdr:colOff>
      <xdr:row>66</xdr:row>
      <xdr:rowOff>149295</xdr:rowOff>
    </xdr:to>
    <xdr:pic>
      <xdr:nvPicPr>
        <xdr:cNvPr id="145" name="Imagem 144" descr="Imagem">
          <a:extLst>
            <a:ext uri="{FF2B5EF4-FFF2-40B4-BE49-F238E27FC236}">
              <a16:creationId xmlns:a16="http://schemas.microsoft.com/office/drawing/2014/main" id="{05C97CD4-1C1C-40D1-B481-D98A77270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27908" y="8977313"/>
          <a:ext cx="1990724" cy="18590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488157</xdr:colOff>
      <xdr:row>67</xdr:row>
      <xdr:rowOff>30232</xdr:rowOff>
    </xdr:from>
    <xdr:to>
      <xdr:col>23</xdr:col>
      <xdr:colOff>345859</xdr:colOff>
      <xdr:row>73</xdr:row>
      <xdr:rowOff>139921</xdr:rowOff>
    </xdr:to>
    <xdr:pic>
      <xdr:nvPicPr>
        <xdr:cNvPr id="146" name="Imagem 145">
          <a:extLst>
            <a:ext uri="{FF2B5EF4-FFF2-40B4-BE49-F238E27FC236}">
              <a16:creationId xmlns:a16="http://schemas.microsoft.com/office/drawing/2014/main" id="{476D2E07-C0E5-4CC0-AADB-8A204FA93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51607" y="10898257"/>
          <a:ext cx="4124902" cy="1081239"/>
        </a:xfrm>
        <a:prstGeom prst="rect">
          <a:avLst/>
        </a:prstGeom>
      </xdr:spPr>
    </xdr:pic>
    <xdr:clientData/>
  </xdr:twoCellAnchor>
  <xdr:oneCellAnchor>
    <xdr:from>
      <xdr:col>12</xdr:col>
      <xdr:colOff>726283</xdr:colOff>
      <xdr:row>71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49F1674F-11B0-4871-8CE3-F979FB55E236}"/>
                </a:ext>
              </a:extLst>
            </xdr:cNvPr>
            <xdr:cNvSpPr txBox="1"/>
          </xdr:nvSpPr>
          <xdr:spPr>
            <a:xfrm>
              <a:off x="10089358" y="1165622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49F1674F-11B0-4871-8CE3-F979FB55E236}"/>
                </a:ext>
              </a:extLst>
            </xdr:cNvPr>
            <xdr:cNvSpPr txBox="1"/>
          </xdr:nvSpPr>
          <xdr:spPr>
            <a:xfrm>
              <a:off x="10089358" y="1165622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678656</xdr:colOff>
      <xdr:row>73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DF6C0DE-75EF-4AB1-A391-97F781B7B218}"/>
                </a:ext>
              </a:extLst>
            </xdr:cNvPr>
            <xdr:cNvSpPr txBox="1"/>
          </xdr:nvSpPr>
          <xdr:spPr>
            <a:xfrm>
              <a:off x="10089356" y="119562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DF6C0DE-75EF-4AB1-A391-97F781B7B218}"/>
                </a:ext>
              </a:extLst>
            </xdr:cNvPr>
            <xdr:cNvSpPr txBox="1"/>
          </xdr:nvSpPr>
          <xdr:spPr>
            <a:xfrm>
              <a:off x="10089356" y="119562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352425</xdr:colOff>
      <xdr:row>183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412ADDAB-802C-4738-959E-BA1712241F1B}"/>
                </a:ext>
              </a:extLst>
            </xdr:cNvPr>
            <xdr:cNvSpPr txBox="1"/>
          </xdr:nvSpPr>
          <xdr:spPr>
            <a:xfrm>
              <a:off x="8566337" y="8947336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412ADDAB-802C-4738-959E-BA1712241F1B}"/>
                </a:ext>
              </a:extLst>
            </xdr:cNvPr>
            <xdr:cNvSpPr txBox="1"/>
          </xdr:nvSpPr>
          <xdr:spPr>
            <a:xfrm>
              <a:off x="8566337" y="8947336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333375</xdr:colOff>
      <xdr:row>186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9C5F3001-F18D-4D6F-A1D1-7F41B54D1BAE}"/>
                </a:ext>
              </a:extLst>
            </xdr:cNvPr>
            <xdr:cNvSpPr txBox="1"/>
          </xdr:nvSpPr>
          <xdr:spPr>
            <a:xfrm>
              <a:off x="8547287" y="925605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9C5F3001-F18D-4D6F-A1D1-7F41B54D1BAE}"/>
                </a:ext>
              </a:extLst>
            </xdr:cNvPr>
            <xdr:cNvSpPr txBox="1"/>
          </xdr:nvSpPr>
          <xdr:spPr>
            <a:xfrm>
              <a:off x="8547287" y="925605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188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1D42BB5F-110C-4F4D-B439-AD63579223B0}"/>
                </a:ext>
              </a:extLst>
            </xdr:cNvPr>
            <xdr:cNvSpPr txBox="1"/>
          </xdr:nvSpPr>
          <xdr:spPr>
            <a:xfrm>
              <a:off x="8471087" y="956982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1D42BB5F-110C-4F4D-B439-AD63579223B0}"/>
                </a:ext>
              </a:extLst>
            </xdr:cNvPr>
            <xdr:cNvSpPr txBox="1"/>
          </xdr:nvSpPr>
          <xdr:spPr>
            <a:xfrm>
              <a:off x="8471087" y="956982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145258</xdr:colOff>
      <xdr:row>182</xdr:row>
      <xdr:rowOff>71438</xdr:rowOff>
    </xdr:from>
    <xdr:ext cx="1977277" cy="1825975"/>
    <xdr:pic>
      <xdr:nvPicPr>
        <xdr:cNvPr id="152" name="Imagem 151" descr="Imagem">
          <a:extLst>
            <a:ext uri="{FF2B5EF4-FFF2-40B4-BE49-F238E27FC236}">
              <a16:creationId xmlns:a16="http://schemas.microsoft.com/office/drawing/2014/main" id="{B97B1A97-8D00-4987-A09E-F256BC8DC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9876" y="8699967"/>
          <a:ext cx="1977277" cy="182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488157</xdr:colOff>
      <xdr:row>194</xdr:row>
      <xdr:rowOff>30232</xdr:rowOff>
    </xdr:from>
    <xdr:ext cx="4093526" cy="1062189"/>
    <xdr:pic>
      <xdr:nvPicPr>
        <xdr:cNvPr id="153" name="Imagem 152">
          <a:extLst>
            <a:ext uri="{FF2B5EF4-FFF2-40B4-BE49-F238E27FC236}">
              <a16:creationId xmlns:a16="http://schemas.microsoft.com/office/drawing/2014/main" id="{8E033529-ADC1-4623-8F12-2D59D24FF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22539" y="10563761"/>
          <a:ext cx="4093526" cy="1062189"/>
        </a:xfrm>
        <a:prstGeom prst="rect">
          <a:avLst/>
        </a:prstGeom>
      </xdr:spPr>
    </xdr:pic>
    <xdr:clientData/>
  </xdr:oneCellAnchor>
  <xdr:oneCellAnchor>
    <xdr:from>
      <xdr:col>12</xdr:col>
      <xdr:colOff>726283</xdr:colOff>
      <xdr:row>198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05CB1643-491E-4A24-BE59-5DD15BCC391B}"/>
                </a:ext>
              </a:extLst>
            </xdr:cNvPr>
            <xdr:cNvSpPr txBox="1"/>
          </xdr:nvSpPr>
          <xdr:spPr>
            <a:xfrm>
              <a:off x="8825895" y="11303235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05CB1643-491E-4A24-BE59-5DD15BCC391B}"/>
                </a:ext>
              </a:extLst>
            </xdr:cNvPr>
            <xdr:cNvSpPr txBox="1"/>
          </xdr:nvSpPr>
          <xdr:spPr>
            <a:xfrm>
              <a:off x="8825895" y="11303235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678656</xdr:colOff>
      <xdr:row>200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F28F6842-0BB6-4BDE-80FF-CCCECA6F6A57}"/>
                </a:ext>
              </a:extLst>
            </xdr:cNvPr>
            <xdr:cNvSpPr txBox="1"/>
          </xdr:nvSpPr>
          <xdr:spPr>
            <a:xfrm>
              <a:off x="8825893" y="11593184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F28F6842-0BB6-4BDE-80FF-CCCECA6F6A57}"/>
                </a:ext>
              </a:extLst>
            </xdr:cNvPr>
            <xdr:cNvSpPr txBox="1"/>
          </xdr:nvSpPr>
          <xdr:spPr>
            <a:xfrm>
              <a:off x="8825893" y="11593184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304798</xdr:colOff>
      <xdr:row>307</xdr:row>
      <xdr:rowOff>9525</xdr:rowOff>
    </xdr:from>
    <xdr:ext cx="3352802" cy="3429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AF99BAFD-228C-4DB7-B118-0AC08ADA23F6}"/>
                </a:ext>
              </a:extLst>
            </xdr:cNvPr>
            <xdr:cNvSpPr txBox="1"/>
          </xdr:nvSpPr>
          <xdr:spPr>
            <a:xfrm>
              <a:off x="6703357" y="28281966"/>
              <a:ext cx="3352802" cy="3429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=−23,9041+0,2199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AF99BAFD-228C-4DB7-B118-0AC08ADA23F6}"/>
                </a:ext>
              </a:extLst>
            </xdr:cNvPr>
            <xdr:cNvSpPr txBox="1"/>
          </xdr:nvSpPr>
          <xdr:spPr>
            <a:xfrm>
              <a:off x="6703357" y="28281966"/>
              <a:ext cx="3352802" cy="3429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̂=−23,9041+0,2199𝑥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352425</xdr:colOff>
      <xdr:row>310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8403D9-C6EC-4362-9C7A-CE4BBC016104}"/>
                </a:ext>
              </a:extLst>
            </xdr:cNvPr>
            <xdr:cNvSpPr txBox="1"/>
          </xdr:nvSpPr>
          <xdr:spPr>
            <a:xfrm>
              <a:off x="8566337" y="28905012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8403D9-C6EC-4362-9C7A-CE4BBC016104}"/>
                </a:ext>
              </a:extLst>
            </xdr:cNvPr>
            <xdr:cNvSpPr txBox="1"/>
          </xdr:nvSpPr>
          <xdr:spPr>
            <a:xfrm>
              <a:off x="8566337" y="28905012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333375</xdr:colOff>
      <xdr:row>313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E2CF6241-08C9-4E2C-AC47-ADECE7DE6C66}"/>
                </a:ext>
              </a:extLst>
            </xdr:cNvPr>
            <xdr:cNvSpPr txBox="1"/>
          </xdr:nvSpPr>
          <xdr:spPr>
            <a:xfrm>
              <a:off x="8547287" y="2921373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E2CF6241-08C9-4E2C-AC47-ADECE7DE6C66}"/>
                </a:ext>
              </a:extLst>
            </xdr:cNvPr>
            <xdr:cNvSpPr txBox="1"/>
          </xdr:nvSpPr>
          <xdr:spPr>
            <a:xfrm>
              <a:off x="8547287" y="2921373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315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8B3265A3-06DE-4BEC-98B2-6C2011995A28}"/>
                </a:ext>
              </a:extLst>
            </xdr:cNvPr>
            <xdr:cNvSpPr txBox="1"/>
          </xdr:nvSpPr>
          <xdr:spPr>
            <a:xfrm>
              <a:off x="8471087" y="2952750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8B3265A3-06DE-4BEC-98B2-6C2011995A28}"/>
                </a:ext>
              </a:extLst>
            </xdr:cNvPr>
            <xdr:cNvSpPr txBox="1"/>
          </xdr:nvSpPr>
          <xdr:spPr>
            <a:xfrm>
              <a:off x="8471087" y="2952750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145258</xdr:colOff>
      <xdr:row>309</xdr:row>
      <xdr:rowOff>71438</xdr:rowOff>
    </xdr:from>
    <xdr:ext cx="1977277" cy="1825975"/>
    <xdr:pic>
      <xdr:nvPicPr>
        <xdr:cNvPr id="160" name="Imagem 159" descr="Imagem">
          <a:extLst>
            <a:ext uri="{FF2B5EF4-FFF2-40B4-BE49-F238E27FC236}">
              <a16:creationId xmlns:a16="http://schemas.microsoft.com/office/drawing/2014/main" id="{90F30268-D065-4CC9-96B5-330A5F31B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9876" y="28657644"/>
          <a:ext cx="1977277" cy="182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488157</xdr:colOff>
      <xdr:row>321</xdr:row>
      <xdr:rowOff>30232</xdr:rowOff>
    </xdr:from>
    <xdr:ext cx="4093526" cy="1062189"/>
    <xdr:pic>
      <xdr:nvPicPr>
        <xdr:cNvPr id="161" name="Imagem 160">
          <a:extLst>
            <a:ext uri="{FF2B5EF4-FFF2-40B4-BE49-F238E27FC236}">
              <a16:creationId xmlns:a16="http://schemas.microsoft.com/office/drawing/2014/main" id="{ECD1633D-236E-4C74-8524-0C76CBA63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22539" y="30521438"/>
          <a:ext cx="4093526" cy="1062189"/>
        </a:xfrm>
        <a:prstGeom prst="rect">
          <a:avLst/>
        </a:prstGeom>
      </xdr:spPr>
    </xdr:pic>
    <xdr:clientData/>
  </xdr:oneCellAnchor>
  <xdr:oneCellAnchor>
    <xdr:from>
      <xdr:col>12</xdr:col>
      <xdr:colOff>726283</xdr:colOff>
      <xdr:row>325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37A89B5B-E912-4CDD-9320-C61C6C8A5B02}"/>
                </a:ext>
              </a:extLst>
            </xdr:cNvPr>
            <xdr:cNvSpPr txBox="1"/>
          </xdr:nvSpPr>
          <xdr:spPr>
            <a:xfrm>
              <a:off x="8825895" y="31260911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37A89B5B-E912-4CDD-9320-C61C6C8A5B02}"/>
                </a:ext>
              </a:extLst>
            </xdr:cNvPr>
            <xdr:cNvSpPr txBox="1"/>
          </xdr:nvSpPr>
          <xdr:spPr>
            <a:xfrm>
              <a:off x="8825895" y="31260911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678656</xdr:colOff>
      <xdr:row>327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97CC1169-850E-4E9E-AD1D-C16AC53DD05A}"/>
                </a:ext>
              </a:extLst>
            </xdr:cNvPr>
            <xdr:cNvSpPr txBox="1"/>
          </xdr:nvSpPr>
          <xdr:spPr>
            <a:xfrm>
              <a:off x="8825893" y="31550861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97CC1169-850E-4E9E-AD1D-C16AC53DD05A}"/>
                </a:ext>
              </a:extLst>
            </xdr:cNvPr>
            <xdr:cNvSpPr txBox="1"/>
          </xdr:nvSpPr>
          <xdr:spPr>
            <a:xfrm>
              <a:off x="8825893" y="31550861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352425</xdr:colOff>
      <xdr:row>437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D79E98C3-DC18-4C4B-B515-AD6242816752}"/>
                </a:ext>
              </a:extLst>
            </xdr:cNvPr>
            <xdr:cNvSpPr txBox="1"/>
          </xdr:nvSpPr>
          <xdr:spPr>
            <a:xfrm>
              <a:off x="8566337" y="4886268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D79E98C3-DC18-4C4B-B515-AD6242816752}"/>
                </a:ext>
              </a:extLst>
            </xdr:cNvPr>
            <xdr:cNvSpPr txBox="1"/>
          </xdr:nvSpPr>
          <xdr:spPr>
            <a:xfrm>
              <a:off x="8566337" y="4886268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333375</xdr:colOff>
      <xdr:row>440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2450A569-F42A-4085-8241-5FE78EEE3320}"/>
                </a:ext>
              </a:extLst>
            </xdr:cNvPr>
            <xdr:cNvSpPr txBox="1"/>
          </xdr:nvSpPr>
          <xdr:spPr>
            <a:xfrm>
              <a:off x="8547287" y="49171412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2450A569-F42A-4085-8241-5FE78EEE3320}"/>
                </a:ext>
              </a:extLst>
            </xdr:cNvPr>
            <xdr:cNvSpPr txBox="1"/>
          </xdr:nvSpPr>
          <xdr:spPr>
            <a:xfrm>
              <a:off x="8547287" y="49171412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442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2DFFA59E-BD84-43F8-9040-A9AE3635B706}"/>
                </a:ext>
              </a:extLst>
            </xdr:cNvPr>
            <xdr:cNvSpPr txBox="1"/>
          </xdr:nvSpPr>
          <xdr:spPr>
            <a:xfrm>
              <a:off x="8471087" y="49485176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2DFFA59E-BD84-43F8-9040-A9AE3635B706}"/>
                </a:ext>
              </a:extLst>
            </xdr:cNvPr>
            <xdr:cNvSpPr txBox="1"/>
          </xdr:nvSpPr>
          <xdr:spPr>
            <a:xfrm>
              <a:off x="8471087" y="49485176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145258</xdr:colOff>
      <xdr:row>436</xdr:row>
      <xdr:rowOff>71438</xdr:rowOff>
    </xdr:from>
    <xdr:ext cx="1977277" cy="1825975"/>
    <xdr:pic>
      <xdr:nvPicPr>
        <xdr:cNvPr id="168" name="Imagem 167" descr="Imagem">
          <a:extLst>
            <a:ext uri="{FF2B5EF4-FFF2-40B4-BE49-F238E27FC236}">
              <a16:creationId xmlns:a16="http://schemas.microsoft.com/office/drawing/2014/main" id="{452E44B2-010C-4CF8-B12E-CDA340653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9876" y="48615320"/>
          <a:ext cx="1977277" cy="182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488157</xdr:colOff>
      <xdr:row>448</xdr:row>
      <xdr:rowOff>30232</xdr:rowOff>
    </xdr:from>
    <xdr:ext cx="4093526" cy="1062189"/>
    <xdr:pic>
      <xdr:nvPicPr>
        <xdr:cNvPr id="169" name="Imagem 168">
          <a:extLst>
            <a:ext uri="{FF2B5EF4-FFF2-40B4-BE49-F238E27FC236}">
              <a16:creationId xmlns:a16="http://schemas.microsoft.com/office/drawing/2014/main" id="{AA364A4B-424D-4914-B71C-1C304975E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22539" y="50479114"/>
          <a:ext cx="4093526" cy="1062189"/>
        </a:xfrm>
        <a:prstGeom prst="rect">
          <a:avLst/>
        </a:prstGeom>
      </xdr:spPr>
    </xdr:pic>
    <xdr:clientData/>
  </xdr:oneCellAnchor>
  <xdr:oneCellAnchor>
    <xdr:from>
      <xdr:col>12</xdr:col>
      <xdr:colOff>726283</xdr:colOff>
      <xdr:row>452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C1533BEF-6732-44AB-8E8E-A32DF4C0B7E1}"/>
                </a:ext>
              </a:extLst>
            </xdr:cNvPr>
            <xdr:cNvSpPr txBox="1"/>
          </xdr:nvSpPr>
          <xdr:spPr>
            <a:xfrm>
              <a:off x="8825895" y="51218588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C1533BEF-6732-44AB-8E8E-A32DF4C0B7E1}"/>
                </a:ext>
              </a:extLst>
            </xdr:cNvPr>
            <xdr:cNvSpPr txBox="1"/>
          </xdr:nvSpPr>
          <xdr:spPr>
            <a:xfrm>
              <a:off x="8825895" y="51218588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678656</xdr:colOff>
      <xdr:row>454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4FE55390-183A-46A3-9311-A924647B97E3}"/>
                </a:ext>
              </a:extLst>
            </xdr:cNvPr>
            <xdr:cNvSpPr txBox="1"/>
          </xdr:nvSpPr>
          <xdr:spPr>
            <a:xfrm>
              <a:off x="8825893" y="51508537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4FE55390-183A-46A3-9311-A924647B97E3}"/>
                </a:ext>
              </a:extLst>
            </xdr:cNvPr>
            <xdr:cNvSpPr txBox="1"/>
          </xdr:nvSpPr>
          <xdr:spPr>
            <a:xfrm>
              <a:off x="8825893" y="51508537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352425</xdr:colOff>
      <xdr:row>564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68F94112-C9CB-4F41-AD9B-657FA16CA5C8}"/>
                </a:ext>
              </a:extLst>
            </xdr:cNvPr>
            <xdr:cNvSpPr txBox="1"/>
          </xdr:nvSpPr>
          <xdr:spPr>
            <a:xfrm>
              <a:off x="8566337" y="6882036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68F94112-C9CB-4F41-AD9B-657FA16CA5C8}"/>
                </a:ext>
              </a:extLst>
            </xdr:cNvPr>
            <xdr:cNvSpPr txBox="1"/>
          </xdr:nvSpPr>
          <xdr:spPr>
            <a:xfrm>
              <a:off x="8566337" y="6882036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333375</xdr:colOff>
      <xdr:row>567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F384B09B-3119-43AC-9BF6-3AA36D9EAFD8}"/>
                </a:ext>
              </a:extLst>
            </xdr:cNvPr>
            <xdr:cNvSpPr txBox="1"/>
          </xdr:nvSpPr>
          <xdr:spPr>
            <a:xfrm>
              <a:off x="8547287" y="6912908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F384B09B-3119-43AC-9BF6-3AA36D9EAFD8}"/>
                </a:ext>
              </a:extLst>
            </xdr:cNvPr>
            <xdr:cNvSpPr txBox="1"/>
          </xdr:nvSpPr>
          <xdr:spPr>
            <a:xfrm>
              <a:off x="8547287" y="69129088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569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DD9165C3-3E80-4CBE-8F3C-AEF6EAB456DD}"/>
                </a:ext>
              </a:extLst>
            </xdr:cNvPr>
            <xdr:cNvSpPr txBox="1"/>
          </xdr:nvSpPr>
          <xdr:spPr>
            <a:xfrm>
              <a:off x="8471087" y="69442853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DD9165C3-3E80-4CBE-8F3C-AEF6EAB456DD}"/>
                </a:ext>
              </a:extLst>
            </xdr:cNvPr>
            <xdr:cNvSpPr txBox="1"/>
          </xdr:nvSpPr>
          <xdr:spPr>
            <a:xfrm>
              <a:off x="8471087" y="69442853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145258</xdr:colOff>
      <xdr:row>563</xdr:row>
      <xdr:rowOff>71438</xdr:rowOff>
    </xdr:from>
    <xdr:ext cx="1977277" cy="1825975"/>
    <xdr:pic>
      <xdr:nvPicPr>
        <xdr:cNvPr id="176" name="Imagem 175" descr="Imagem">
          <a:extLst>
            <a:ext uri="{FF2B5EF4-FFF2-40B4-BE49-F238E27FC236}">
              <a16:creationId xmlns:a16="http://schemas.microsoft.com/office/drawing/2014/main" id="{7EFCD149-220D-42E5-A963-2AB0306CB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9876" y="68572997"/>
          <a:ext cx="1977277" cy="182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488157</xdr:colOff>
      <xdr:row>575</xdr:row>
      <xdr:rowOff>30232</xdr:rowOff>
    </xdr:from>
    <xdr:ext cx="4093526" cy="1062189"/>
    <xdr:pic>
      <xdr:nvPicPr>
        <xdr:cNvPr id="177" name="Imagem 176">
          <a:extLst>
            <a:ext uri="{FF2B5EF4-FFF2-40B4-BE49-F238E27FC236}">
              <a16:creationId xmlns:a16="http://schemas.microsoft.com/office/drawing/2014/main" id="{1CBA7DB7-EAA1-4496-9B94-772DBD56B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22539" y="70436791"/>
          <a:ext cx="4093526" cy="1062189"/>
        </a:xfrm>
        <a:prstGeom prst="rect">
          <a:avLst/>
        </a:prstGeom>
      </xdr:spPr>
    </xdr:pic>
    <xdr:clientData/>
  </xdr:oneCellAnchor>
  <xdr:oneCellAnchor>
    <xdr:from>
      <xdr:col>12</xdr:col>
      <xdr:colOff>726283</xdr:colOff>
      <xdr:row>579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4EAC4E32-C891-41CB-A5EF-A21C0C583D87}"/>
                </a:ext>
              </a:extLst>
            </xdr:cNvPr>
            <xdr:cNvSpPr txBox="1"/>
          </xdr:nvSpPr>
          <xdr:spPr>
            <a:xfrm>
              <a:off x="8825895" y="71176264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4EAC4E32-C891-41CB-A5EF-A21C0C583D87}"/>
                </a:ext>
              </a:extLst>
            </xdr:cNvPr>
            <xdr:cNvSpPr txBox="1"/>
          </xdr:nvSpPr>
          <xdr:spPr>
            <a:xfrm>
              <a:off x="8825895" y="71176264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678656</xdr:colOff>
      <xdr:row>581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2AE96CA-2935-4C01-99B3-7A6C5D23A0C2}"/>
                </a:ext>
              </a:extLst>
            </xdr:cNvPr>
            <xdr:cNvSpPr txBox="1"/>
          </xdr:nvSpPr>
          <xdr:spPr>
            <a:xfrm>
              <a:off x="8825893" y="71466214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2AE96CA-2935-4C01-99B3-7A6C5D23A0C2}"/>
                </a:ext>
              </a:extLst>
            </xdr:cNvPr>
            <xdr:cNvSpPr txBox="1"/>
          </xdr:nvSpPr>
          <xdr:spPr>
            <a:xfrm>
              <a:off x="8825893" y="71466214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352425</xdr:colOff>
      <xdr:row>691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5AB68C05-D98B-486C-B871-3370D4CB0BEF}"/>
                </a:ext>
              </a:extLst>
            </xdr:cNvPr>
            <xdr:cNvSpPr txBox="1"/>
          </xdr:nvSpPr>
          <xdr:spPr>
            <a:xfrm>
              <a:off x="8566337" y="88778042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5AB68C05-D98B-486C-B871-3370D4CB0BEF}"/>
                </a:ext>
              </a:extLst>
            </xdr:cNvPr>
            <xdr:cNvSpPr txBox="1"/>
          </xdr:nvSpPr>
          <xdr:spPr>
            <a:xfrm>
              <a:off x="8566337" y="88778042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333375</xdr:colOff>
      <xdr:row>694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04C77F1B-5E76-454E-8C73-E3F89924F82E}"/>
                </a:ext>
              </a:extLst>
            </xdr:cNvPr>
            <xdr:cNvSpPr txBox="1"/>
          </xdr:nvSpPr>
          <xdr:spPr>
            <a:xfrm>
              <a:off x="8547287" y="8908676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04C77F1B-5E76-454E-8C73-E3F89924F82E}"/>
                </a:ext>
              </a:extLst>
            </xdr:cNvPr>
            <xdr:cNvSpPr txBox="1"/>
          </xdr:nvSpPr>
          <xdr:spPr>
            <a:xfrm>
              <a:off x="8547287" y="8908676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257175</xdr:colOff>
      <xdr:row>696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51C35A47-FACF-481B-A02B-A5945178A2D6}"/>
                </a:ext>
              </a:extLst>
            </xdr:cNvPr>
            <xdr:cNvSpPr txBox="1"/>
          </xdr:nvSpPr>
          <xdr:spPr>
            <a:xfrm>
              <a:off x="8471087" y="8940052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51C35A47-FACF-481B-A02B-A5945178A2D6}"/>
                </a:ext>
              </a:extLst>
            </xdr:cNvPr>
            <xdr:cNvSpPr txBox="1"/>
          </xdr:nvSpPr>
          <xdr:spPr>
            <a:xfrm>
              <a:off x="8471087" y="8940052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145258</xdr:colOff>
      <xdr:row>690</xdr:row>
      <xdr:rowOff>71438</xdr:rowOff>
    </xdr:from>
    <xdr:ext cx="1977277" cy="1825975"/>
    <xdr:pic>
      <xdr:nvPicPr>
        <xdr:cNvPr id="184" name="Imagem 183" descr="Imagem">
          <a:extLst>
            <a:ext uri="{FF2B5EF4-FFF2-40B4-BE49-F238E27FC236}">
              <a16:creationId xmlns:a16="http://schemas.microsoft.com/office/drawing/2014/main" id="{8E1D20DA-4592-4012-AD36-E4E8B489C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9876" y="88530673"/>
          <a:ext cx="1977277" cy="182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488157</xdr:colOff>
      <xdr:row>702</xdr:row>
      <xdr:rowOff>30232</xdr:rowOff>
    </xdr:from>
    <xdr:ext cx="4093526" cy="1062189"/>
    <xdr:pic>
      <xdr:nvPicPr>
        <xdr:cNvPr id="185" name="Imagem 184">
          <a:extLst>
            <a:ext uri="{FF2B5EF4-FFF2-40B4-BE49-F238E27FC236}">
              <a16:creationId xmlns:a16="http://schemas.microsoft.com/office/drawing/2014/main" id="{2A860202-A20D-42C0-BF83-8BCC54C84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22539" y="90394467"/>
          <a:ext cx="4093526" cy="1062189"/>
        </a:xfrm>
        <a:prstGeom prst="rect">
          <a:avLst/>
        </a:prstGeom>
      </xdr:spPr>
    </xdr:pic>
    <xdr:clientData/>
  </xdr:oneCellAnchor>
  <xdr:oneCellAnchor>
    <xdr:from>
      <xdr:col>12</xdr:col>
      <xdr:colOff>726283</xdr:colOff>
      <xdr:row>706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63BC9400-C7D4-4CD5-8893-710239B42359}"/>
                </a:ext>
              </a:extLst>
            </xdr:cNvPr>
            <xdr:cNvSpPr txBox="1"/>
          </xdr:nvSpPr>
          <xdr:spPr>
            <a:xfrm>
              <a:off x="8825895" y="91133941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63BC9400-C7D4-4CD5-8893-710239B42359}"/>
                </a:ext>
              </a:extLst>
            </xdr:cNvPr>
            <xdr:cNvSpPr txBox="1"/>
          </xdr:nvSpPr>
          <xdr:spPr>
            <a:xfrm>
              <a:off x="8825895" y="91133941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678656</xdr:colOff>
      <xdr:row>708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C1C7D8C5-06F7-4AA4-8AF2-3FBBB7796673}"/>
                </a:ext>
              </a:extLst>
            </xdr:cNvPr>
            <xdr:cNvSpPr txBox="1"/>
          </xdr:nvSpPr>
          <xdr:spPr>
            <a:xfrm>
              <a:off x="8825893" y="91423890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C1C7D8C5-06F7-4AA4-8AF2-3FBBB7796673}"/>
                </a:ext>
              </a:extLst>
            </xdr:cNvPr>
            <xdr:cNvSpPr txBox="1"/>
          </xdr:nvSpPr>
          <xdr:spPr>
            <a:xfrm>
              <a:off x="8825893" y="91423890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11</xdr:col>
      <xdr:colOff>953559</xdr:colOff>
      <xdr:row>784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8919559-4C17-4FB5-99CF-76F48F0A0E4A}"/>
                </a:ext>
              </a:extLst>
            </xdr:cNvPr>
            <xdr:cNvSpPr txBox="1"/>
          </xdr:nvSpPr>
          <xdr:spPr>
            <a:xfrm>
              <a:off x="9478434" y="1272645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8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8919559-4C17-4FB5-99CF-76F48F0A0E4A}"/>
                </a:ext>
              </a:extLst>
            </xdr:cNvPr>
            <xdr:cNvSpPr txBox="1"/>
          </xdr:nvSpPr>
          <xdr:spPr>
            <a:xfrm>
              <a:off x="9478434" y="1272645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628650</xdr:colOff>
      <xdr:row>783</xdr:row>
      <xdr:rowOff>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7BB384E0-5ACF-4D09-A513-582F66BA4B44}"/>
                </a:ext>
              </a:extLst>
            </xdr:cNvPr>
            <xdr:cNvSpPr txBox="1"/>
          </xdr:nvSpPr>
          <xdr:spPr>
            <a:xfrm>
              <a:off x="11582400" y="126987300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8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7BB384E0-5ACF-4D09-A513-582F66BA4B44}"/>
                </a:ext>
              </a:extLst>
            </xdr:cNvPr>
            <xdr:cNvSpPr txBox="1"/>
          </xdr:nvSpPr>
          <xdr:spPr>
            <a:xfrm>
              <a:off x="11582400" y="126987300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791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3F2D509-1FF0-42B9-92E8-744C7901B36B}"/>
                </a:ext>
              </a:extLst>
            </xdr:cNvPr>
            <xdr:cNvSpPr txBox="1"/>
          </xdr:nvSpPr>
          <xdr:spPr>
            <a:xfrm>
              <a:off x="9478434" y="1284171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3F2D509-1FF0-42B9-92E8-744C7901B36B}"/>
                </a:ext>
              </a:extLst>
            </xdr:cNvPr>
            <xdr:cNvSpPr txBox="1"/>
          </xdr:nvSpPr>
          <xdr:spPr>
            <a:xfrm>
              <a:off x="9478434" y="1284171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57150</xdr:colOff>
      <xdr:row>789</xdr:row>
      <xdr:rowOff>152400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BF4A779-08ED-46FD-8463-F63C5F1000D3}"/>
                </a:ext>
              </a:extLst>
            </xdr:cNvPr>
            <xdr:cNvSpPr txBox="1"/>
          </xdr:nvSpPr>
          <xdr:spPr>
            <a:xfrm>
              <a:off x="11811000" y="12812077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BF4A779-08ED-46FD-8463-F63C5F1000D3}"/>
                </a:ext>
              </a:extLst>
            </xdr:cNvPr>
            <xdr:cNvSpPr txBox="1"/>
          </xdr:nvSpPr>
          <xdr:spPr>
            <a:xfrm>
              <a:off x="11811000" y="12812077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800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C91BB88-C992-4354-B7AA-4301B5D7280E}"/>
                </a:ext>
              </a:extLst>
            </xdr:cNvPr>
            <xdr:cNvSpPr txBox="1"/>
          </xdr:nvSpPr>
          <xdr:spPr>
            <a:xfrm>
              <a:off x="9478434" y="1298934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C91BB88-C992-4354-B7AA-4301B5D7280E}"/>
                </a:ext>
              </a:extLst>
            </xdr:cNvPr>
            <xdr:cNvSpPr txBox="1"/>
          </xdr:nvSpPr>
          <xdr:spPr>
            <a:xfrm>
              <a:off x="9478434" y="1298934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426244</xdr:colOff>
      <xdr:row>799</xdr:row>
      <xdr:rowOff>11906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09BDFA8-850E-4769-AA7B-7E3431A3AAEF}"/>
                </a:ext>
              </a:extLst>
            </xdr:cNvPr>
            <xdr:cNvSpPr txBox="1"/>
          </xdr:nvSpPr>
          <xdr:spPr>
            <a:xfrm>
              <a:off x="11379994" y="129628106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09BDFA8-850E-4769-AA7B-7E3431A3AAEF}"/>
                </a:ext>
              </a:extLst>
            </xdr:cNvPr>
            <xdr:cNvSpPr txBox="1"/>
          </xdr:nvSpPr>
          <xdr:spPr>
            <a:xfrm>
              <a:off x="11379994" y="129628106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810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93E294FA-79E3-4CDD-AA72-420D0EAA105A}"/>
                </a:ext>
              </a:extLst>
            </xdr:cNvPr>
            <xdr:cNvSpPr txBox="1"/>
          </xdr:nvSpPr>
          <xdr:spPr>
            <a:xfrm>
              <a:off x="9478434" y="1315698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93E294FA-79E3-4CDD-AA72-420D0EAA105A}"/>
                </a:ext>
              </a:extLst>
            </xdr:cNvPr>
            <xdr:cNvSpPr txBox="1"/>
          </xdr:nvSpPr>
          <xdr:spPr>
            <a:xfrm>
              <a:off x="9478434" y="1315698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283369</xdr:colOff>
      <xdr:row>809</xdr:row>
      <xdr:rowOff>11906</xdr:rowOff>
    </xdr:from>
    <xdr:ext cx="1323974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00E6A75-455A-47DF-A03A-0E5FE1EE0DAD}"/>
                </a:ext>
              </a:extLst>
            </xdr:cNvPr>
            <xdr:cNvSpPr txBox="1"/>
          </xdr:nvSpPr>
          <xdr:spPr>
            <a:xfrm>
              <a:off x="11237119" y="131304506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1+</m:t>
                        </m:r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00E6A75-455A-47DF-A03A-0E5FE1EE0DAD}"/>
                </a:ext>
              </a:extLst>
            </xdr:cNvPr>
            <xdr:cNvSpPr txBox="1"/>
          </xdr:nvSpPr>
          <xdr:spPr>
            <a:xfrm>
              <a:off x="11237119" y="131304506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1+1/𝑛+(𝑥0−𝑥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212913</xdr:colOff>
      <xdr:row>819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D8715CE3-A1BE-42C5-8A5A-3AAD18472FD1}"/>
                </a:ext>
              </a:extLst>
            </xdr:cNvPr>
            <xdr:cNvSpPr txBox="1"/>
          </xdr:nvSpPr>
          <xdr:spPr>
            <a:xfrm>
              <a:off x="10299888" y="13306985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D8715CE3-A1BE-42C5-8A5A-3AAD18472FD1}"/>
                </a:ext>
              </a:extLst>
            </xdr:cNvPr>
            <xdr:cNvSpPr txBox="1"/>
          </xdr:nvSpPr>
          <xdr:spPr>
            <a:xfrm>
              <a:off x="10299888" y="13306985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𝐻0:𝑎=0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821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BCB9BD8D-E1FE-48C4-A0A9-D59B05A0F6AF}"/>
                </a:ext>
              </a:extLst>
            </xdr:cNvPr>
            <xdr:cNvSpPr txBox="1"/>
          </xdr:nvSpPr>
          <xdr:spPr>
            <a:xfrm>
              <a:off x="10311092" y="13341611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BCB9BD8D-E1FE-48C4-A0A9-D59B05A0F6AF}"/>
                </a:ext>
              </a:extLst>
            </xdr:cNvPr>
            <xdr:cNvSpPr txBox="1"/>
          </xdr:nvSpPr>
          <xdr:spPr>
            <a:xfrm>
              <a:off x="10311092" y="13341611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𝐻1:𝑎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18</xdr:col>
      <xdr:colOff>571500</xdr:colOff>
      <xdr:row>821</xdr:row>
      <xdr:rowOff>145675</xdr:rowOff>
    </xdr:from>
    <xdr:ext cx="65" cy="172227"/>
    <xdr:sp macro="" textlink="">
      <xdr:nvSpPr>
        <xdr:cNvPr id="198" name="CaixaDeTexto 197">
          <a:extLst>
            <a:ext uri="{FF2B5EF4-FFF2-40B4-BE49-F238E27FC236}">
              <a16:creationId xmlns:a16="http://schemas.microsoft.com/office/drawing/2014/main" id="{A4FE0BCE-8739-405E-BBCE-66747A7F7181}"/>
            </a:ext>
          </a:extLst>
        </xdr:cNvPr>
        <xdr:cNvSpPr txBox="1"/>
      </xdr:nvSpPr>
      <xdr:spPr>
        <a:xfrm>
          <a:off x="14154150" y="1334385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t-PT" sz="1100"/>
        </a:p>
      </xdr:txBody>
    </xdr:sp>
    <xdr:clientData/>
  </xdr:oneCellAnchor>
  <xdr:oneCellAnchor>
    <xdr:from>
      <xdr:col>13</xdr:col>
      <xdr:colOff>953559</xdr:colOff>
      <xdr:row>828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9E0C324-CAE5-4205-826C-14A0A6F7BFCE}"/>
                </a:ext>
              </a:extLst>
            </xdr:cNvPr>
            <xdr:cNvSpPr txBox="1"/>
          </xdr:nvSpPr>
          <xdr:spPr>
            <a:xfrm>
              <a:off x="10954809" y="1345416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B9E0C324-CAE5-4205-826C-14A0A6F7BFCE}"/>
                </a:ext>
              </a:extLst>
            </xdr:cNvPr>
            <xdr:cNvSpPr txBox="1"/>
          </xdr:nvSpPr>
          <xdr:spPr>
            <a:xfrm>
              <a:off x="10954809" y="1345416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809626</xdr:colOff>
      <xdr:row>819</xdr:row>
      <xdr:rowOff>83342</xdr:rowOff>
    </xdr:from>
    <xdr:ext cx="1361393" cy="876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DAC53A-2273-47FD-AA7C-C3F2D215356F}"/>
                </a:ext>
              </a:extLst>
            </xdr:cNvPr>
            <xdr:cNvSpPr txBox="1"/>
          </xdr:nvSpPr>
          <xdr:spPr>
            <a:xfrm>
              <a:off x="12363451" y="133052342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acc>
                                  <m:accPr>
                                    <m:chr m:val="̅"/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sSup>
                                      <m:sSupPr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  <m:sup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acc>
                              </m:num>
                              <m:den>
                                <m:sSub>
                                  <m:sSubPr>
                                    <m:ctrlP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𝑆</m:t>
                                    </m:r>
                                  </m:e>
                                  <m:sub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𝑥𝑥</m:t>
                                    </m:r>
                                  </m:sub>
                                </m:sSub>
                              </m:den>
                            </m:f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DAC53A-2273-47FD-AA7C-C3F2D215356F}"/>
                </a:ext>
              </a:extLst>
            </xdr:cNvPr>
            <xdr:cNvSpPr txBox="1"/>
          </xdr:nvSpPr>
          <xdr:spPr>
            <a:xfrm>
              <a:off x="12363451" y="133052342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𝑇_0=(𝑎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𝑎_0)/(</a:t>
              </a:r>
              <a:r>
                <a:rPr lang="pt-PT" sz="1400" b="0" i="0">
                  <a:latin typeface="Cambria Math" panose="02040503050406030204" pitchFamily="18" charset="0"/>
                </a:rPr>
                <a:t>𝑆/√(1/𝑛+(𝑥^2 ) ̅/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345282</xdr:colOff>
      <xdr:row>821</xdr:row>
      <xdr:rowOff>154782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03B660C2-27EF-4798-A68F-AABF3FA24CAA}"/>
                </a:ext>
              </a:extLst>
            </xdr:cNvPr>
            <xdr:cNvSpPr txBox="1"/>
          </xdr:nvSpPr>
          <xdr:spPr>
            <a:xfrm>
              <a:off x="13927932" y="133447632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03B660C2-27EF-4798-A68F-AABF3FA24CAA}"/>
                </a:ext>
              </a:extLst>
            </xdr:cNvPr>
            <xdr:cNvSpPr txBox="1"/>
          </xdr:nvSpPr>
          <xdr:spPr>
            <a:xfrm>
              <a:off x="13927932" y="133447632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881063</xdr:colOff>
      <xdr:row>822</xdr:row>
      <xdr:rowOff>95250</xdr:rowOff>
    </xdr:from>
    <xdr:ext cx="821532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50F166E-3B87-46DC-83BA-957E86C24184}"/>
                </a:ext>
              </a:extLst>
            </xdr:cNvPr>
            <xdr:cNvSpPr txBox="1"/>
          </xdr:nvSpPr>
          <xdr:spPr>
            <a:xfrm>
              <a:off x="10948988" y="133550025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acc>
                              <m:accPr>
                                <m:chr m:val="̅"/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sSup>
                                  <m:sSupPr>
                                    <m:ctrlP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e>
                                  <m:sup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acc>
                          </m:num>
                          <m:den>
                            <m:sSub>
                              <m:sSubPr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20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50F166E-3B87-46DC-83BA-957E86C24184}"/>
                </a:ext>
              </a:extLst>
            </xdr:cNvPr>
            <xdr:cNvSpPr txBox="1"/>
          </xdr:nvSpPr>
          <xdr:spPr>
            <a:xfrm>
              <a:off x="10948988" y="133550025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1/𝑛+(𝑥^2 ) ̅/𝑆_𝑥𝑥 </a:t>
              </a:r>
              <a:r>
                <a:rPr lang="pt-PT" sz="1200" b="0" i="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oneCellAnchor>
    <xdr:from>
      <xdr:col>13</xdr:col>
      <xdr:colOff>212913</xdr:colOff>
      <xdr:row>837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3D712F65-3893-408D-9C11-C6F1566DEDC4}"/>
                </a:ext>
              </a:extLst>
            </xdr:cNvPr>
            <xdr:cNvSpPr txBox="1"/>
          </xdr:nvSpPr>
          <xdr:spPr>
            <a:xfrm>
              <a:off x="10299888" y="13600355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3D712F65-3893-408D-9C11-C6F1566DEDC4}"/>
                </a:ext>
              </a:extLst>
            </xdr:cNvPr>
            <xdr:cNvSpPr txBox="1"/>
          </xdr:nvSpPr>
          <xdr:spPr>
            <a:xfrm>
              <a:off x="10299888" y="13600355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𝐻0:𝑏=0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839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4BA513DF-3C56-4295-99CC-1BD8AFD871E1}"/>
                </a:ext>
              </a:extLst>
            </xdr:cNvPr>
            <xdr:cNvSpPr txBox="1"/>
          </xdr:nvSpPr>
          <xdr:spPr>
            <a:xfrm>
              <a:off x="10311092" y="13634981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4BA513DF-3C56-4295-99CC-1BD8AFD871E1}"/>
                </a:ext>
              </a:extLst>
            </xdr:cNvPr>
            <xdr:cNvSpPr txBox="1"/>
          </xdr:nvSpPr>
          <xdr:spPr>
            <a:xfrm>
              <a:off x="10311092" y="13634981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112058</xdr:colOff>
      <xdr:row>837</xdr:row>
      <xdr:rowOff>91889</xdr:rowOff>
    </xdr:from>
    <xdr:ext cx="1361393" cy="549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98702914-9A4A-4098-8E44-940A8B61D86B}"/>
                </a:ext>
              </a:extLst>
            </xdr:cNvPr>
            <xdr:cNvSpPr txBox="1"/>
          </xdr:nvSpPr>
          <xdr:spPr>
            <a:xfrm>
              <a:off x="11865908" y="135994589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98702914-9A4A-4098-8E44-940A8B61D86B}"/>
                </a:ext>
              </a:extLst>
            </xdr:cNvPr>
            <xdr:cNvSpPr txBox="1"/>
          </xdr:nvSpPr>
          <xdr:spPr>
            <a:xfrm>
              <a:off x="11865908" y="135994589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𝑇_0=(𝑏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𝑏_0)/(</a:t>
              </a:r>
              <a:r>
                <a:rPr lang="pt-PT" sz="1400" b="0" i="0">
                  <a:latin typeface="Cambria Math" panose="02040503050406030204" pitchFamily="18" charset="0"/>
                </a:rPr>
                <a:t>𝑆/√(𝑆_𝑥𝑥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953559</xdr:colOff>
      <xdr:row>846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2143505-4933-41B0-BB98-ADCBFDB8A570}"/>
                </a:ext>
              </a:extLst>
            </xdr:cNvPr>
            <xdr:cNvSpPr txBox="1"/>
          </xdr:nvSpPr>
          <xdr:spPr>
            <a:xfrm>
              <a:off x="10954809" y="1374753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2143505-4933-41B0-BB98-ADCBFDB8A570}"/>
                </a:ext>
              </a:extLst>
            </xdr:cNvPr>
            <xdr:cNvSpPr txBox="1"/>
          </xdr:nvSpPr>
          <xdr:spPr>
            <a:xfrm>
              <a:off x="10954809" y="1374753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18</xdr:col>
      <xdr:colOff>250030</xdr:colOff>
      <xdr:row>839</xdr:row>
      <xdr:rowOff>154781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EAFEBEDD-ADDD-4079-A31A-52FAFD72CE15}"/>
                </a:ext>
              </a:extLst>
            </xdr:cNvPr>
            <xdr:cNvSpPr txBox="1"/>
          </xdr:nvSpPr>
          <xdr:spPr>
            <a:xfrm>
              <a:off x="13832680" y="136381331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EAFEBEDD-ADDD-4079-A31A-52FAFD72CE15}"/>
                </a:ext>
              </a:extLst>
            </xdr:cNvPr>
            <xdr:cNvSpPr txBox="1"/>
          </xdr:nvSpPr>
          <xdr:spPr>
            <a:xfrm>
              <a:off x="13832680" y="136381331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95250</xdr:colOff>
      <xdr:row>840</xdr:row>
      <xdr:rowOff>107156</xdr:rowOff>
    </xdr:from>
    <xdr:ext cx="607219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461FF7F-4C9B-487B-B1B1-EBA9BFC73C93}"/>
                </a:ext>
              </a:extLst>
            </xdr:cNvPr>
            <xdr:cNvSpPr txBox="1"/>
          </xdr:nvSpPr>
          <xdr:spPr>
            <a:xfrm>
              <a:off x="11049000" y="136495631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20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B461FF7F-4C9B-487B-B1B1-EBA9BFC73C93}"/>
                </a:ext>
              </a:extLst>
            </xdr:cNvPr>
            <xdr:cNvSpPr txBox="1"/>
          </xdr:nvSpPr>
          <xdr:spPr>
            <a:xfrm>
              <a:off x="11049000" y="136495631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twoCellAnchor editAs="oneCell">
    <xdr:from>
      <xdr:col>20</xdr:col>
      <xdr:colOff>168088</xdr:colOff>
      <xdr:row>800</xdr:row>
      <xdr:rowOff>44825</xdr:rowOff>
    </xdr:from>
    <xdr:to>
      <xdr:col>26</xdr:col>
      <xdr:colOff>14492</xdr:colOff>
      <xdr:row>804</xdr:row>
      <xdr:rowOff>55559</xdr:rowOff>
    </xdr:to>
    <xdr:pic>
      <xdr:nvPicPr>
        <xdr:cNvPr id="209" name="Imagem 208">
          <a:extLst>
            <a:ext uri="{FF2B5EF4-FFF2-40B4-BE49-F238E27FC236}">
              <a16:creationId xmlns:a16="http://schemas.microsoft.com/office/drawing/2014/main" id="{BAEAA240-2394-4A51-9695-F926573D0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22941" y="125830854"/>
          <a:ext cx="3477110" cy="638264"/>
        </a:xfrm>
        <a:prstGeom prst="rect">
          <a:avLst/>
        </a:prstGeom>
      </xdr:spPr>
    </xdr:pic>
    <xdr:clientData/>
  </xdr:twoCellAnchor>
  <xdr:twoCellAnchor editAs="oneCell">
    <xdr:from>
      <xdr:col>20</xdr:col>
      <xdr:colOff>453838</xdr:colOff>
      <xdr:row>811</xdr:row>
      <xdr:rowOff>121163</xdr:rowOff>
    </xdr:from>
    <xdr:to>
      <xdr:col>29</xdr:col>
      <xdr:colOff>418734</xdr:colOff>
      <xdr:row>816</xdr:row>
      <xdr:rowOff>32174</xdr:rowOff>
    </xdr:to>
    <xdr:pic>
      <xdr:nvPicPr>
        <xdr:cNvPr id="210" name="Imagem 209">
          <a:extLst>
            <a:ext uri="{FF2B5EF4-FFF2-40B4-BE49-F238E27FC236}">
              <a16:creationId xmlns:a16="http://schemas.microsoft.com/office/drawing/2014/main" id="{05B7AC26-4660-44AD-805C-3070833ED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08691" y="127700134"/>
          <a:ext cx="5410955" cy="6954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203168</xdr:colOff>
      <xdr:row>1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E3D26A5B-C3A2-4A4A-8341-CC8378798212}"/>
                </a:ext>
              </a:extLst>
            </xdr:cNvPr>
            <xdr:cNvSpPr txBox="1"/>
          </xdr:nvSpPr>
          <xdr:spPr>
            <a:xfrm>
              <a:off x="4737068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E3D26A5B-C3A2-4A4A-8341-CC8378798212}"/>
                </a:ext>
              </a:extLst>
            </xdr:cNvPr>
            <xdr:cNvSpPr txBox="1"/>
          </xdr:nvSpPr>
          <xdr:spPr>
            <a:xfrm>
              <a:off x="4737068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114300</xdr:colOff>
      <xdr:row>1</xdr:row>
      <xdr:rowOff>0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2D49F64-AD28-4827-976B-75E7B1131784}"/>
                </a:ext>
              </a:extLst>
            </xdr:cNvPr>
            <xdr:cNvSpPr txBox="1"/>
          </xdr:nvSpPr>
          <xdr:spPr>
            <a:xfrm>
              <a:off x="5638800" y="1619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2D49F64-AD28-4827-976B-75E7B1131784}"/>
                </a:ext>
              </a:extLst>
            </xdr:cNvPr>
            <xdr:cNvSpPr txBox="1"/>
          </xdr:nvSpPr>
          <xdr:spPr>
            <a:xfrm>
              <a:off x="5638800" y="1619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0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EA987FDF-F34F-474F-A0A5-6CC8F64177CC}"/>
                </a:ext>
              </a:extLst>
            </xdr:cNvPr>
            <xdr:cNvSpPr txBox="1"/>
          </xdr:nvSpPr>
          <xdr:spPr>
            <a:xfrm>
              <a:off x="581977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EA987FDF-F34F-474F-A0A5-6CC8F64177CC}"/>
                </a:ext>
              </a:extLst>
            </xdr:cNvPr>
            <xdr:cNvSpPr txBox="1"/>
          </xdr:nvSpPr>
          <xdr:spPr>
            <a:xfrm>
              <a:off x="581977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12</xdr:col>
      <xdr:colOff>85724</xdr:colOff>
      <xdr:row>4</xdr:row>
      <xdr:rowOff>142875</xdr:rowOff>
    </xdr:from>
    <xdr:to>
      <xdr:col>18</xdr:col>
      <xdr:colOff>323849</xdr:colOff>
      <xdr:row>19</xdr:row>
      <xdr:rowOff>123825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214B95B-A9E8-40CB-B1CB-DBC8C4A7A0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422243</xdr:colOff>
      <xdr:row>20</xdr:row>
      <xdr:rowOff>160813</xdr:rowOff>
    </xdr:from>
    <xdr:ext cx="2145459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1E6AA37-033D-4E8E-B5B7-9FB178CF8611}"/>
                </a:ext>
              </a:extLst>
            </xdr:cNvPr>
            <xdr:cNvSpPr txBox="1"/>
          </xdr:nvSpPr>
          <xdr:spPr>
            <a:xfrm>
              <a:off x="422243" y="3399313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=</m:t>
                        </m:r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1E6AA37-033D-4E8E-B5B7-9FB178CF8611}"/>
                </a:ext>
              </a:extLst>
            </xdr:cNvPr>
            <xdr:cNvSpPr txBox="1"/>
          </xdr:nvSpPr>
          <xdr:spPr>
            <a:xfrm>
              <a:off x="422243" y="3399313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̅=〗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0</xdr:col>
      <xdr:colOff>342900</xdr:colOff>
      <xdr:row>24</xdr:row>
      <xdr:rowOff>85725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07E52AE-C294-4687-92F5-821EC25CBD0B}"/>
                </a:ext>
              </a:extLst>
            </xdr:cNvPr>
            <xdr:cNvSpPr txBox="1"/>
          </xdr:nvSpPr>
          <xdr:spPr>
            <a:xfrm>
              <a:off x="342900" y="397192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07E52AE-C294-4687-92F5-821EC25CBD0B}"/>
                </a:ext>
              </a:extLst>
            </xdr:cNvPr>
            <xdr:cNvSpPr txBox="1"/>
          </xdr:nvSpPr>
          <xdr:spPr>
            <a:xfrm>
              <a:off x="342900" y="397192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4</xdr:col>
      <xdr:colOff>495300</xdr:colOff>
      <xdr:row>21</xdr:row>
      <xdr:rowOff>19050</xdr:rowOff>
    </xdr:from>
    <xdr:ext cx="1887376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2826D6B1-1008-409F-AD44-CE5BDE62E3C3}"/>
                </a:ext>
              </a:extLst>
            </xdr:cNvPr>
            <xdr:cNvSpPr txBox="1"/>
          </xdr:nvSpPr>
          <xdr:spPr>
            <a:xfrm>
              <a:off x="3990975" y="3419475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2826D6B1-1008-409F-AD44-CE5BDE62E3C3}"/>
                </a:ext>
              </a:extLst>
            </xdr:cNvPr>
            <xdr:cNvSpPr txBox="1"/>
          </xdr:nvSpPr>
          <xdr:spPr>
            <a:xfrm>
              <a:off x="3990975" y="3419475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581025</xdr:colOff>
      <xdr:row>21</xdr:row>
      <xdr:rowOff>0</xdr:rowOff>
    </xdr:from>
    <xdr:ext cx="1906932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3F019ED-8C4F-4E7C-A0AC-82E24A7F8CE3}"/>
                </a:ext>
              </a:extLst>
            </xdr:cNvPr>
            <xdr:cNvSpPr txBox="1"/>
          </xdr:nvSpPr>
          <xdr:spPr>
            <a:xfrm>
              <a:off x="7124700" y="3400425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3F019ED-8C4F-4E7C-A0AC-82E24A7F8CE3}"/>
                </a:ext>
              </a:extLst>
            </xdr:cNvPr>
            <xdr:cNvSpPr txBox="1"/>
          </xdr:nvSpPr>
          <xdr:spPr>
            <a:xfrm>
              <a:off x="7124700" y="3400425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209550</xdr:colOff>
      <xdr:row>27</xdr:row>
      <xdr:rowOff>142875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AE8ABC04-F9FB-438C-888E-128DF49E2E3C}"/>
                </a:ext>
              </a:extLst>
            </xdr:cNvPr>
            <xdr:cNvSpPr txBox="1"/>
          </xdr:nvSpPr>
          <xdr:spPr>
            <a:xfrm>
              <a:off x="6143625" y="451485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AE8ABC04-F9FB-438C-888E-128DF49E2E3C}"/>
                </a:ext>
              </a:extLst>
            </xdr:cNvPr>
            <xdr:cNvSpPr txBox="1"/>
          </xdr:nvSpPr>
          <xdr:spPr>
            <a:xfrm>
              <a:off x="6143625" y="451485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228601</xdr:colOff>
      <xdr:row>24</xdr:row>
      <xdr:rowOff>66675</xdr:rowOff>
    </xdr:from>
    <xdr:ext cx="990600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6D55910-51FA-4BDC-BE79-046F8E1F1AE0}"/>
                </a:ext>
              </a:extLst>
            </xdr:cNvPr>
            <xdr:cNvSpPr txBox="1"/>
          </xdr:nvSpPr>
          <xdr:spPr>
            <a:xfrm>
              <a:off x="7172326" y="3962400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6D55910-51FA-4BDC-BE79-046F8E1F1AE0}"/>
                </a:ext>
              </a:extLst>
            </xdr:cNvPr>
            <xdr:cNvSpPr txBox="1"/>
          </xdr:nvSpPr>
          <xdr:spPr>
            <a:xfrm>
              <a:off x="7172326" y="3962400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200025</xdr:colOff>
      <xdr:row>24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00786B8-D4C6-451E-A2CC-BBC2B87E1B71}"/>
                </a:ext>
              </a:extLst>
            </xdr:cNvPr>
            <xdr:cNvSpPr txBox="1"/>
          </xdr:nvSpPr>
          <xdr:spPr>
            <a:xfrm>
              <a:off x="9582150" y="40005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00786B8-D4C6-451E-A2CC-BBC2B87E1B71}"/>
                </a:ext>
              </a:extLst>
            </xdr:cNvPr>
            <xdr:cNvSpPr txBox="1"/>
          </xdr:nvSpPr>
          <xdr:spPr>
            <a:xfrm>
              <a:off x="9582150" y="40005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38100</xdr:colOff>
      <xdr:row>24</xdr:row>
      <xdr:rowOff>123825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ED147570-EE2B-4296-A37A-A561D57B51ED}"/>
                </a:ext>
              </a:extLst>
            </xdr:cNvPr>
            <xdr:cNvSpPr txBox="1"/>
          </xdr:nvSpPr>
          <xdr:spPr>
            <a:xfrm>
              <a:off x="4752975" y="4010025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ED147570-EE2B-4296-A37A-A561D57B51ED}"/>
                </a:ext>
              </a:extLst>
            </xdr:cNvPr>
            <xdr:cNvSpPr txBox="1"/>
          </xdr:nvSpPr>
          <xdr:spPr>
            <a:xfrm>
              <a:off x="4752975" y="4010025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32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7DED8C9-1DAC-42E2-A110-07E575A4A3D5}"/>
                </a:ext>
              </a:extLst>
            </xdr:cNvPr>
            <xdr:cNvSpPr txBox="1"/>
          </xdr:nvSpPr>
          <xdr:spPr>
            <a:xfrm>
              <a:off x="5041868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7DED8C9-1DAC-42E2-A110-07E575A4A3D5}"/>
                </a:ext>
              </a:extLst>
            </xdr:cNvPr>
            <xdr:cNvSpPr txBox="1"/>
          </xdr:nvSpPr>
          <xdr:spPr>
            <a:xfrm>
              <a:off x="5041868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114300</xdr:colOff>
      <xdr:row>32</xdr:row>
      <xdr:rowOff>0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F4C7AAB-9A07-4CA0-B492-BEAEF480666D}"/>
                </a:ext>
              </a:extLst>
            </xdr:cNvPr>
            <xdr:cNvSpPr txBox="1"/>
          </xdr:nvSpPr>
          <xdr:spPr>
            <a:xfrm>
              <a:off x="5562600" y="1619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F4C7AAB-9A07-4CA0-B492-BEAEF480666D}"/>
                </a:ext>
              </a:extLst>
            </xdr:cNvPr>
            <xdr:cNvSpPr txBox="1"/>
          </xdr:nvSpPr>
          <xdr:spPr>
            <a:xfrm>
              <a:off x="5562600" y="1619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31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31849CC1-66EE-40CB-80FE-155D5E14FA51}"/>
                </a:ext>
              </a:extLst>
            </xdr:cNvPr>
            <xdr:cNvSpPr txBox="1"/>
          </xdr:nvSpPr>
          <xdr:spPr>
            <a:xfrm>
              <a:off x="574357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31849CC1-66EE-40CB-80FE-155D5E14FA51}"/>
                </a:ext>
              </a:extLst>
            </xdr:cNvPr>
            <xdr:cNvSpPr txBox="1"/>
          </xdr:nvSpPr>
          <xdr:spPr>
            <a:xfrm>
              <a:off x="5743574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12</xdr:col>
      <xdr:colOff>85724</xdr:colOff>
      <xdr:row>35</xdr:row>
      <xdr:rowOff>142875</xdr:rowOff>
    </xdr:from>
    <xdr:to>
      <xdr:col>18</xdr:col>
      <xdr:colOff>323849</xdr:colOff>
      <xdr:row>50</xdr:row>
      <xdr:rowOff>123825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53D9170-6644-4969-9274-D0490F361E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422243</xdr:colOff>
      <xdr:row>51</xdr:row>
      <xdr:rowOff>160813</xdr:rowOff>
    </xdr:from>
    <xdr:ext cx="2145459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DD772A43-FDA3-45AB-B624-32B479598ECD}"/>
                </a:ext>
              </a:extLst>
            </xdr:cNvPr>
            <xdr:cNvSpPr txBox="1"/>
          </xdr:nvSpPr>
          <xdr:spPr>
            <a:xfrm>
              <a:off x="422243" y="3408838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=</m:t>
                        </m:r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DD772A43-FDA3-45AB-B624-32B479598ECD}"/>
                </a:ext>
              </a:extLst>
            </xdr:cNvPr>
            <xdr:cNvSpPr txBox="1"/>
          </xdr:nvSpPr>
          <xdr:spPr>
            <a:xfrm>
              <a:off x="422243" y="3408838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̅=〗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0</xdr:col>
      <xdr:colOff>342900</xdr:colOff>
      <xdr:row>55</xdr:row>
      <xdr:rowOff>85725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4A34260E-2F2E-4AA2-B357-674CD54782BD}"/>
                </a:ext>
              </a:extLst>
            </xdr:cNvPr>
            <xdr:cNvSpPr txBox="1"/>
          </xdr:nvSpPr>
          <xdr:spPr>
            <a:xfrm>
              <a:off x="342900" y="39814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4A34260E-2F2E-4AA2-B357-674CD54782BD}"/>
                </a:ext>
              </a:extLst>
            </xdr:cNvPr>
            <xdr:cNvSpPr txBox="1"/>
          </xdr:nvSpPr>
          <xdr:spPr>
            <a:xfrm>
              <a:off x="342900" y="39814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4</xdr:col>
      <xdr:colOff>495300</xdr:colOff>
      <xdr:row>52</xdr:row>
      <xdr:rowOff>19050</xdr:rowOff>
    </xdr:from>
    <xdr:ext cx="1887376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4A1213B-E48C-4E32-860E-10AF4899D211}"/>
                </a:ext>
              </a:extLst>
            </xdr:cNvPr>
            <xdr:cNvSpPr txBox="1"/>
          </xdr:nvSpPr>
          <xdr:spPr>
            <a:xfrm>
              <a:off x="3990975" y="3429000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4A1213B-E48C-4E32-860E-10AF4899D211}"/>
                </a:ext>
              </a:extLst>
            </xdr:cNvPr>
            <xdr:cNvSpPr txBox="1"/>
          </xdr:nvSpPr>
          <xdr:spPr>
            <a:xfrm>
              <a:off x="3990975" y="3429000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581025</xdr:colOff>
      <xdr:row>52</xdr:row>
      <xdr:rowOff>0</xdr:rowOff>
    </xdr:from>
    <xdr:ext cx="1906932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44AC9E7-518C-48C1-BC6E-B3B766703F78}"/>
                </a:ext>
              </a:extLst>
            </xdr:cNvPr>
            <xdr:cNvSpPr txBox="1"/>
          </xdr:nvSpPr>
          <xdr:spPr>
            <a:xfrm>
              <a:off x="7524750" y="3409950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44AC9E7-518C-48C1-BC6E-B3B766703F78}"/>
                </a:ext>
              </a:extLst>
            </xdr:cNvPr>
            <xdr:cNvSpPr txBox="1"/>
          </xdr:nvSpPr>
          <xdr:spPr>
            <a:xfrm>
              <a:off x="7524750" y="3409950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209550</xdr:colOff>
      <xdr:row>58</xdr:row>
      <xdr:rowOff>142875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D1BDBF6-0917-454A-B493-2565DE844AB2}"/>
                </a:ext>
              </a:extLst>
            </xdr:cNvPr>
            <xdr:cNvSpPr txBox="1"/>
          </xdr:nvSpPr>
          <xdr:spPr>
            <a:xfrm>
              <a:off x="6419850" y="452437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D1BDBF6-0917-454A-B493-2565DE844AB2}"/>
                </a:ext>
              </a:extLst>
            </xdr:cNvPr>
            <xdr:cNvSpPr txBox="1"/>
          </xdr:nvSpPr>
          <xdr:spPr>
            <a:xfrm>
              <a:off x="6419850" y="452437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228601</xdr:colOff>
      <xdr:row>55</xdr:row>
      <xdr:rowOff>66675</xdr:rowOff>
    </xdr:from>
    <xdr:ext cx="990600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6D6AE35-CDAB-40CC-8AB7-E6F779F3DF23}"/>
                </a:ext>
              </a:extLst>
            </xdr:cNvPr>
            <xdr:cNvSpPr txBox="1"/>
          </xdr:nvSpPr>
          <xdr:spPr>
            <a:xfrm>
              <a:off x="7172326" y="3962400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6D6AE35-CDAB-40CC-8AB7-E6F779F3DF23}"/>
                </a:ext>
              </a:extLst>
            </xdr:cNvPr>
            <xdr:cNvSpPr txBox="1"/>
          </xdr:nvSpPr>
          <xdr:spPr>
            <a:xfrm>
              <a:off x="7172326" y="3962400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200025</xdr:colOff>
      <xdr:row>55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2892040-D09C-46FB-AEEC-1CF4823E3F1D}"/>
                </a:ext>
              </a:extLst>
            </xdr:cNvPr>
            <xdr:cNvSpPr txBox="1"/>
          </xdr:nvSpPr>
          <xdr:spPr>
            <a:xfrm>
              <a:off x="9848850" y="40005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2892040-D09C-46FB-AEEC-1CF4823E3F1D}"/>
                </a:ext>
              </a:extLst>
            </xdr:cNvPr>
            <xdr:cNvSpPr txBox="1"/>
          </xdr:nvSpPr>
          <xdr:spPr>
            <a:xfrm>
              <a:off x="9848850" y="40005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38100</xdr:colOff>
      <xdr:row>55</xdr:row>
      <xdr:rowOff>123825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BCC64D5-CE66-4490-8108-318A315CEF63}"/>
                </a:ext>
              </a:extLst>
            </xdr:cNvPr>
            <xdr:cNvSpPr txBox="1"/>
          </xdr:nvSpPr>
          <xdr:spPr>
            <a:xfrm>
              <a:off x="4876800" y="4019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BCC64D5-CE66-4490-8108-318A315CEF63}"/>
                </a:ext>
              </a:extLst>
            </xdr:cNvPr>
            <xdr:cNvSpPr txBox="1"/>
          </xdr:nvSpPr>
          <xdr:spPr>
            <a:xfrm>
              <a:off x="4876800" y="4019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63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0435413-5635-42B8-8DEC-DB9E21AE9827}"/>
                </a:ext>
              </a:extLst>
            </xdr:cNvPr>
            <xdr:cNvSpPr txBox="1"/>
          </xdr:nvSpPr>
          <xdr:spPr>
            <a:xfrm>
              <a:off x="5041868" y="51911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0435413-5635-42B8-8DEC-DB9E21AE9827}"/>
                </a:ext>
              </a:extLst>
            </xdr:cNvPr>
            <xdr:cNvSpPr txBox="1"/>
          </xdr:nvSpPr>
          <xdr:spPr>
            <a:xfrm>
              <a:off x="5041868" y="51911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114300</xdr:colOff>
      <xdr:row>63</xdr:row>
      <xdr:rowOff>0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37A2EEB-F29D-47C9-8DDE-A862880297C5}"/>
                </a:ext>
              </a:extLst>
            </xdr:cNvPr>
            <xdr:cNvSpPr txBox="1"/>
          </xdr:nvSpPr>
          <xdr:spPr>
            <a:xfrm>
              <a:off x="5562600" y="51911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37A2EEB-F29D-47C9-8DDE-A862880297C5}"/>
                </a:ext>
              </a:extLst>
            </xdr:cNvPr>
            <xdr:cNvSpPr txBox="1"/>
          </xdr:nvSpPr>
          <xdr:spPr>
            <a:xfrm>
              <a:off x="5562600" y="51911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62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44481464-26ED-4E91-9B99-B960CE469CF8}"/>
                </a:ext>
              </a:extLst>
            </xdr:cNvPr>
            <xdr:cNvSpPr txBox="1"/>
          </xdr:nvSpPr>
          <xdr:spPr>
            <a:xfrm>
              <a:off x="5743574" y="51815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44481464-26ED-4E91-9B99-B960CE469CF8}"/>
                </a:ext>
              </a:extLst>
            </xdr:cNvPr>
            <xdr:cNvSpPr txBox="1"/>
          </xdr:nvSpPr>
          <xdr:spPr>
            <a:xfrm>
              <a:off x="5743574" y="51815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12</xdr:col>
      <xdr:colOff>85724</xdr:colOff>
      <xdr:row>66</xdr:row>
      <xdr:rowOff>142875</xdr:rowOff>
    </xdr:from>
    <xdr:to>
      <xdr:col>18</xdr:col>
      <xdr:colOff>323849</xdr:colOff>
      <xdr:row>81</xdr:row>
      <xdr:rowOff>123825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8E8DB3B8-6088-4146-99F8-35FD5C28B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0</xdr:col>
      <xdr:colOff>422243</xdr:colOff>
      <xdr:row>82</xdr:row>
      <xdr:rowOff>160813</xdr:rowOff>
    </xdr:from>
    <xdr:ext cx="2145459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72EF9D7A-55EA-487E-9D4F-A357B41BF709}"/>
                </a:ext>
              </a:extLst>
            </xdr:cNvPr>
            <xdr:cNvSpPr txBox="1"/>
          </xdr:nvSpPr>
          <xdr:spPr>
            <a:xfrm>
              <a:off x="422243" y="8428513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=</m:t>
                        </m:r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72EF9D7A-55EA-487E-9D4F-A357B41BF709}"/>
                </a:ext>
              </a:extLst>
            </xdr:cNvPr>
            <xdr:cNvSpPr txBox="1"/>
          </xdr:nvSpPr>
          <xdr:spPr>
            <a:xfrm>
              <a:off x="422243" y="8428513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̅=〗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0</xdr:col>
      <xdr:colOff>342900</xdr:colOff>
      <xdr:row>86</xdr:row>
      <xdr:rowOff>85725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1F0299-CBD9-46AA-827B-4156E21BEC45}"/>
                </a:ext>
              </a:extLst>
            </xdr:cNvPr>
            <xdr:cNvSpPr txBox="1"/>
          </xdr:nvSpPr>
          <xdr:spPr>
            <a:xfrm>
              <a:off x="342900" y="900112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1F0299-CBD9-46AA-827B-4156E21BEC45}"/>
                </a:ext>
              </a:extLst>
            </xdr:cNvPr>
            <xdr:cNvSpPr txBox="1"/>
          </xdr:nvSpPr>
          <xdr:spPr>
            <a:xfrm>
              <a:off x="342900" y="900112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4</xdr:col>
      <xdr:colOff>495300</xdr:colOff>
      <xdr:row>83</xdr:row>
      <xdr:rowOff>19050</xdr:rowOff>
    </xdr:from>
    <xdr:ext cx="1887376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C227D19-080A-4715-8470-A6D46EEC9828}"/>
                </a:ext>
              </a:extLst>
            </xdr:cNvPr>
            <xdr:cNvSpPr txBox="1"/>
          </xdr:nvSpPr>
          <xdr:spPr>
            <a:xfrm>
              <a:off x="3990975" y="8448675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C227D19-080A-4715-8470-A6D46EEC9828}"/>
                </a:ext>
              </a:extLst>
            </xdr:cNvPr>
            <xdr:cNvSpPr txBox="1"/>
          </xdr:nvSpPr>
          <xdr:spPr>
            <a:xfrm>
              <a:off x="3990975" y="8448675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581025</xdr:colOff>
      <xdr:row>83</xdr:row>
      <xdr:rowOff>0</xdr:rowOff>
    </xdr:from>
    <xdr:ext cx="1906932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7E7ED654-CB82-42E7-A33E-385D6CE86A1D}"/>
                </a:ext>
              </a:extLst>
            </xdr:cNvPr>
            <xdr:cNvSpPr txBox="1"/>
          </xdr:nvSpPr>
          <xdr:spPr>
            <a:xfrm>
              <a:off x="7524750" y="8429625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7E7ED654-CB82-42E7-A33E-385D6CE86A1D}"/>
                </a:ext>
              </a:extLst>
            </xdr:cNvPr>
            <xdr:cNvSpPr txBox="1"/>
          </xdr:nvSpPr>
          <xdr:spPr>
            <a:xfrm>
              <a:off x="7524750" y="8429625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209550</xdr:colOff>
      <xdr:row>89</xdr:row>
      <xdr:rowOff>142875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9F5EA0B-B2EB-445E-8493-1B83C9F9AAD9}"/>
                </a:ext>
              </a:extLst>
            </xdr:cNvPr>
            <xdr:cNvSpPr txBox="1"/>
          </xdr:nvSpPr>
          <xdr:spPr>
            <a:xfrm>
              <a:off x="6419850" y="954405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9F5EA0B-B2EB-445E-8493-1B83C9F9AAD9}"/>
                </a:ext>
              </a:extLst>
            </xdr:cNvPr>
            <xdr:cNvSpPr txBox="1"/>
          </xdr:nvSpPr>
          <xdr:spPr>
            <a:xfrm>
              <a:off x="6419850" y="954405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228601</xdr:colOff>
      <xdr:row>86</xdr:row>
      <xdr:rowOff>66675</xdr:rowOff>
    </xdr:from>
    <xdr:ext cx="990600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E1D28713-C471-48C6-8E98-DDB94325DDBA}"/>
                </a:ext>
              </a:extLst>
            </xdr:cNvPr>
            <xdr:cNvSpPr txBox="1"/>
          </xdr:nvSpPr>
          <xdr:spPr>
            <a:xfrm>
              <a:off x="7172326" y="8982075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E1D28713-C471-48C6-8E98-DDB94325DDBA}"/>
                </a:ext>
              </a:extLst>
            </xdr:cNvPr>
            <xdr:cNvSpPr txBox="1"/>
          </xdr:nvSpPr>
          <xdr:spPr>
            <a:xfrm>
              <a:off x="7172326" y="8982075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200025</xdr:colOff>
      <xdr:row>86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BD34BC10-90F1-46ED-A7A3-9E217216AC01}"/>
                </a:ext>
              </a:extLst>
            </xdr:cNvPr>
            <xdr:cNvSpPr txBox="1"/>
          </xdr:nvSpPr>
          <xdr:spPr>
            <a:xfrm>
              <a:off x="9848850" y="9020175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BD34BC10-90F1-46ED-A7A3-9E217216AC01}"/>
                </a:ext>
              </a:extLst>
            </xdr:cNvPr>
            <xdr:cNvSpPr txBox="1"/>
          </xdr:nvSpPr>
          <xdr:spPr>
            <a:xfrm>
              <a:off x="9848850" y="9020175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38100</xdr:colOff>
      <xdr:row>86</xdr:row>
      <xdr:rowOff>123825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01AF36C4-BBCB-4EA0-B37A-C1643C63B141}"/>
                </a:ext>
              </a:extLst>
            </xdr:cNvPr>
            <xdr:cNvSpPr txBox="1"/>
          </xdr:nvSpPr>
          <xdr:spPr>
            <a:xfrm>
              <a:off x="4876800" y="9039225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01AF36C4-BBCB-4EA0-B37A-C1643C63B141}"/>
                </a:ext>
              </a:extLst>
            </xdr:cNvPr>
            <xdr:cNvSpPr txBox="1"/>
          </xdr:nvSpPr>
          <xdr:spPr>
            <a:xfrm>
              <a:off x="4876800" y="9039225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94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9546FD6-5506-493C-9F2C-C05A607AD63E}"/>
                </a:ext>
              </a:extLst>
            </xdr:cNvPr>
            <xdr:cNvSpPr txBox="1"/>
          </xdr:nvSpPr>
          <xdr:spPr>
            <a:xfrm>
              <a:off x="5041868" y="1021080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9546FD6-5506-493C-9F2C-C05A607AD63E}"/>
                </a:ext>
              </a:extLst>
            </xdr:cNvPr>
            <xdr:cNvSpPr txBox="1"/>
          </xdr:nvSpPr>
          <xdr:spPr>
            <a:xfrm>
              <a:off x="5041868" y="1021080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114300</xdr:colOff>
      <xdr:row>94</xdr:row>
      <xdr:rowOff>0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84FD97F-25AD-43FC-921B-64F89774DEB0}"/>
                </a:ext>
              </a:extLst>
            </xdr:cNvPr>
            <xdr:cNvSpPr txBox="1"/>
          </xdr:nvSpPr>
          <xdr:spPr>
            <a:xfrm>
              <a:off x="5562600" y="10210800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84FD97F-25AD-43FC-921B-64F89774DEB0}"/>
                </a:ext>
              </a:extLst>
            </xdr:cNvPr>
            <xdr:cNvSpPr txBox="1"/>
          </xdr:nvSpPr>
          <xdr:spPr>
            <a:xfrm>
              <a:off x="5562600" y="10210800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93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5C197D5C-924D-4320-B9A4-2F09D5A6266C}"/>
                </a:ext>
              </a:extLst>
            </xdr:cNvPr>
            <xdr:cNvSpPr txBox="1"/>
          </xdr:nvSpPr>
          <xdr:spPr>
            <a:xfrm>
              <a:off x="5743574" y="1020127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5C197D5C-924D-4320-B9A4-2F09D5A6266C}"/>
                </a:ext>
              </a:extLst>
            </xdr:cNvPr>
            <xdr:cNvSpPr txBox="1"/>
          </xdr:nvSpPr>
          <xdr:spPr>
            <a:xfrm>
              <a:off x="5743574" y="1020127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12</xdr:col>
      <xdr:colOff>85724</xdr:colOff>
      <xdr:row>97</xdr:row>
      <xdr:rowOff>142875</xdr:rowOff>
    </xdr:from>
    <xdr:to>
      <xdr:col>18</xdr:col>
      <xdr:colOff>323849</xdr:colOff>
      <xdr:row>112</xdr:row>
      <xdr:rowOff>123825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F20E00E5-F494-4F56-815F-C5F399F67A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422243</xdr:colOff>
      <xdr:row>113</xdr:row>
      <xdr:rowOff>160813</xdr:rowOff>
    </xdr:from>
    <xdr:ext cx="2145459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27FCA5A4-7CA7-4E46-94D3-2244F1B9AE04}"/>
                </a:ext>
              </a:extLst>
            </xdr:cNvPr>
            <xdr:cNvSpPr txBox="1"/>
          </xdr:nvSpPr>
          <xdr:spPr>
            <a:xfrm>
              <a:off x="422243" y="13448188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=</m:t>
                        </m:r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27FCA5A4-7CA7-4E46-94D3-2244F1B9AE04}"/>
                </a:ext>
              </a:extLst>
            </xdr:cNvPr>
            <xdr:cNvSpPr txBox="1"/>
          </xdr:nvSpPr>
          <xdr:spPr>
            <a:xfrm>
              <a:off x="422243" y="13448188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̅=〗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0</xdr:col>
      <xdr:colOff>342900</xdr:colOff>
      <xdr:row>117</xdr:row>
      <xdr:rowOff>85725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ED58B740-65EC-475C-95F9-C64C216C25BD}"/>
                </a:ext>
              </a:extLst>
            </xdr:cNvPr>
            <xdr:cNvSpPr txBox="1"/>
          </xdr:nvSpPr>
          <xdr:spPr>
            <a:xfrm>
              <a:off x="342900" y="1402080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ED58B740-65EC-475C-95F9-C64C216C25BD}"/>
                </a:ext>
              </a:extLst>
            </xdr:cNvPr>
            <xdr:cNvSpPr txBox="1"/>
          </xdr:nvSpPr>
          <xdr:spPr>
            <a:xfrm>
              <a:off x="342900" y="1402080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4</xdr:col>
      <xdr:colOff>495300</xdr:colOff>
      <xdr:row>114</xdr:row>
      <xdr:rowOff>19050</xdr:rowOff>
    </xdr:from>
    <xdr:ext cx="1887376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BF82A244-D4DF-4A30-8B22-B6BA5FE514A2}"/>
                </a:ext>
              </a:extLst>
            </xdr:cNvPr>
            <xdr:cNvSpPr txBox="1"/>
          </xdr:nvSpPr>
          <xdr:spPr>
            <a:xfrm>
              <a:off x="3990975" y="13468350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BF82A244-D4DF-4A30-8B22-B6BA5FE514A2}"/>
                </a:ext>
              </a:extLst>
            </xdr:cNvPr>
            <xdr:cNvSpPr txBox="1"/>
          </xdr:nvSpPr>
          <xdr:spPr>
            <a:xfrm>
              <a:off x="3990975" y="13468350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581025</xdr:colOff>
      <xdr:row>114</xdr:row>
      <xdr:rowOff>0</xdr:rowOff>
    </xdr:from>
    <xdr:ext cx="1906932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FBD7A85C-CD82-4FE8-8E71-61B8C9323AD8}"/>
                </a:ext>
              </a:extLst>
            </xdr:cNvPr>
            <xdr:cNvSpPr txBox="1"/>
          </xdr:nvSpPr>
          <xdr:spPr>
            <a:xfrm>
              <a:off x="7524750" y="13449300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FBD7A85C-CD82-4FE8-8E71-61B8C9323AD8}"/>
                </a:ext>
              </a:extLst>
            </xdr:cNvPr>
            <xdr:cNvSpPr txBox="1"/>
          </xdr:nvSpPr>
          <xdr:spPr>
            <a:xfrm>
              <a:off x="7524750" y="13449300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209550</xdr:colOff>
      <xdr:row>120</xdr:row>
      <xdr:rowOff>142875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57E7D41A-8AB9-45FC-9B1C-D087878859DE}"/>
                </a:ext>
              </a:extLst>
            </xdr:cNvPr>
            <xdr:cNvSpPr txBox="1"/>
          </xdr:nvSpPr>
          <xdr:spPr>
            <a:xfrm>
              <a:off x="6419850" y="1456372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57E7D41A-8AB9-45FC-9B1C-D087878859DE}"/>
                </a:ext>
              </a:extLst>
            </xdr:cNvPr>
            <xdr:cNvSpPr txBox="1"/>
          </xdr:nvSpPr>
          <xdr:spPr>
            <a:xfrm>
              <a:off x="6419850" y="1456372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228601</xdr:colOff>
      <xdr:row>117</xdr:row>
      <xdr:rowOff>66675</xdr:rowOff>
    </xdr:from>
    <xdr:ext cx="990600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56DD4621-3D9A-442D-947C-F1150D69D86A}"/>
                </a:ext>
              </a:extLst>
            </xdr:cNvPr>
            <xdr:cNvSpPr txBox="1"/>
          </xdr:nvSpPr>
          <xdr:spPr>
            <a:xfrm>
              <a:off x="7172326" y="14001750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56DD4621-3D9A-442D-947C-F1150D69D86A}"/>
                </a:ext>
              </a:extLst>
            </xdr:cNvPr>
            <xdr:cNvSpPr txBox="1"/>
          </xdr:nvSpPr>
          <xdr:spPr>
            <a:xfrm>
              <a:off x="7172326" y="14001750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200025</xdr:colOff>
      <xdr:row>117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76875E20-1B3B-4EF7-8663-1DCF9231EC23}"/>
                </a:ext>
              </a:extLst>
            </xdr:cNvPr>
            <xdr:cNvSpPr txBox="1"/>
          </xdr:nvSpPr>
          <xdr:spPr>
            <a:xfrm>
              <a:off x="9848850" y="1403985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76875E20-1B3B-4EF7-8663-1DCF9231EC23}"/>
                </a:ext>
              </a:extLst>
            </xdr:cNvPr>
            <xdr:cNvSpPr txBox="1"/>
          </xdr:nvSpPr>
          <xdr:spPr>
            <a:xfrm>
              <a:off x="9848850" y="1403985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38100</xdr:colOff>
      <xdr:row>117</xdr:row>
      <xdr:rowOff>123825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D37A13B2-C779-4E77-907D-2CB665AD1E1A}"/>
                </a:ext>
              </a:extLst>
            </xdr:cNvPr>
            <xdr:cNvSpPr txBox="1"/>
          </xdr:nvSpPr>
          <xdr:spPr>
            <a:xfrm>
              <a:off x="4876800" y="1405890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D37A13B2-C779-4E77-907D-2CB665AD1E1A}"/>
                </a:ext>
              </a:extLst>
            </xdr:cNvPr>
            <xdr:cNvSpPr txBox="1"/>
          </xdr:nvSpPr>
          <xdr:spPr>
            <a:xfrm>
              <a:off x="4876800" y="1405890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125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D8FEEFF8-886B-47F2-9ADD-C1AAC7E3C80F}"/>
                </a:ext>
              </a:extLst>
            </xdr:cNvPr>
            <xdr:cNvSpPr txBox="1"/>
          </xdr:nvSpPr>
          <xdr:spPr>
            <a:xfrm>
              <a:off x="5041868" y="1523047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D8FEEFF8-886B-47F2-9ADD-C1AAC7E3C80F}"/>
                </a:ext>
              </a:extLst>
            </xdr:cNvPr>
            <xdr:cNvSpPr txBox="1"/>
          </xdr:nvSpPr>
          <xdr:spPr>
            <a:xfrm>
              <a:off x="5041868" y="1523047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114300</xdr:colOff>
      <xdr:row>125</xdr:row>
      <xdr:rowOff>0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EE4F928F-B861-4A9D-9D1C-F199B510DD8D}"/>
                </a:ext>
              </a:extLst>
            </xdr:cNvPr>
            <xdr:cNvSpPr txBox="1"/>
          </xdr:nvSpPr>
          <xdr:spPr>
            <a:xfrm>
              <a:off x="5562600" y="1523047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EE4F928F-B861-4A9D-9D1C-F199B510DD8D}"/>
                </a:ext>
              </a:extLst>
            </xdr:cNvPr>
            <xdr:cNvSpPr txBox="1"/>
          </xdr:nvSpPr>
          <xdr:spPr>
            <a:xfrm>
              <a:off x="5562600" y="1523047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124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1FBB2892-09C5-40C8-A14B-0B0DC2F98098}"/>
                </a:ext>
              </a:extLst>
            </xdr:cNvPr>
            <xdr:cNvSpPr txBox="1"/>
          </xdr:nvSpPr>
          <xdr:spPr>
            <a:xfrm>
              <a:off x="5743574" y="1522094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1FBB2892-09C5-40C8-A14B-0B0DC2F98098}"/>
                </a:ext>
              </a:extLst>
            </xdr:cNvPr>
            <xdr:cNvSpPr txBox="1"/>
          </xdr:nvSpPr>
          <xdr:spPr>
            <a:xfrm>
              <a:off x="5743574" y="1522094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12</xdr:col>
      <xdr:colOff>85724</xdr:colOff>
      <xdr:row>128</xdr:row>
      <xdr:rowOff>142875</xdr:rowOff>
    </xdr:from>
    <xdr:to>
      <xdr:col>18</xdr:col>
      <xdr:colOff>323849</xdr:colOff>
      <xdr:row>143</xdr:row>
      <xdr:rowOff>123825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221D44CC-33F9-40E4-98A6-C0BEBD2B1C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0</xdr:col>
      <xdr:colOff>422243</xdr:colOff>
      <xdr:row>144</xdr:row>
      <xdr:rowOff>160813</xdr:rowOff>
    </xdr:from>
    <xdr:ext cx="2145459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D5B88602-5A60-4A75-8B4C-13E8E57DAB9A}"/>
                </a:ext>
              </a:extLst>
            </xdr:cNvPr>
            <xdr:cNvSpPr txBox="1"/>
          </xdr:nvSpPr>
          <xdr:spPr>
            <a:xfrm>
              <a:off x="422243" y="18467863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=</m:t>
                        </m:r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D5B88602-5A60-4A75-8B4C-13E8E57DAB9A}"/>
                </a:ext>
              </a:extLst>
            </xdr:cNvPr>
            <xdr:cNvSpPr txBox="1"/>
          </xdr:nvSpPr>
          <xdr:spPr>
            <a:xfrm>
              <a:off x="422243" y="18467863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̅=〗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0</xdr:col>
      <xdr:colOff>342900</xdr:colOff>
      <xdr:row>148</xdr:row>
      <xdr:rowOff>85725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6152DB44-D1A2-4DAC-8144-E6D5489A6BD7}"/>
                </a:ext>
              </a:extLst>
            </xdr:cNvPr>
            <xdr:cNvSpPr txBox="1"/>
          </xdr:nvSpPr>
          <xdr:spPr>
            <a:xfrm>
              <a:off x="342900" y="1904047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6152DB44-D1A2-4DAC-8144-E6D5489A6BD7}"/>
                </a:ext>
              </a:extLst>
            </xdr:cNvPr>
            <xdr:cNvSpPr txBox="1"/>
          </xdr:nvSpPr>
          <xdr:spPr>
            <a:xfrm>
              <a:off x="342900" y="1904047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4</xdr:col>
      <xdr:colOff>495300</xdr:colOff>
      <xdr:row>145</xdr:row>
      <xdr:rowOff>19050</xdr:rowOff>
    </xdr:from>
    <xdr:ext cx="1887376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0087BF42-581C-4D62-9908-222D529B3B10}"/>
                </a:ext>
              </a:extLst>
            </xdr:cNvPr>
            <xdr:cNvSpPr txBox="1"/>
          </xdr:nvSpPr>
          <xdr:spPr>
            <a:xfrm>
              <a:off x="3990975" y="18488025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0087BF42-581C-4D62-9908-222D529B3B10}"/>
                </a:ext>
              </a:extLst>
            </xdr:cNvPr>
            <xdr:cNvSpPr txBox="1"/>
          </xdr:nvSpPr>
          <xdr:spPr>
            <a:xfrm>
              <a:off x="3990975" y="18488025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581025</xdr:colOff>
      <xdr:row>145</xdr:row>
      <xdr:rowOff>0</xdr:rowOff>
    </xdr:from>
    <xdr:ext cx="1906932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B9C79870-FAC5-462F-B6E6-257C679487BC}"/>
                </a:ext>
              </a:extLst>
            </xdr:cNvPr>
            <xdr:cNvSpPr txBox="1"/>
          </xdr:nvSpPr>
          <xdr:spPr>
            <a:xfrm>
              <a:off x="7524750" y="18468975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B9C79870-FAC5-462F-B6E6-257C679487BC}"/>
                </a:ext>
              </a:extLst>
            </xdr:cNvPr>
            <xdr:cNvSpPr txBox="1"/>
          </xdr:nvSpPr>
          <xdr:spPr>
            <a:xfrm>
              <a:off x="7524750" y="18468975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209550</xdr:colOff>
      <xdr:row>151</xdr:row>
      <xdr:rowOff>142875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4ED8A38-A313-4A21-AB13-175D224D6B68}"/>
                </a:ext>
              </a:extLst>
            </xdr:cNvPr>
            <xdr:cNvSpPr txBox="1"/>
          </xdr:nvSpPr>
          <xdr:spPr>
            <a:xfrm>
              <a:off x="6419850" y="195834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4ED8A38-A313-4A21-AB13-175D224D6B68}"/>
                </a:ext>
              </a:extLst>
            </xdr:cNvPr>
            <xdr:cNvSpPr txBox="1"/>
          </xdr:nvSpPr>
          <xdr:spPr>
            <a:xfrm>
              <a:off x="6419850" y="195834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228601</xdr:colOff>
      <xdr:row>148</xdr:row>
      <xdr:rowOff>66675</xdr:rowOff>
    </xdr:from>
    <xdr:ext cx="990600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0162E99-A41A-4519-827B-C8BAB3A40082}"/>
                </a:ext>
              </a:extLst>
            </xdr:cNvPr>
            <xdr:cNvSpPr txBox="1"/>
          </xdr:nvSpPr>
          <xdr:spPr>
            <a:xfrm>
              <a:off x="7172326" y="19021425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0162E99-A41A-4519-827B-C8BAB3A40082}"/>
                </a:ext>
              </a:extLst>
            </xdr:cNvPr>
            <xdr:cNvSpPr txBox="1"/>
          </xdr:nvSpPr>
          <xdr:spPr>
            <a:xfrm>
              <a:off x="7172326" y="19021425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200025</xdr:colOff>
      <xdr:row>148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012773D7-5D9D-4189-847F-2EA6CC3B6EE0}"/>
                </a:ext>
              </a:extLst>
            </xdr:cNvPr>
            <xdr:cNvSpPr txBox="1"/>
          </xdr:nvSpPr>
          <xdr:spPr>
            <a:xfrm>
              <a:off x="9848850" y="19059525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012773D7-5D9D-4189-847F-2EA6CC3B6EE0}"/>
                </a:ext>
              </a:extLst>
            </xdr:cNvPr>
            <xdr:cNvSpPr txBox="1"/>
          </xdr:nvSpPr>
          <xdr:spPr>
            <a:xfrm>
              <a:off x="9848850" y="19059525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38100</xdr:colOff>
      <xdr:row>148</xdr:row>
      <xdr:rowOff>123825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D9A3F2F-700D-4DBA-91D7-F640BA1603D9}"/>
                </a:ext>
              </a:extLst>
            </xdr:cNvPr>
            <xdr:cNvSpPr txBox="1"/>
          </xdr:nvSpPr>
          <xdr:spPr>
            <a:xfrm>
              <a:off x="4876800" y="19078575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D9A3F2F-700D-4DBA-91D7-F640BA1603D9}"/>
                </a:ext>
              </a:extLst>
            </xdr:cNvPr>
            <xdr:cNvSpPr txBox="1"/>
          </xdr:nvSpPr>
          <xdr:spPr>
            <a:xfrm>
              <a:off x="4876800" y="19078575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156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682BC85A-2FC9-40AE-B71D-FE56FCA90696}"/>
                </a:ext>
              </a:extLst>
            </xdr:cNvPr>
            <xdr:cNvSpPr txBox="1"/>
          </xdr:nvSpPr>
          <xdr:spPr>
            <a:xfrm>
              <a:off x="5041868" y="2025015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682BC85A-2FC9-40AE-B71D-FE56FCA90696}"/>
                </a:ext>
              </a:extLst>
            </xdr:cNvPr>
            <xdr:cNvSpPr txBox="1"/>
          </xdr:nvSpPr>
          <xdr:spPr>
            <a:xfrm>
              <a:off x="5041868" y="2025015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114300</xdr:colOff>
      <xdr:row>156</xdr:row>
      <xdr:rowOff>0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FD99022-B6D7-4119-83E5-973B5E70F8D4}"/>
                </a:ext>
              </a:extLst>
            </xdr:cNvPr>
            <xdr:cNvSpPr txBox="1"/>
          </xdr:nvSpPr>
          <xdr:spPr>
            <a:xfrm>
              <a:off x="5562600" y="20250150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FD99022-B6D7-4119-83E5-973B5E70F8D4}"/>
                </a:ext>
              </a:extLst>
            </xdr:cNvPr>
            <xdr:cNvSpPr txBox="1"/>
          </xdr:nvSpPr>
          <xdr:spPr>
            <a:xfrm>
              <a:off x="5562600" y="20250150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155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023FE9D-E685-47E3-A41C-D9F47BF4470D}"/>
                </a:ext>
              </a:extLst>
            </xdr:cNvPr>
            <xdr:cNvSpPr txBox="1"/>
          </xdr:nvSpPr>
          <xdr:spPr>
            <a:xfrm>
              <a:off x="5743574" y="2024062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023FE9D-E685-47E3-A41C-D9F47BF4470D}"/>
                </a:ext>
              </a:extLst>
            </xdr:cNvPr>
            <xdr:cNvSpPr txBox="1"/>
          </xdr:nvSpPr>
          <xdr:spPr>
            <a:xfrm>
              <a:off x="5743574" y="2024062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12</xdr:col>
      <xdr:colOff>85724</xdr:colOff>
      <xdr:row>159</xdr:row>
      <xdr:rowOff>142875</xdr:rowOff>
    </xdr:from>
    <xdr:to>
      <xdr:col>18</xdr:col>
      <xdr:colOff>323849</xdr:colOff>
      <xdr:row>174</xdr:row>
      <xdr:rowOff>123825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04E4AF24-0413-406E-B08E-2CFA8B5113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0</xdr:col>
      <xdr:colOff>422243</xdr:colOff>
      <xdr:row>175</xdr:row>
      <xdr:rowOff>160813</xdr:rowOff>
    </xdr:from>
    <xdr:ext cx="2145459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D0DCD4E-E54C-4AF1-9147-0E9F3AACA366}"/>
                </a:ext>
              </a:extLst>
            </xdr:cNvPr>
            <xdr:cNvSpPr txBox="1"/>
          </xdr:nvSpPr>
          <xdr:spPr>
            <a:xfrm>
              <a:off x="422243" y="23487538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=</m:t>
                        </m:r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D0DCD4E-E54C-4AF1-9147-0E9F3AACA366}"/>
                </a:ext>
              </a:extLst>
            </xdr:cNvPr>
            <xdr:cNvSpPr txBox="1"/>
          </xdr:nvSpPr>
          <xdr:spPr>
            <a:xfrm>
              <a:off x="422243" y="23487538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̅=〗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0</xdr:col>
      <xdr:colOff>342900</xdr:colOff>
      <xdr:row>179</xdr:row>
      <xdr:rowOff>85725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4E2F98DC-443B-43C6-8522-7A714803ED3C}"/>
                </a:ext>
              </a:extLst>
            </xdr:cNvPr>
            <xdr:cNvSpPr txBox="1"/>
          </xdr:nvSpPr>
          <xdr:spPr>
            <a:xfrm>
              <a:off x="342900" y="240601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4E2F98DC-443B-43C6-8522-7A714803ED3C}"/>
                </a:ext>
              </a:extLst>
            </xdr:cNvPr>
            <xdr:cNvSpPr txBox="1"/>
          </xdr:nvSpPr>
          <xdr:spPr>
            <a:xfrm>
              <a:off x="342900" y="240601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4</xdr:col>
      <xdr:colOff>495300</xdr:colOff>
      <xdr:row>176</xdr:row>
      <xdr:rowOff>19050</xdr:rowOff>
    </xdr:from>
    <xdr:ext cx="1887376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303978D4-6248-4595-A0E2-100E7738C837}"/>
                </a:ext>
              </a:extLst>
            </xdr:cNvPr>
            <xdr:cNvSpPr txBox="1"/>
          </xdr:nvSpPr>
          <xdr:spPr>
            <a:xfrm>
              <a:off x="3990975" y="23507700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303978D4-6248-4595-A0E2-100E7738C837}"/>
                </a:ext>
              </a:extLst>
            </xdr:cNvPr>
            <xdr:cNvSpPr txBox="1"/>
          </xdr:nvSpPr>
          <xdr:spPr>
            <a:xfrm>
              <a:off x="3990975" y="23507700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581025</xdr:colOff>
      <xdr:row>176</xdr:row>
      <xdr:rowOff>0</xdr:rowOff>
    </xdr:from>
    <xdr:ext cx="1906932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54B220B5-6871-43A8-85FE-BCA4129BB38D}"/>
                </a:ext>
              </a:extLst>
            </xdr:cNvPr>
            <xdr:cNvSpPr txBox="1"/>
          </xdr:nvSpPr>
          <xdr:spPr>
            <a:xfrm>
              <a:off x="7524750" y="23488650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54B220B5-6871-43A8-85FE-BCA4129BB38D}"/>
                </a:ext>
              </a:extLst>
            </xdr:cNvPr>
            <xdr:cNvSpPr txBox="1"/>
          </xdr:nvSpPr>
          <xdr:spPr>
            <a:xfrm>
              <a:off x="7524750" y="23488650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209550</xdr:colOff>
      <xdr:row>182</xdr:row>
      <xdr:rowOff>142875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9F4A57ED-ACC8-4DB8-AA88-98DD32F2C0F6}"/>
                </a:ext>
              </a:extLst>
            </xdr:cNvPr>
            <xdr:cNvSpPr txBox="1"/>
          </xdr:nvSpPr>
          <xdr:spPr>
            <a:xfrm>
              <a:off x="6419850" y="2460307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9F4A57ED-ACC8-4DB8-AA88-98DD32F2C0F6}"/>
                </a:ext>
              </a:extLst>
            </xdr:cNvPr>
            <xdr:cNvSpPr txBox="1"/>
          </xdr:nvSpPr>
          <xdr:spPr>
            <a:xfrm>
              <a:off x="6419850" y="2460307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228601</xdr:colOff>
      <xdr:row>179</xdr:row>
      <xdr:rowOff>66675</xdr:rowOff>
    </xdr:from>
    <xdr:ext cx="990600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254084F0-97ED-4BC1-BC20-F93A8FCA9D8A}"/>
                </a:ext>
              </a:extLst>
            </xdr:cNvPr>
            <xdr:cNvSpPr txBox="1"/>
          </xdr:nvSpPr>
          <xdr:spPr>
            <a:xfrm>
              <a:off x="7172326" y="24041100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254084F0-97ED-4BC1-BC20-F93A8FCA9D8A}"/>
                </a:ext>
              </a:extLst>
            </xdr:cNvPr>
            <xdr:cNvSpPr txBox="1"/>
          </xdr:nvSpPr>
          <xdr:spPr>
            <a:xfrm>
              <a:off x="7172326" y="24041100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200025</xdr:colOff>
      <xdr:row>179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9AF7A7B1-AB0C-4EFA-AA8D-C56240C9D70F}"/>
                </a:ext>
              </a:extLst>
            </xdr:cNvPr>
            <xdr:cNvSpPr txBox="1"/>
          </xdr:nvSpPr>
          <xdr:spPr>
            <a:xfrm>
              <a:off x="9848850" y="240792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9AF7A7B1-AB0C-4EFA-AA8D-C56240C9D70F}"/>
                </a:ext>
              </a:extLst>
            </xdr:cNvPr>
            <xdr:cNvSpPr txBox="1"/>
          </xdr:nvSpPr>
          <xdr:spPr>
            <a:xfrm>
              <a:off x="9848850" y="240792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38100</xdr:colOff>
      <xdr:row>179</xdr:row>
      <xdr:rowOff>123825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838503F2-2336-46D3-992E-90937AA7CF39}"/>
                </a:ext>
              </a:extLst>
            </xdr:cNvPr>
            <xdr:cNvSpPr txBox="1"/>
          </xdr:nvSpPr>
          <xdr:spPr>
            <a:xfrm>
              <a:off x="4876800" y="240982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838503F2-2336-46D3-992E-90937AA7CF39}"/>
                </a:ext>
              </a:extLst>
            </xdr:cNvPr>
            <xdr:cNvSpPr txBox="1"/>
          </xdr:nvSpPr>
          <xdr:spPr>
            <a:xfrm>
              <a:off x="4876800" y="240982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13</xdr:col>
      <xdr:colOff>76201</xdr:colOff>
      <xdr:row>186</xdr:row>
      <xdr:rowOff>17394</xdr:rowOff>
    </xdr:from>
    <xdr:to>
      <xdr:col>16</xdr:col>
      <xdr:colOff>9525</xdr:colOff>
      <xdr:row>197</xdr:row>
      <xdr:rowOff>95250</xdr:rowOff>
    </xdr:to>
    <xdr:pic>
      <xdr:nvPicPr>
        <xdr:cNvPr id="75" name="Imagem 74" descr="Imagem">
          <a:extLst>
            <a:ext uri="{FF2B5EF4-FFF2-40B4-BE49-F238E27FC236}">
              <a16:creationId xmlns:a16="http://schemas.microsoft.com/office/drawing/2014/main" id="{8D0F6269-0958-4812-BC88-2417722AE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4451" y="123404244"/>
          <a:ext cx="1990724" cy="1859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419100</xdr:colOff>
      <xdr:row>197</xdr:row>
      <xdr:rowOff>142875</xdr:rowOff>
    </xdr:from>
    <xdr:to>
      <xdr:col>17</xdr:col>
      <xdr:colOff>391101</xdr:colOff>
      <xdr:row>204</xdr:row>
      <xdr:rowOff>95402</xdr:rowOff>
    </xdr:to>
    <xdr:pic>
      <xdr:nvPicPr>
        <xdr:cNvPr id="76" name="Imagem 75">
          <a:extLst>
            <a:ext uri="{FF2B5EF4-FFF2-40B4-BE49-F238E27FC236}">
              <a16:creationId xmlns:a16="http://schemas.microsoft.com/office/drawing/2014/main" id="{57FC91DC-7F09-48F0-A92B-82C30CD1B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58150" y="125320425"/>
          <a:ext cx="4124901" cy="1086002"/>
        </a:xfrm>
        <a:prstGeom prst="rect">
          <a:avLst/>
        </a:prstGeom>
      </xdr:spPr>
    </xdr:pic>
    <xdr:clientData/>
  </xdr:twoCellAnchor>
  <xdr:oneCellAnchor>
    <xdr:from>
      <xdr:col>1</xdr:col>
      <xdr:colOff>953559</xdr:colOff>
      <xdr:row>208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8301BEE-94C9-4BB4-9174-ED6D432C7B6E}"/>
                </a:ext>
              </a:extLst>
            </xdr:cNvPr>
            <xdr:cNvSpPr txBox="1"/>
          </xdr:nvSpPr>
          <xdr:spPr>
            <a:xfrm>
              <a:off x="1563159" y="1270931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7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8301BEE-94C9-4BB4-9174-ED6D432C7B6E}"/>
                </a:ext>
              </a:extLst>
            </xdr:cNvPr>
            <xdr:cNvSpPr txBox="1"/>
          </xdr:nvSpPr>
          <xdr:spPr>
            <a:xfrm>
              <a:off x="1563159" y="1270931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4</xdr:col>
      <xdr:colOff>628650</xdr:colOff>
      <xdr:row>207</xdr:row>
      <xdr:rowOff>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BCC0858-B91E-40A2-8599-6FD2A1E80EEB}"/>
                </a:ext>
              </a:extLst>
            </xdr:cNvPr>
            <xdr:cNvSpPr txBox="1"/>
          </xdr:nvSpPr>
          <xdr:spPr>
            <a:xfrm>
              <a:off x="3981450" y="126815850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7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BCC0858-B91E-40A2-8599-6FD2A1E80EEB}"/>
                </a:ext>
              </a:extLst>
            </xdr:cNvPr>
            <xdr:cNvSpPr txBox="1"/>
          </xdr:nvSpPr>
          <xdr:spPr>
            <a:xfrm>
              <a:off x="3981450" y="126815850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9</xdr:col>
      <xdr:colOff>352425</xdr:colOff>
      <xdr:row>191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40D737DE-8E37-44A2-AD0D-9BF3A961DD6D}"/>
                </a:ext>
              </a:extLst>
            </xdr:cNvPr>
            <xdr:cNvSpPr txBox="1"/>
          </xdr:nvSpPr>
          <xdr:spPr>
            <a:xfrm>
              <a:off x="6772275" y="12435839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40D737DE-8E37-44A2-AD0D-9BF3A961DD6D}"/>
                </a:ext>
              </a:extLst>
            </xdr:cNvPr>
            <xdr:cNvSpPr txBox="1"/>
          </xdr:nvSpPr>
          <xdr:spPr>
            <a:xfrm>
              <a:off x="6772275" y="12435839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333375</xdr:colOff>
      <xdr:row>194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BCC16DD-E567-4B62-88B3-EAB4AB84FAA7}"/>
                </a:ext>
              </a:extLst>
            </xdr:cNvPr>
            <xdr:cNvSpPr txBox="1"/>
          </xdr:nvSpPr>
          <xdr:spPr>
            <a:xfrm>
              <a:off x="6753225" y="1246822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BCC16DD-E567-4B62-88B3-EAB4AB84FAA7}"/>
                </a:ext>
              </a:extLst>
            </xdr:cNvPr>
            <xdr:cNvSpPr txBox="1"/>
          </xdr:nvSpPr>
          <xdr:spPr>
            <a:xfrm>
              <a:off x="6753225" y="1246822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953559</xdr:colOff>
      <xdr:row>215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61AFD94-239F-4C9C-9633-7C898B9E3957}"/>
                </a:ext>
              </a:extLst>
            </xdr:cNvPr>
            <xdr:cNvSpPr txBox="1"/>
          </xdr:nvSpPr>
          <xdr:spPr>
            <a:xfrm>
              <a:off x="1563159" y="1282456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8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61AFD94-239F-4C9C-9633-7C898B9E3957}"/>
                </a:ext>
              </a:extLst>
            </xdr:cNvPr>
            <xdr:cNvSpPr txBox="1"/>
          </xdr:nvSpPr>
          <xdr:spPr>
            <a:xfrm>
              <a:off x="1563159" y="1282456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5</xdr:col>
      <xdr:colOff>57150</xdr:colOff>
      <xdr:row>213</xdr:row>
      <xdr:rowOff>152400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4E0D78A-DA0D-47BB-9823-0DC1A58A43BC}"/>
                </a:ext>
              </a:extLst>
            </xdr:cNvPr>
            <xdr:cNvSpPr txBox="1"/>
          </xdr:nvSpPr>
          <xdr:spPr>
            <a:xfrm>
              <a:off x="4038600" y="12794932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8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34E0D78A-DA0D-47BB-9823-0DC1A58A43BC}"/>
                </a:ext>
              </a:extLst>
            </xdr:cNvPr>
            <xdr:cNvSpPr txBox="1"/>
          </xdr:nvSpPr>
          <xdr:spPr>
            <a:xfrm>
              <a:off x="4038600" y="12794932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9</xdr:col>
      <xdr:colOff>257175</xdr:colOff>
      <xdr:row>196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738139F-9747-4D63-884E-06CDBDE74CB9}"/>
                </a:ext>
              </a:extLst>
            </xdr:cNvPr>
            <xdr:cNvSpPr txBox="1"/>
          </xdr:nvSpPr>
          <xdr:spPr>
            <a:xfrm>
              <a:off x="6677025" y="12500610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738139F-9747-4D63-884E-06CDBDE74CB9}"/>
                </a:ext>
              </a:extLst>
            </xdr:cNvPr>
            <xdr:cNvSpPr txBox="1"/>
          </xdr:nvSpPr>
          <xdr:spPr>
            <a:xfrm>
              <a:off x="6677025" y="12500610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20</xdr:col>
      <xdr:colOff>316366</xdr:colOff>
      <xdr:row>224</xdr:row>
      <xdr:rowOff>22111</xdr:rowOff>
    </xdr:from>
    <xdr:to>
      <xdr:col>25</xdr:col>
      <xdr:colOff>522998</xdr:colOff>
      <xdr:row>228</xdr:row>
      <xdr:rowOff>26282</xdr:rowOff>
    </xdr:to>
    <xdr:pic>
      <xdr:nvPicPr>
        <xdr:cNvPr id="84" name="Imagem 83">
          <a:extLst>
            <a:ext uri="{FF2B5EF4-FFF2-40B4-BE49-F238E27FC236}">
              <a16:creationId xmlns:a16="http://schemas.microsoft.com/office/drawing/2014/main" id="{CFD31BFF-F632-4D27-932F-A467D561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17473" y="36951897"/>
          <a:ext cx="3499561" cy="657314"/>
        </a:xfrm>
        <a:prstGeom prst="rect">
          <a:avLst/>
        </a:prstGeom>
      </xdr:spPr>
    </xdr:pic>
    <xdr:clientData/>
  </xdr:twoCellAnchor>
  <xdr:oneCellAnchor>
    <xdr:from>
      <xdr:col>1</xdr:col>
      <xdr:colOff>953559</xdr:colOff>
      <xdr:row>224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7695875-23E4-48C9-843E-F5378800B1A5}"/>
                </a:ext>
              </a:extLst>
            </xdr:cNvPr>
            <xdr:cNvSpPr txBox="1"/>
          </xdr:nvSpPr>
          <xdr:spPr>
            <a:xfrm>
              <a:off x="1563159" y="1297220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8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7695875-23E4-48C9-843E-F5378800B1A5}"/>
                </a:ext>
              </a:extLst>
            </xdr:cNvPr>
            <xdr:cNvSpPr txBox="1"/>
          </xdr:nvSpPr>
          <xdr:spPr>
            <a:xfrm>
              <a:off x="1563159" y="1297220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4</xdr:col>
      <xdr:colOff>426244</xdr:colOff>
      <xdr:row>223</xdr:row>
      <xdr:rowOff>11906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F2C4846-8C5D-4B85-B257-C2538B6D0C16}"/>
                </a:ext>
              </a:extLst>
            </xdr:cNvPr>
            <xdr:cNvSpPr txBox="1"/>
          </xdr:nvSpPr>
          <xdr:spPr>
            <a:xfrm>
              <a:off x="3798094" y="129456656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8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3F2C4846-8C5D-4B85-B257-C2538B6D0C16}"/>
                </a:ext>
              </a:extLst>
            </xdr:cNvPr>
            <xdr:cNvSpPr txBox="1"/>
          </xdr:nvSpPr>
          <xdr:spPr>
            <a:xfrm>
              <a:off x="3798094" y="129456656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234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7391BB43-867D-4FCC-AC4B-067CC8BD32CA}"/>
                </a:ext>
              </a:extLst>
            </xdr:cNvPr>
            <xdr:cNvSpPr txBox="1"/>
          </xdr:nvSpPr>
          <xdr:spPr>
            <a:xfrm>
              <a:off x="1563159" y="1313984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8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7391BB43-867D-4FCC-AC4B-067CC8BD32CA}"/>
                </a:ext>
              </a:extLst>
            </xdr:cNvPr>
            <xdr:cNvSpPr txBox="1"/>
          </xdr:nvSpPr>
          <xdr:spPr>
            <a:xfrm>
              <a:off x="1563159" y="1313984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4</xdr:col>
      <xdr:colOff>283369</xdr:colOff>
      <xdr:row>233</xdr:row>
      <xdr:rowOff>11906</xdr:rowOff>
    </xdr:from>
    <xdr:ext cx="1323974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32B6B4F-572E-4F9A-9FF1-87234C3A5BE2}"/>
                </a:ext>
              </a:extLst>
            </xdr:cNvPr>
            <xdr:cNvSpPr txBox="1"/>
          </xdr:nvSpPr>
          <xdr:spPr>
            <a:xfrm>
              <a:off x="3655219" y="131133056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1+</m:t>
                        </m:r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8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32B6B4F-572E-4F9A-9FF1-87234C3A5BE2}"/>
                </a:ext>
              </a:extLst>
            </xdr:cNvPr>
            <xdr:cNvSpPr txBox="1"/>
          </xdr:nvSpPr>
          <xdr:spPr>
            <a:xfrm>
              <a:off x="3655219" y="131133056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1+1/𝑛+(𝑥0−𝑥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twoCellAnchor editAs="oneCell">
    <xdr:from>
      <xdr:col>21</xdr:col>
      <xdr:colOff>73137</xdr:colOff>
      <xdr:row>234</xdr:row>
      <xdr:rowOff>112259</xdr:rowOff>
    </xdr:from>
    <xdr:to>
      <xdr:col>29</xdr:col>
      <xdr:colOff>389579</xdr:colOff>
      <xdr:row>238</xdr:row>
      <xdr:rowOff>140931</xdr:rowOff>
    </xdr:to>
    <xdr:pic>
      <xdr:nvPicPr>
        <xdr:cNvPr id="89" name="Imagem 88">
          <a:extLst>
            <a:ext uri="{FF2B5EF4-FFF2-40B4-BE49-F238E27FC236}">
              <a16:creationId xmlns:a16="http://schemas.microsoft.com/office/drawing/2014/main" id="{71C77782-5785-4E66-8881-7F01CF9B5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986566" y="38729330"/>
          <a:ext cx="5446334" cy="681815"/>
        </a:xfrm>
        <a:prstGeom prst="rect">
          <a:avLst/>
        </a:prstGeom>
      </xdr:spPr>
    </xdr:pic>
    <xdr:clientData/>
  </xdr:twoCellAnchor>
  <xdr:oneCellAnchor>
    <xdr:from>
      <xdr:col>1</xdr:col>
      <xdr:colOff>212913</xdr:colOff>
      <xdr:row>243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9D26B0E7-A2EC-4E9F-9DA2-A7E23F3094D7}"/>
                </a:ext>
              </a:extLst>
            </xdr:cNvPr>
            <xdr:cNvSpPr txBox="1"/>
          </xdr:nvSpPr>
          <xdr:spPr>
            <a:xfrm>
              <a:off x="822513" y="1328984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9D26B0E7-A2EC-4E9F-9DA2-A7E23F3094D7}"/>
                </a:ext>
              </a:extLst>
            </xdr:cNvPr>
            <xdr:cNvSpPr txBox="1"/>
          </xdr:nvSpPr>
          <xdr:spPr>
            <a:xfrm>
              <a:off x="822513" y="1328984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𝐻0:𝑎=0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245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F6CC3946-6E9F-4E4C-A34E-774A1BF26AD9}"/>
                </a:ext>
              </a:extLst>
            </xdr:cNvPr>
            <xdr:cNvSpPr txBox="1"/>
          </xdr:nvSpPr>
          <xdr:spPr>
            <a:xfrm>
              <a:off x="833717" y="1332446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F6CC3946-6E9F-4E4C-A34E-774A1BF26AD9}"/>
                </a:ext>
              </a:extLst>
            </xdr:cNvPr>
            <xdr:cNvSpPr txBox="1"/>
          </xdr:nvSpPr>
          <xdr:spPr>
            <a:xfrm>
              <a:off x="833717" y="1332446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𝐻1:𝑎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6</xdr:col>
      <xdr:colOff>571500</xdr:colOff>
      <xdr:row>245</xdr:row>
      <xdr:rowOff>145675</xdr:rowOff>
    </xdr:from>
    <xdr:ext cx="65" cy="172227"/>
    <xdr:sp macro="" textlink="">
      <xdr:nvSpPr>
        <xdr:cNvPr id="92" name="CaixaDeTexto 91">
          <a:extLst>
            <a:ext uri="{FF2B5EF4-FFF2-40B4-BE49-F238E27FC236}">
              <a16:creationId xmlns:a16="http://schemas.microsoft.com/office/drawing/2014/main" id="{F5AFCEC0-B326-4522-ADFD-E32A614436B7}"/>
            </a:ext>
          </a:extLst>
        </xdr:cNvPr>
        <xdr:cNvSpPr txBox="1"/>
      </xdr:nvSpPr>
      <xdr:spPr>
        <a:xfrm>
          <a:off x="5162550" y="133267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t-PT" sz="1100"/>
        </a:p>
      </xdr:txBody>
    </xdr:sp>
    <xdr:clientData/>
  </xdr:oneCellAnchor>
  <xdr:oneCellAnchor>
    <xdr:from>
      <xdr:col>1</xdr:col>
      <xdr:colOff>953559</xdr:colOff>
      <xdr:row>252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6A5B047-0254-4313-8851-CA87CB6498E6}"/>
                </a:ext>
              </a:extLst>
            </xdr:cNvPr>
            <xdr:cNvSpPr txBox="1"/>
          </xdr:nvSpPr>
          <xdr:spPr>
            <a:xfrm>
              <a:off x="1563159" y="1343702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9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6A5B047-0254-4313-8851-CA87CB6498E6}"/>
                </a:ext>
              </a:extLst>
            </xdr:cNvPr>
            <xdr:cNvSpPr txBox="1"/>
          </xdr:nvSpPr>
          <xdr:spPr>
            <a:xfrm>
              <a:off x="1563159" y="1343702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212913</xdr:colOff>
      <xdr:row>261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0CF23EF9-86CA-420F-BC45-AFAA659356CB}"/>
                </a:ext>
              </a:extLst>
            </xdr:cNvPr>
            <xdr:cNvSpPr txBox="1"/>
          </xdr:nvSpPr>
          <xdr:spPr>
            <a:xfrm>
              <a:off x="822513" y="1358321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0CF23EF9-86CA-420F-BC45-AFAA659356CB}"/>
                </a:ext>
              </a:extLst>
            </xdr:cNvPr>
            <xdr:cNvSpPr txBox="1"/>
          </xdr:nvSpPr>
          <xdr:spPr>
            <a:xfrm>
              <a:off x="822513" y="1358321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𝐻0:𝑏=0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263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0CE49EE7-9EE0-4126-A568-E0D12F4A9EFB}"/>
                </a:ext>
              </a:extLst>
            </xdr:cNvPr>
            <xdr:cNvSpPr txBox="1"/>
          </xdr:nvSpPr>
          <xdr:spPr>
            <a:xfrm>
              <a:off x="833717" y="1361783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0CE49EE7-9EE0-4126-A568-E0D12F4A9EFB}"/>
                </a:ext>
              </a:extLst>
            </xdr:cNvPr>
            <xdr:cNvSpPr txBox="1"/>
          </xdr:nvSpPr>
          <xdr:spPr>
            <a:xfrm>
              <a:off x="833717" y="1361783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</xdr:col>
      <xdr:colOff>112058</xdr:colOff>
      <xdr:row>261</xdr:row>
      <xdr:rowOff>91889</xdr:rowOff>
    </xdr:from>
    <xdr:ext cx="1361393" cy="549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217A4D29-DADB-4267-ADDD-A2C2A9A51E07}"/>
                </a:ext>
              </a:extLst>
            </xdr:cNvPr>
            <xdr:cNvSpPr txBox="1"/>
          </xdr:nvSpPr>
          <xdr:spPr>
            <a:xfrm>
              <a:off x="2874308" y="135823139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217A4D29-DADB-4267-ADDD-A2C2A9A51E07}"/>
                </a:ext>
              </a:extLst>
            </xdr:cNvPr>
            <xdr:cNvSpPr txBox="1"/>
          </xdr:nvSpPr>
          <xdr:spPr>
            <a:xfrm>
              <a:off x="2874308" y="135823139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𝑇_0=(𝑏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𝑏_0)/(</a:t>
              </a:r>
              <a:r>
                <a:rPr lang="pt-PT" sz="1400" b="0" i="0">
                  <a:latin typeface="Cambria Math" panose="02040503050406030204" pitchFamily="18" charset="0"/>
                </a:rPr>
                <a:t>𝑆/√(𝑆_𝑥𝑥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953559</xdr:colOff>
      <xdr:row>270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3CA8317-845C-42A1-820A-BFA7527CE725}"/>
                </a:ext>
              </a:extLst>
            </xdr:cNvPr>
            <xdr:cNvSpPr txBox="1"/>
          </xdr:nvSpPr>
          <xdr:spPr>
            <a:xfrm>
              <a:off x="1563159" y="1373039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9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3CA8317-845C-42A1-820A-BFA7527CE725}"/>
                </a:ext>
              </a:extLst>
            </xdr:cNvPr>
            <xdr:cNvSpPr txBox="1"/>
          </xdr:nvSpPr>
          <xdr:spPr>
            <a:xfrm>
              <a:off x="1563159" y="1373039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809626</xdr:colOff>
      <xdr:row>243</xdr:row>
      <xdr:rowOff>83342</xdr:rowOff>
    </xdr:from>
    <xdr:ext cx="1361393" cy="876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F84140EE-96A8-49B0-8ECE-60564210D9FA}"/>
                </a:ext>
              </a:extLst>
            </xdr:cNvPr>
            <xdr:cNvSpPr txBox="1"/>
          </xdr:nvSpPr>
          <xdr:spPr>
            <a:xfrm>
              <a:off x="3371851" y="132880892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acc>
                                  <m:accPr>
                                    <m:chr m:val="̅"/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sSup>
                                      <m:sSupPr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  <m:sup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acc>
                              </m:num>
                              <m:den>
                                <m:sSub>
                                  <m:sSubPr>
                                    <m:ctrlP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𝑆</m:t>
                                    </m:r>
                                  </m:e>
                                  <m:sub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𝑥𝑥</m:t>
                                    </m:r>
                                  </m:sub>
                                </m:sSub>
                              </m:den>
                            </m:f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F84140EE-96A8-49B0-8ECE-60564210D9FA}"/>
                </a:ext>
              </a:extLst>
            </xdr:cNvPr>
            <xdr:cNvSpPr txBox="1"/>
          </xdr:nvSpPr>
          <xdr:spPr>
            <a:xfrm>
              <a:off x="3371851" y="132880892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𝑇_0=(𝑎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𝑎_0)/(</a:t>
              </a:r>
              <a:r>
                <a:rPr lang="pt-PT" sz="1400" b="0" i="0">
                  <a:latin typeface="Cambria Math" panose="02040503050406030204" pitchFamily="18" charset="0"/>
                </a:rPr>
                <a:t>𝑆/√(1/𝑛+(𝑥^2 ) ̅/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6</xdr:col>
      <xdr:colOff>200026</xdr:colOff>
      <xdr:row>245</xdr:row>
      <xdr:rowOff>154782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67C79449-F737-4B52-813D-3980C3414938}"/>
                </a:ext>
              </a:extLst>
            </xdr:cNvPr>
            <xdr:cNvSpPr txBox="1"/>
          </xdr:nvSpPr>
          <xdr:spPr>
            <a:xfrm>
              <a:off x="5162551" y="4001690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67C79449-F737-4B52-813D-3980C3414938}"/>
                </a:ext>
              </a:extLst>
            </xdr:cNvPr>
            <xdr:cNvSpPr txBox="1"/>
          </xdr:nvSpPr>
          <xdr:spPr>
            <a:xfrm>
              <a:off x="5162551" y="4001690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264318</xdr:colOff>
      <xdr:row>263</xdr:row>
      <xdr:rowOff>145255</xdr:rowOff>
    </xdr:from>
    <xdr:ext cx="419100" cy="2262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F8D3CF50-0B92-4F11-9047-23247147C243}"/>
                </a:ext>
              </a:extLst>
            </xdr:cNvPr>
            <xdr:cNvSpPr txBox="1"/>
          </xdr:nvSpPr>
          <xdr:spPr>
            <a:xfrm>
              <a:off x="5226843" y="42941080"/>
              <a:ext cx="419100" cy="2262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F8D3CF50-0B92-4F11-9047-23247147C243}"/>
                </a:ext>
              </a:extLst>
            </xdr:cNvPr>
            <xdr:cNvSpPr txBox="1"/>
          </xdr:nvSpPr>
          <xdr:spPr>
            <a:xfrm>
              <a:off x="5226843" y="42941080"/>
              <a:ext cx="419100" cy="2262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95250</xdr:colOff>
      <xdr:row>264</xdr:row>
      <xdr:rowOff>107156</xdr:rowOff>
    </xdr:from>
    <xdr:ext cx="607219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3F61E95-64E2-4D7D-BF24-73A94BD92E3F}"/>
                </a:ext>
              </a:extLst>
            </xdr:cNvPr>
            <xdr:cNvSpPr txBox="1"/>
          </xdr:nvSpPr>
          <xdr:spPr>
            <a:xfrm>
              <a:off x="1809750" y="136324181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10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3F61E95-64E2-4D7D-BF24-73A94BD92E3F}"/>
                </a:ext>
              </a:extLst>
            </xdr:cNvPr>
            <xdr:cNvSpPr txBox="1"/>
          </xdr:nvSpPr>
          <xdr:spPr>
            <a:xfrm>
              <a:off x="1809750" y="136324181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oneCellAnchor>
    <xdr:from>
      <xdr:col>1</xdr:col>
      <xdr:colOff>881063</xdr:colOff>
      <xdr:row>246</xdr:row>
      <xdr:rowOff>95250</xdr:rowOff>
    </xdr:from>
    <xdr:ext cx="821532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9CFEC57-1F7C-429A-A8F7-6F401A79C8AC}"/>
                </a:ext>
              </a:extLst>
            </xdr:cNvPr>
            <xdr:cNvSpPr txBox="1"/>
          </xdr:nvSpPr>
          <xdr:spPr>
            <a:xfrm>
              <a:off x="1490663" y="133378575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acc>
                              <m:accPr>
                                <m:chr m:val="̅"/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sSup>
                                  <m:sSupPr>
                                    <m:ctrlP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e>
                                  <m:sup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acc>
                          </m:num>
                          <m:den>
                            <m:sSub>
                              <m:sSubPr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10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9CFEC57-1F7C-429A-A8F7-6F401A79C8AC}"/>
                </a:ext>
              </a:extLst>
            </xdr:cNvPr>
            <xdr:cNvSpPr txBox="1"/>
          </xdr:nvSpPr>
          <xdr:spPr>
            <a:xfrm>
              <a:off x="1490663" y="133378575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1/𝑛+(𝑥^2 ) ̅/𝑆_𝑥𝑥 </a:t>
              </a:r>
              <a:r>
                <a:rPr lang="pt-PT" sz="1200" b="0" i="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oneCellAnchor>
    <xdr:from>
      <xdr:col>3</xdr:col>
      <xdr:colOff>726283</xdr:colOff>
      <xdr:row>279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0342C0BA-CCCE-4C2B-8D0C-6B89D20BD845}"/>
                </a:ext>
              </a:extLst>
            </xdr:cNvPr>
            <xdr:cNvSpPr txBox="1"/>
          </xdr:nvSpPr>
          <xdr:spPr>
            <a:xfrm>
              <a:off x="3374233" y="13879592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0342C0BA-CCCE-4C2B-8D0C-6B89D20BD845}"/>
                </a:ext>
              </a:extLst>
            </xdr:cNvPr>
            <xdr:cNvSpPr txBox="1"/>
          </xdr:nvSpPr>
          <xdr:spPr>
            <a:xfrm>
              <a:off x="3374233" y="13879592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</xdr:col>
      <xdr:colOff>678656</xdr:colOff>
      <xdr:row>281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6D2AA3B5-8B22-4748-BCAB-674D0F2EA587}"/>
                </a:ext>
              </a:extLst>
            </xdr:cNvPr>
            <xdr:cNvSpPr txBox="1"/>
          </xdr:nvSpPr>
          <xdr:spPr>
            <a:xfrm>
              <a:off x="3374231" y="1390959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6D2AA3B5-8B22-4748-BCAB-674D0F2EA587}"/>
                </a:ext>
              </a:extLst>
            </xdr:cNvPr>
            <xdr:cNvSpPr txBox="1"/>
          </xdr:nvSpPr>
          <xdr:spPr>
            <a:xfrm>
              <a:off x="3374231" y="1390959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352425</xdr:colOff>
      <xdr:row>3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1D14FA12-7F6A-41D1-A7FD-D7B66D338274}"/>
                </a:ext>
              </a:extLst>
            </xdr:cNvPr>
            <xdr:cNvSpPr txBox="1"/>
          </xdr:nvSpPr>
          <xdr:spPr>
            <a:xfrm>
              <a:off x="8601075" y="922972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1D14FA12-7F6A-41D1-A7FD-D7B66D338274}"/>
                </a:ext>
              </a:extLst>
            </xdr:cNvPr>
            <xdr:cNvSpPr txBox="1"/>
          </xdr:nvSpPr>
          <xdr:spPr>
            <a:xfrm>
              <a:off x="8601075" y="922972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333375</xdr:colOff>
      <xdr:row>6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293090B-6357-47A8-914B-A6E13B1E8B65}"/>
                </a:ext>
              </a:extLst>
            </xdr:cNvPr>
            <xdr:cNvSpPr txBox="1"/>
          </xdr:nvSpPr>
          <xdr:spPr>
            <a:xfrm>
              <a:off x="8582025" y="95535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293090B-6357-47A8-914B-A6E13B1E8B65}"/>
                </a:ext>
              </a:extLst>
            </xdr:cNvPr>
            <xdr:cNvSpPr txBox="1"/>
          </xdr:nvSpPr>
          <xdr:spPr>
            <a:xfrm>
              <a:off x="8582025" y="95535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257175</xdr:colOff>
      <xdr:row>8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EEDFD5D0-F971-46EC-A038-04C893DF71FF}"/>
                </a:ext>
              </a:extLst>
            </xdr:cNvPr>
            <xdr:cNvSpPr txBox="1"/>
          </xdr:nvSpPr>
          <xdr:spPr>
            <a:xfrm>
              <a:off x="8505825" y="98774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EEDFD5D0-F971-46EC-A038-04C893DF71FF}"/>
                </a:ext>
              </a:extLst>
            </xdr:cNvPr>
            <xdr:cNvSpPr txBox="1"/>
          </xdr:nvSpPr>
          <xdr:spPr>
            <a:xfrm>
              <a:off x="8505825" y="98774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28</xdr:col>
      <xdr:colOff>145258</xdr:colOff>
      <xdr:row>2</xdr:row>
      <xdr:rowOff>71438</xdr:rowOff>
    </xdr:from>
    <xdr:to>
      <xdr:col>31</xdr:col>
      <xdr:colOff>307182</xdr:colOff>
      <xdr:row>14</xdr:row>
      <xdr:rowOff>6420</xdr:rowOff>
    </xdr:to>
    <xdr:pic>
      <xdr:nvPicPr>
        <xdr:cNvPr id="115" name="Imagem 114" descr="Imagem">
          <a:extLst>
            <a:ext uri="{FF2B5EF4-FFF2-40B4-BE49-F238E27FC236}">
              <a16:creationId xmlns:a16="http://schemas.microsoft.com/office/drawing/2014/main" id="{517E71A7-FA15-4799-A2E1-AE07531A3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1508" y="8977313"/>
          <a:ext cx="1990724" cy="1878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488157</xdr:colOff>
      <xdr:row>14</xdr:row>
      <xdr:rowOff>30232</xdr:rowOff>
    </xdr:from>
    <xdr:to>
      <xdr:col>33</xdr:col>
      <xdr:colOff>345859</xdr:colOff>
      <xdr:row>20</xdr:row>
      <xdr:rowOff>139921</xdr:rowOff>
    </xdr:to>
    <xdr:pic>
      <xdr:nvPicPr>
        <xdr:cNvPr id="116" name="Imagem 115">
          <a:extLst>
            <a:ext uri="{FF2B5EF4-FFF2-40B4-BE49-F238E27FC236}">
              <a16:creationId xmlns:a16="http://schemas.microsoft.com/office/drawing/2014/main" id="{B9833AEB-2892-4966-8ECE-4FE93D8E2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75207" y="10898257"/>
          <a:ext cx="4124902" cy="1090764"/>
        </a:xfrm>
        <a:prstGeom prst="rect">
          <a:avLst/>
        </a:prstGeom>
      </xdr:spPr>
    </xdr:pic>
    <xdr:clientData/>
  </xdr:twoCellAnchor>
  <xdr:oneCellAnchor>
    <xdr:from>
      <xdr:col>22</xdr:col>
      <xdr:colOff>726283</xdr:colOff>
      <xdr:row>18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D01C2445-7863-43E6-A932-90DB912AA63B}"/>
                </a:ext>
              </a:extLst>
            </xdr:cNvPr>
            <xdr:cNvSpPr txBox="1"/>
          </xdr:nvSpPr>
          <xdr:spPr>
            <a:xfrm>
              <a:off x="8860633" y="1165622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D01C2445-7863-43E6-A932-90DB912AA63B}"/>
                </a:ext>
              </a:extLst>
            </xdr:cNvPr>
            <xdr:cNvSpPr txBox="1"/>
          </xdr:nvSpPr>
          <xdr:spPr>
            <a:xfrm>
              <a:off x="8860633" y="1165622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678656</xdr:colOff>
      <xdr:row>20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EA0CD39C-A861-46AD-9809-C23C91F01B10}"/>
                </a:ext>
              </a:extLst>
            </xdr:cNvPr>
            <xdr:cNvSpPr txBox="1"/>
          </xdr:nvSpPr>
          <xdr:spPr>
            <a:xfrm>
              <a:off x="8860631" y="119562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EA0CD39C-A861-46AD-9809-C23C91F01B10}"/>
                </a:ext>
              </a:extLst>
            </xdr:cNvPr>
            <xdr:cNvSpPr txBox="1"/>
          </xdr:nvSpPr>
          <xdr:spPr>
            <a:xfrm>
              <a:off x="8860631" y="119562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352425</xdr:colOff>
      <xdr:row>34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D2BF0EEB-3C95-4044-9AAE-690C026DB602}"/>
                </a:ext>
              </a:extLst>
            </xdr:cNvPr>
            <xdr:cNvSpPr txBox="1"/>
          </xdr:nvSpPr>
          <xdr:spPr>
            <a:xfrm>
              <a:off x="16109496" y="651781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D2BF0EEB-3C95-4044-9AAE-690C026DB602}"/>
                </a:ext>
              </a:extLst>
            </xdr:cNvPr>
            <xdr:cNvSpPr txBox="1"/>
          </xdr:nvSpPr>
          <xdr:spPr>
            <a:xfrm>
              <a:off x="16109496" y="651781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333375</xdr:colOff>
      <xdr:row>37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45765BDC-01DA-48FC-8FE9-3D5D5459198D}"/>
                </a:ext>
              </a:extLst>
            </xdr:cNvPr>
            <xdr:cNvSpPr txBox="1"/>
          </xdr:nvSpPr>
          <xdr:spPr>
            <a:xfrm>
              <a:off x="16090446" y="97971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45765BDC-01DA-48FC-8FE9-3D5D5459198D}"/>
                </a:ext>
              </a:extLst>
            </xdr:cNvPr>
            <xdr:cNvSpPr txBox="1"/>
          </xdr:nvSpPr>
          <xdr:spPr>
            <a:xfrm>
              <a:off x="16090446" y="97971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257175</xdr:colOff>
      <xdr:row>39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FBA6B906-FE93-4C0A-860F-DCB653CEDEEB}"/>
                </a:ext>
              </a:extLst>
            </xdr:cNvPr>
            <xdr:cNvSpPr txBox="1"/>
          </xdr:nvSpPr>
          <xdr:spPr>
            <a:xfrm>
              <a:off x="16014246" y="1306286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FBA6B906-FE93-4C0A-860F-DCB653CEDEEB}"/>
                </a:ext>
              </a:extLst>
            </xdr:cNvPr>
            <xdr:cNvSpPr txBox="1"/>
          </xdr:nvSpPr>
          <xdr:spPr>
            <a:xfrm>
              <a:off x="16014246" y="1306286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28</xdr:col>
      <xdr:colOff>145258</xdr:colOff>
      <xdr:row>33</xdr:row>
      <xdr:rowOff>71438</xdr:rowOff>
    </xdr:from>
    <xdr:ext cx="1998888" cy="1921625"/>
    <xdr:pic>
      <xdr:nvPicPr>
        <xdr:cNvPr id="122" name="Imagem 121" descr="Imagem">
          <a:extLst>
            <a:ext uri="{FF2B5EF4-FFF2-40B4-BE49-F238E27FC236}">
              <a16:creationId xmlns:a16="http://schemas.microsoft.com/office/drawing/2014/main" id="{D23EAF96-50D2-4DED-B221-2093B3C7C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76258" y="398009"/>
          <a:ext cx="1998888" cy="192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488157</xdr:colOff>
      <xdr:row>45</xdr:row>
      <xdr:rowOff>30232</xdr:rowOff>
    </xdr:from>
    <xdr:ext cx="4143952" cy="1116618"/>
    <xdr:pic>
      <xdr:nvPicPr>
        <xdr:cNvPr id="123" name="Imagem 122">
          <a:extLst>
            <a:ext uri="{FF2B5EF4-FFF2-40B4-BE49-F238E27FC236}">
              <a16:creationId xmlns:a16="http://schemas.microsoft.com/office/drawing/2014/main" id="{55F82CA7-01A5-4253-8044-E33DA5F49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94514" y="2343446"/>
          <a:ext cx="4143952" cy="1116618"/>
        </a:xfrm>
        <a:prstGeom prst="rect">
          <a:avLst/>
        </a:prstGeom>
      </xdr:spPr>
    </xdr:pic>
    <xdr:clientData/>
  </xdr:oneCellAnchor>
  <xdr:oneCellAnchor>
    <xdr:from>
      <xdr:col>22</xdr:col>
      <xdr:colOff>726283</xdr:colOff>
      <xdr:row>49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B5191772-E0D4-4301-A613-616A63E98EF9}"/>
                </a:ext>
              </a:extLst>
            </xdr:cNvPr>
            <xdr:cNvSpPr txBox="1"/>
          </xdr:nvSpPr>
          <xdr:spPr>
            <a:xfrm>
              <a:off x="16369054" y="3110934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B5191772-E0D4-4301-A613-616A63E98EF9}"/>
                </a:ext>
              </a:extLst>
            </xdr:cNvPr>
            <xdr:cNvSpPr txBox="1"/>
          </xdr:nvSpPr>
          <xdr:spPr>
            <a:xfrm>
              <a:off x="16369054" y="3110934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678656</xdr:colOff>
      <xdr:row>51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6072C555-FA83-4640-976D-46A24B3DE11A}"/>
                </a:ext>
              </a:extLst>
            </xdr:cNvPr>
            <xdr:cNvSpPr txBox="1"/>
          </xdr:nvSpPr>
          <xdr:spPr>
            <a:xfrm>
              <a:off x="16369052" y="3427298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6072C555-FA83-4640-976D-46A24B3DE11A}"/>
                </a:ext>
              </a:extLst>
            </xdr:cNvPr>
            <xdr:cNvSpPr txBox="1"/>
          </xdr:nvSpPr>
          <xdr:spPr>
            <a:xfrm>
              <a:off x="16369052" y="3427298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352425</xdr:colOff>
      <xdr:row>65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4E6F9A58-CBA8-436C-9B39-2457FFAEF31F}"/>
                </a:ext>
              </a:extLst>
            </xdr:cNvPr>
            <xdr:cNvSpPr txBox="1"/>
          </xdr:nvSpPr>
          <xdr:spPr>
            <a:xfrm>
              <a:off x="16109496" y="576806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4E6F9A58-CBA8-436C-9B39-2457FFAEF31F}"/>
                </a:ext>
              </a:extLst>
            </xdr:cNvPr>
            <xdr:cNvSpPr txBox="1"/>
          </xdr:nvSpPr>
          <xdr:spPr>
            <a:xfrm>
              <a:off x="16109496" y="576806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333375</xdr:colOff>
      <xdr:row>68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3B113B18-D355-4F15-A255-BF49C4C250FF}"/>
                </a:ext>
              </a:extLst>
            </xdr:cNvPr>
            <xdr:cNvSpPr txBox="1"/>
          </xdr:nvSpPr>
          <xdr:spPr>
            <a:xfrm>
              <a:off x="16090446" y="609600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3B113B18-D355-4F15-A255-BF49C4C250FF}"/>
                </a:ext>
              </a:extLst>
            </xdr:cNvPr>
            <xdr:cNvSpPr txBox="1"/>
          </xdr:nvSpPr>
          <xdr:spPr>
            <a:xfrm>
              <a:off x="16090446" y="609600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257175</xdr:colOff>
      <xdr:row>70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F1563984-A85C-4764-A634-8A966FDE448D}"/>
                </a:ext>
              </a:extLst>
            </xdr:cNvPr>
            <xdr:cNvSpPr txBox="1"/>
          </xdr:nvSpPr>
          <xdr:spPr>
            <a:xfrm>
              <a:off x="16014246" y="6422571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F1563984-A85C-4764-A634-8A966FDE448D}"/>
                </a:ext>
              </a:extLst>
            </xdr:cNvPr>
            <xdr:cNvSpPr txBox="1"/>
          </xdr:nvSpPr>
          <xdr:spPr>
            <a:xfrm>
              <a:off x="16014246" y="6422571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28</xdr:col>
      <xdr:colOff>145258</xdr:colOff>
      <xdr:row>64</xdr:row>
      <xdr:rowOff>71438</xdr:rowOff>
    </xdr:from>
    <xdr:ext cx="1998888" cy="1921625"/>
    <xdr:pic>
      <xdr:nvPicPr>
        <xdr:cNvPr id="129" name="Imagem 128" descr="Imagem">
          <a:extLst>
            <a:ext uri="{FF2B5EF4-FFF2-40B4-BE49-F238E27FC236}">
              <a16:creationId xmlns:a16="http://schemas.microsoft.com/office/drawing/2014/main" id="{8CD868DD-D476-49E1-A293-CEDDE4F5A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76258" y="5514295"/>
          <a:ext cx="1998888" cy="192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488157</xdr:colOff>
      <xdr:row>76</xdr:row>
      <xdr:rowOff>30232</xdr:rowOff>
    </xdr:from>
    <xdr:ext cx="4143952" cy="1116618"/>
    <xdr:pic>
      <xdr:nvPicPr>
        <xdr:cNvPr id="130" name="Imagem 129">
          <a:extLst>
            <a:ext uri="{FF2B5EF4-FFF2-40B4-BE49-F238E27FC236}">
              <a16:creationId xmlns:a16="http://schemas.microsoft.com/office/drawing/2014/main" id="{D64FF620-4FB2-4EBC-A39D-06393863F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94514" y="7459732"/>
          <a:ext cx="4143952" cy="1116618"/>
        </a:xfrm>
        <a:prstGeom prst="rect">
          <a:avLst/>
        </a:prstGeom>
      </xdr:spPr>
    </xdr:pic>
    <xdr:clientData/>
  </xdr:oneCellAnchor>
  <xdr:oneCellAnchor>
    <xdr:from>
      <xdr:col>22</xdr:col>
      <xdr:colOff>726283</xdr:colOff>
      <xdr:row>80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368B5B0-A33A-449F-9D07-14AC88830A20}"/>
                </a:ext>
              </a:extLst>
            </xdr:cNvPr>
            <xdr:cNvSpPr txBox="1"/>
          </xdr:nvSpPr>
          <xdr:spPr>
            <a:xfrm>
              <a:off x="16369054" y="822722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368B5B0-A33A-449F-9D07-14AC88830A20}"/>
                </a:ext>
              </a:extLst>
            </xdr:cNvPr>
            <xdr:cNvSpPr txBox="1"/>
          </xdr:nvSpPr>
          <xdr:spPr>
            <a:xfrm>
              <a:off x="16369054" y="822722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678656</xdr:colOff>
      <xdr:row>82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F7D1C1DF-176D-4003-A9CA-2F98F292EA1F}"/>
                </a:ext>
              </a:extLst>
            </xdr:cNvPr>
            <xdr:cNvSpPr txBox="1"/>
          </xdr:nvSpPr>
          <xdr:spPr>
            <a:xfrm>
              <a:off x="16369052" y="8529976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F7D1C1DF-176D-4003-A9CA-2F98F292EA1F}"/>
                </a:ext>
              </a:extLst>
            </xdr:cNvPr>
            <xdr:cNvSpPr txBox="1"/>
          </xdr:nvSpPr>
          <xdr:spPr>
            <a:xfrm>
              <a:off x="16369052" y="8529976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352425</xdr:colOff>
      <xdr:row>96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9B71972D-4505-4F93-9917-20BAFC3572F3}"/>
                </a:ext>
              </a:extLst>
            </xdr:cNvPr>
            <xdr:cNvSpPr txBox="1"/>
          </xdr:nvSpPr>
          <xdr:spPr>
            <a:xfrm>
              <a:off x="16109496" y="1087074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9B71972D-4505-4F93-9917-20BAFC3572F3}"/>
                </a:ext>
              </a:extLst>
            </xdr:cNvPr>
            <xdr:cNvSpPr txBox="1"/>
          </xdr:nvSpPr>
          <xdr:spPr>
            <a:xfrm>
              <a:off x="16109496" y="1087074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333375</xdr:colOff>
      <xdr:row>99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A7DB6D40-EBFB-473B-8278-F0854A45359F}"/>
                </a:ext>
              </a:extLst>
            </xdr:cNvPr>
            <xdr:cNvSpPr txBox="1"/>
          </xdr:nvSpPr>
          <xdr:spPr>
            <a:xfrm>
              <a:off x="16090446" y="1119867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A7DB6D40-EBFB-473B-8278-F0854A45359F}"/>
                </a:ext>
              </a:extLst>
            </xdr:cNvPr>
            <xdr:cNvSpPr txBox="1"/>
          </xdr:nvSpPr>
          <xdr:spPr>
            <a:xfrm>
              <a:off x="16090446" y="1119867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257175</xdr:colOff>
      <xdr:row>101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836BF000-6815-4EC9-A0FC-1DB5619C4E38}"/>
                </a:ext>
              </a:extLst>
            </xdr:cNvPr>
            <xdr:cNvSpPr txBox="1"/>
          </xdr:nvSpPr>
          <xdr:spPr>
            <a:xfrm>
              <a:off x="16014246" y="115252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836BF000-6815-4EC9-A0FC-1DB5619C4E38}"/>
                </a:ext>
              </a:extLst>
            </xdr:cNvPr>
            <xdr:cNvSpPr txBox="1"/>
          </xdr:nvSpPr>
          <xdr:spPr>
            <a:xfrm>
              <a:off x="16014246" y="115252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28</xdr:col>
      <xdr:colOff>145258</xdr:colOff>
      <xdr:row>95</xdr:row>
      <xdr:rowOff>71438</xdr:rowOff>
    </xdr:from>
    <xdr:ext cx="1998888" cy="1921625"/>
    <xdr:pic>
      <xdr:nvPicPr>
        <xdr:cNvPr id="136" name="Imagem 135" descr="Imagem">
          <a:extLst>
            <a:ext uri="{FF2B5EF4-FFF2-40B4-BE49-F238E27FC236}">
              <a16:creationId xmlns:a16="http://schemas.microsoft.com/office/drawing/2014/main" id="{A5BE9434-6C9B-4128-8D9C-E735BE6C8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76258" y="10616974"/>
          <a:ext cx="1998888" cy="192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488157</xdr:colOff>
      <xdr:row>107</xdr:row>
      <xdr:rowOff>30232</xdr:rowOff>
    </xdr:from>
    <xdr:ext cx="4143952" cy="1116618"/>
    <xdr:pic>
      <xdr:nvPicPr>
        <xdr:cNvPr id="137" name="Imagem 136">
          <a:extLst>
            <a:ext uri="{FF2B5EF4-FFF2-40B4-BE49-F238E27FC236}">
              <a16:creationId xmlns:a16="http://schemas.microsoft.com/office/drawing/2014/main" id="{29902EB2-7CB7-49AA-AAA7-B7F5C88C3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94514" y="12562411"/>
          <a:ext cx="4143952" cy="1116618"/>
        </a:xfrm>
        <a:prstGeom prst="rect">
          <a:avLst/>
        </a:prstGeom>
      </xdr:spPr>
    </xdr:pic>
    <xdr:clientData/>
  </xdr:oneCellAnchor>
  <xdr:oneCellAnchor>
    <xdr:from>
      <xdr:col>22</xdr:col>
      <xdr:colOff>726283</xdr:colOff>
      <xdr:row>111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8845D718-D348-4CA5-A0A5-DAB0C34C399F}"/>
                </a:ext>
              </a:extLst>
            </xdr:cNvPr>
            <xdr:cNvSpPr txBox="1"/>
          </xdr:nvSpPr>
          <xdr:spPr>
            <a:xfrm>
              <a:off x="16369054" y="13329899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8845D718-D348-4CA5-A0A5-DAB0C34C399F}"/>
                </a:ext>
              </a:extLst>
            </xdr:cNvPr>
            <xdr:cNvSpPr txBox="1"/>
          </xdr:nvSpPr>
          <xdr:spPr>
            <a:xfrm>
              <a:off x="16369054" y="13329899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678656</xdr:colOff>
      <xdr:row>113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D985B228-F92F-479E-8E5D-64155277BF29}"/>
                </a:ext>
              </a:extLst>
            </xdr:cNvPr>
            <xdr:cNvSpPr txBox="1"/>
          </xdr:nvSpPr>
          <xdr:spPr>
            <a:xfrm>
              <a:off x="16369052" y="136326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D985B228-F92F-479E-8E5D-64155277BF29}"/>
                </a:ext>
              </a:extLst>
            </xdr:cNvPr>
            <xdr:cNvSpPr txBox="1"/>
          </xdr:nvSpPr>
          <xdr:spPr>
            <a:xfrm>
              <a:off x="16369052" y="136326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352425</xdr:colOff>
      <xdr:row>127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080978E6-4D25-4858-96C7-EC5464FE3B9E}"/>
                </a:ext>
              </a:extLst>
            </xdr:cNvPr>
            <xdr:cNvSpPr txBox="1"/>
          </xdr:nvSpPr>
          <xdr:spPr>
            <a:xfrm>
              <a:off x="16109496" y="1597342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080978E6-4D25-4858-96C7-EC5464FE3B9E}"/>
                </a:ext>
              </a:extLst>
            </xdr:cNvPr>
            <xdr:cNvSpPr txBox="1"/>
          </xdr:nvSpPr>
          <xdr:spPr>
            <a:xfrm>
              <a:off x="16109496" y="1597342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333375</xdr:colOff>
      <xdr:row>130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560F8288-180D-4844-B6A5-D3155F033D27}"/>
                </a:ext>
              </a:extLst>
            </xdr:cNvPr>
            <xdr:cNvSpPr txBox="1"/>
          </xdr:nvSpPr>
          <xdr:spPr>
            <a:xfrm>
              <a:off x="16090446" y="1630135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560F8288-180D-4844-B6A5-D3155F033D27}"/>
                </a:ext>
              </a:extLst>
            </xdr:cNvPr>
            <xdr:cNvSpPr txBox="1"/>
          </xdr:nvSpPr>
          <xdr:spPr>
            <a:xfrm>
              <a:off x="16090446" y="1630135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257175</xdr:colOff>
      <xdr:row>132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0A126175-11E1-4AFF-8433-87E263C320F6}"/>
                </a:ext>
              </a:extLst>
            </xdr:cNvPr>
            <xdr:cNvSpPr txBox="1"/>
          </xdr:nvSpPr>
          <xdr:spPr>
            <a:xfrm>
              <a:off x="16014246" y="1662792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0A126175-11E1-4AFF-8433-87E263C320F6}"/>
                </a:ext>
              </a:extLst>
            </xdr:cNvPr>
            <xdr:cNvSpPr txBox="1"/>
          </xdr:nvSpPr>
          <xdr:spPr>
            <a:xfrm>
              <a:off x="16014246" y="1662792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28</xdr:col>
      <xdr:colOff>145258</xdr:colOff>
      <xdr:row>126</xdr:row>
      <xdr:rowOff>71438</xdr:rowOff>
    </xdr:from>
    <xdr:ext cx="1998888" cy="1921625"/>
    <xdr:pic>
      <xdr:nvPicPr>
        <xdr:cNvPr id="143" name="Imagem 142" descr="Imagem">
          <a:extLst>
            <a:ext uri="{FF2B5EF4-FFF2-40B4-BE49-F238E27FC236}">
              <a16:creationId xmlns:a16="http://schemas.microsoft.com/office/drawing/2014/main" id="{E76E15CD-0667-409C-9263-3B2920811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76258" y="15719652"/>
          <a:ext cx="1998888" cy="192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488157</xdr:colOff>
      <xdr:row>138</xdr:row>
      <xdr:rowOff>30232</xdr:rowOff>
    </xdr:from>
    <xdr:ext cx="4143952" cy="1116618"/>
    <xdr:pic>
      <xdr:nvPicPr>
        <xdr:cNvPr id="144" name="Imagem 143">
          <a:extLst>
            <a:ext uri="{FF2B5EF4-FFF2-40B4-BE49-F238E27FC236}">
              <a16:creationId xmlns:a16="http://schemas.microsoft.com/office/drawing/2014/main" id="{A64F2947-2A67-48E1-BD74-5CA1182AB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94514" y="17665089"/>
          <a:ext cx="4143952" cy="1116618"/>
        </a:xfrm>
        <a:prstGeom prst="rect">
          <a:avLst/>
        </a:prstGeom>
      </xdr:spPr>
    </xdr:pic>
    <xdr:clientData/>
  </xdr:oneCellAnchor>
  <xdr:oneCellAnchor>
    <xdr:from>
      <xdr:col>22</xdr:col>
      <xdr:colOff>726283</xdr:colOff>
      <xdr:row>142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BE664899-F22E-4E34-8E43-94ACEB0BFC11}"/>
                </a:ext>
              </a:extLst>
            </xdr:cNvPr>
            <xdr:cNvSpPr txBox="1"/>
          </xdr:nvSpPr>
          <xdr:spPr>
            <a:xfrm>
              <a:off x="16369054" y="18432577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BE664899-F22E-4E34-8E43-94ACEB0BFC11}"/>
                </a:ext>
              </a:extLst>
            </xdr:cNvPr>
            <xdr:cNvSpPr txBox="1"/>
          </xdr:nvSpPr>
          <xdr:spPr>
            <a:xfrm>
              <a:off x="16369054" y="18432577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678656</xdr:colOff>
      <xdr:row>144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A38F1E62-7DF5-4C60-9B4F-7A8E8081256E}"/>
                </a:ext>
              </a:extLst>
            </xdr:cNvPr>
            <xdr:cNvSpPr txBox="1"/>
          </xdr:nvSpPr>
          <xdr:spPr>
            <a:xfrm>
              <a:off x="16369052" y="18735334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A38F1E62-7DF5-4C60-9B4F-7A8E8081256E}"/>
                </a:ext>
              </a:extLst>
            </xdr:cNvPr>
            <xdr:cNvSpPr txBox="1"/>
          </xdr:nvSpPr>
          <xdr:spPr>
            <a:xfrm>
              <a:off x="16369052" y="18735334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352425</xdr:colOff>
      <xdr:row>158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5620E348-97A1-4F96-863F-69C197E8E4CC}"/>
                </a:ext>
              </a:extLst>
            </xdr:cNvPr>
            <xdr:cNvSpPr txBox="1"/>
          </xdr:nvSpPr>
          <xdr:spPr>
            <a:xfrm>
              <a:off x="16109496" y="21076103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5620E348-97A1-4F96-863F-69C197E8E4CC}"/>
                </a:ext>
              </a:extLst>
            </xdr:cNvPr>
            <xdr:cNvSpPr txBox="1"/>
          </xdr:nvSpPr>
          <xdr:spPr>
            <a:xfrm>
              <a:off x="16109496" y="21076103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333375</xdr:colOff>
      <xdr:row>161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32CFDFCD-BFFE-4636-A04D-B0A2F852E133}"/>
                </a:ext>
              </a:extLst>
            </xdr:cNvPr>
            <xdr:cNvSpPr txBox="1"/>
          </xdr:nvSpPr>
          <xdr:spPr>
            <a:xfrm>
              <a:off x="16090446" y="21404036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32CFDFCD-BFFE-4636-A04D-B0A2F852E133}"/>
                </a:ext>
              </a:extLst>
            </xdr:cNvPr>
            <xdr:cNvSpPr txBox="1"/>
          </xdr:nvSpPr>
          <xdr:spPr>
            <a:xfrm>
              <a:off x="16090446" y="21404036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257175</xdr:colOff>
      <xdr:row>163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692E7478-BB7F-4FD5-813A-4484B989B242}"/>
                </a:ext>
              </a:extLst>
            </xdr:cNvPr>
            <xdr:cNvSpPr txBox="1"/>
          </xdr:nvSpPr>
          <xdr:spPr>
            <a:xfrm>
              <a:off x="16014246" y="2173060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692E7478-BB7F-4FD5-813A-4484B989B242}"/>
                </a:ext>
              </a:extLst>
            </xdr:cNvPr>
            <xdr:cNvSpPr txBox="1"/>
          </xdr:nvSpPr>
          <xdr:spPr>
            <a:xfrm>
              <a:off x="16014246" y="2173060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28</xdr:col>
      <xdr:colOff>145258</xdr:colOff>
      <xdr:row>157</xdr:row>
      <xdr:rowOff>71438</xdr:rowOff>
    </xdr:from>
    <xdr:ext cx="1998888" cy="1921625"/>
    <xdr:pic>
      <xdr:nvPicPr>
        <xdr:cNvPr id="150" name="Imagem 149" descr="Imagem">
          <a:extLst>
            <a:ext uri="{FF2B5EF4-FFF2-40B4-BE49-F238E27FC236}">
              <a16:creationId xmlns:a16="http://schemas.microsoft.com/office/drawing/2014/main" id="{A40F3CB1-DF2D-4A62-A22D-5903D8F50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76258" y="20822331"/>
          <a:ext cx="1998888" cy="192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488157</xdr:colOff>
      <xdr:row>169</xdr:row>
      <xdr:rowOff>30232</xdr:rowOff>
    </xdr:from>
    <xdr:ext cx="4143952" cy="1116618"/>
    <xdr:pic>
      <xdr:nvPicPr>
        <xdr:cNvPr id="151" name="Imagem 150">
          <a:extLst>
            <a:ext uri="{FF2B5EF4-FFF2-40B4-BE49-F238E27FC236}">
              <a16:creationId xmlns:a16="http://schemas.microsoft.com/office/drawing/2014/main" id="{C79925D1-6EE8-4FF7-A9C7-00B618A70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94514" y="22767768"/>
          <a:ext cx="4143952" cy="1116618"/>
        </a:xfrm>
        <a:prstGeom prst="rect">
          <a:avLst/>
        </a:prstGeom>
      </xdr:spPr>
    </xdr:pic>
    <xdr:clientData/>
  </xdr:oneCellAnchor>
  <xdr:oneCellAnchor>
    <xdr:from>
      <xdr:col>22</xdr:col>
      <xdr:colOff>726283</xdr:colOff>
      <xdr:row>173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F0CEE8F4-3AEC-4739-8F8E-8F8AAF337B85}"/>
                </a:ext>
              </a:extLst>
            </xdr:cNvPr>
            <xdr:cNvSpPr txBox="1"/>
          </xdr:nvSpPr>
          <xdr:spPr>
            <a:xfrm>
              <a:off x="16369054" y="23535256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F0CEE8F4-3AEC-4739-8F8E-8F8AAF337B85}"/>
                </a:ext>
              </a:extLst>
            </xdr:cNvPr>
            <xdr:cNvSpPr txBox="1"/>
          </xdr:nvSpPr>
          <xdr:spPr>
            <a:xfrm>
              <a:off x="16369054" y="23535256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678656</xdr:colOff>
      <xdr:row>175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E432CF76-BDB3-44B3-8B14-D31BE1B31D6B}"/>
                </a:ext>
              </a:extLst>
            </xdr:cNvPr>
            <xdr:cNvSpPr txBox="1"/>
          </xdr:nvSpPr>
          <xdr:spPr>
            <a:xfrm>
              <a:off x="16369052" y="23838012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E432CF76-BDB3-44B3-8B14-D31BE1B31D6B}"/>
                </a:ext>
              </a:extLst>
            </xdr:cNvPr>
            <xdr:cNvSpPr txBox="1"/>
          </xdr:nvSpPr>
          <xdr:spPr>
            <a:xfrm>
              <a:off x="16369052" y="23838012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11</xdr:col>
      <xdr:colOff>953559</xdr:colOff>
      <xdr:row>208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C0005F0-EFA3-4BC4-80F3-79D0040A4ED5}"/>
                </a:ext>
              </a:extLst>
            </xdr:cNvPr>
            <xdr:cNvSpPr txBox="1"/>
          </xdr:nvSpPr>
          <xdr:spPr>
            <a:xfrm>
              <a:off x="1565880" y="3437814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C0005F0-EFA3-4BC4-80F3-79D0040A4ED5}"/>
                </a:ext>
              </a:extLst>
            </xdr:cNvPr>
            <xdr:cNvSpPr txBox="1"/>
          </xdr:nvSpPr>
          <xdr:spPr>
            <a:xfrm>
              <a:off x="1565880" y="3437814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628650</xdr:colOff>
      <xdr:row>207</xdr:row>
      <xdr:rowOff>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93B3467-428B-41DE-9222-8327D875E9C3}"/>
                </a:ext>
              </a:extLst>
            </xdr:cNvPr>
            <xdr:cNvSpPr txBox="1"/>
          </xdr:nvSpPr>
          <xdr:spPr>
            <a:xfrm>
              <a:off x="4125686" y="34099500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93B3467-428B-41DE-9222-8327D875E9C3}"/>
                </a:ext>
              </a:extLst>
            </xdr:cNvPr>
            <xdr:cNvSpPr txBox="1"/>
          </xdr:nvSpPr>
          <xdr:spPr>
            <a:xfrm>
              <a:off x="4125686" y="34099500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215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DA976FF-BEE7-49D0-807D-957FB6EFD36D}"/>
                </a:ext>
              </a:extLst>
            </xdr:cNvPr>
            <xdr:cNvSpPr txBox="1"/>
          </xdr:nvSpPr>
          <xdr:spPr>
            <a:xfrm>
              <a:off x="1565880" y="355483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DA976FF-BEE7-49D0-807D-957FB6EFD36D}"/>
                </a:ext>
              </a:extLst>
            </xdr:cNvPr>
            <xdr:cNvSpPr txBox="1"/>
          </xdr:nvSpPr>
          <xdr:spPr>
            <a:xfrm>
              <a:off x="1565880" y="355483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57150</xdr:colOff>
      <xdr:row>213</xdr:row>
      <xdr:rowOff>152400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EADE233-08FB-4FF1-BEEC-202FE4AEF20D}"/>
                </a:ext>
              </a:extLst>
            </xdr:cNvPr>
            <xdr:cNvSpPr txBox="1"/>
          </xdr:nvSpPr>
          <xdr:spPr>
            <a:xfrm>
              <a:off x="4288971" y="35245221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EADE233-08FB-4FF1-BEEC-202FE4AEF20D}"/>
                </a:ext>
              </a:extLst>
            </xdr:cNvPr>
            <xdr:cNvSpPr txBox="1"/>
          </xdr:nvSpPr>
          <xdr:spPr>
            <a:xfrm>
              <a:off x="4288971" y="35245221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224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DCD48B5-EF16-4A74-9A6C-A87E8785CAF7}"/>
                </a:ext>
              </a:extLst>
            </xdr:cNvPr>
            <xdr:cNvSpPr txBox="1"/>
          </xdr:nvSpPr>
          <xdr:spPr>
            <a:xfrm>
              <a:off x="1565880" y="3704514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DCD48B5-EF16-4A74-9A6C-A87E8785CAF7}"/>
                </a:ext>
              </a:extLst>
            </xdr:cNvPr>
            <xdr:cNvSpPr txBox="1"/>
          </xdr:nvSpPr>
          <xdr:spPr>
            <a:xfrm>
              <a:off x="1565880" y="3704514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426244</xdr:colOff>
      <xdr:row>223</xdr:row>
      <xdr:rowOff>11906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85202FA-9ECE-47BC-9870-9D804A44E09F}"/>
                </a:ext>
              </a:extLst>
            </xdr:cNvPr>
            <xdr:cNvSpPr txBox="1"/>
          </xdr:nvSpPr>
          <xdr:spPr>
            <a:xfrm>
              <a:off x="3923280" y="36778406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85202FA-9ECE-47BC-9870-9D804A44E09F}"/>
                </a:ext>
              </a:extLst>
            </xdr:cNvPr>
            <xdr:cNvSpPr txBox="1"/>
          </xdr:nvSpPr>
          <xdr:spPr>
            <a:xfrm>
              <a:off x="3923280" y="36778406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234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B6F3B04-AE8E-4A83-ACFF-6CABC4926C6A}"/>
                </a:ext>
              </a:extLst>
            </xdr:cNvPr>
            <xdr:cNvSpPr txBox="1"/>
          </xdr:nvSpPr>
          <xdr:spPr>
            <a:xfrm>
              <a:off x="1565880" y="38732431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B6F3B04-AE8E-4A83-ACFF-6CABC4926C6A}"/>
                </a:ext>
              </a:extLst>
            </xdr:cNvPr>
            <xdr:cNvSpPr txBox="1"/>
          </xdr:nvSpPr>
          <xdr:spPr>
            <a:xfrm>
              <a:off x="1565880" y="38732431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197644</xdr:colOff>
      <xdr:row>233</xdr:row>
      <xdr:rowOff>2381</xdr:rowOff>
    </xdr:from>
    <xdr:ext cx="1323974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50C97CA-1F1C-4B94-8B05-13C9B4A03EEF}"/>
                </a:ext>
              </a:extLst>
            </xdr:cNvPr>
            <xdr:cNvSpPr txBox="1"/>
          </xdr:nvSpPr>
          <xdr:spPr>
            <a:xfrm>
              <a:off x="10808494" y="38035706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1+</m:t>
                        </m:r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50C97CA-1F1C-4B94-8B05-13C9B4A03EEF}"/>
                </a:ext>
              </a:extLst>
            </xdr:cNvPr>
            <xdr:cNvSpPr txBox="1"/>
          </xdr:nvSpPr>
          <xdr:spPr>
            <a:xfrm>
              <a:off x="10808494" y="38035706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1+1/𝑛+(𝑥0−𝑥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212913</xdr:colOff>
      <xdr:row>243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EF112D79-FD1A-4558-82EC-417A4D18DED6}"/>
                </a:ext>
              </a:extLst>
            </xdr:cNvPr>
            <xdr:cNvSpPr txBox="1"/>
          </xdr:nvSpPr>
          <xdr:spPr>
            <a:xfrm>
              <a:off x="825234" y="4024192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EF112D79-FD1A-4558-82EC-417A4D18DED6}"/>
                </a:ext>
              </a:extLst>
            </xdr:cNvPr>
            <xdr:cNvSpPr txBox="1"/>
          </xdr:nvSpPr>
          <xdr:spPr>
            <a:xfrm>
              <a:off x="825234" y="4024192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𝐻0:𝑎=0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245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2D06FB35-8FE1-434C-BEF9-231C25A85E9E}"/>
                </a:ext>
              </a:extLst>
            </xdr:cNvPr>
            <xdr:cNvSpPr txBox="1"/>
          </xdr:nvSpPr>
          <xdr:spPr>
            <a:xfrm>
              <a:off x="836438" y="4059090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2D06FB35-8FE1-434C-BEF9-231C25A85E9E}"/>
                </a:ext>
              </a:extLst>
            </xdr:cNvPr>
            <xdr:cNvSpPr txBox="1"/>
          </xdr:nvSpPr>
          <xdr:spPr>
            <a:xfrm>
              <a:off x="836438" y="4059090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𝐻1:𝑎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18</xdr:col>
      <xdr:colOff>571500</xdr:colOff>
      <xdr:row>245</xdr:row>
      <xdr:rowOff>145675</xdr:rowOff>
    </xdr:from>
    <xdr:ext cx="65" cy="172227"/>
    <xdr:sp macro="" textlink="">
      <xdr:nvSpPr>
        <xdr:cNvPr id="164" name="CaixaDeTexto 163">
          <a:extLst>
            <a:ext uri="{FF2B5EF4-FFF2-40B4-BE49-F238E27FC236}">
              <a16:creationId xmlns:a16="http://schemas.microsoft.com/office/drawing/2014/main" id="{18E94771-DF49-49A5-A0F2-529BE7CC213E}"/>
            </a:ext>
          </a:extLst>
        </xdr:cNvPr>
        <xdr:cNvSpPr txBox="1"/>
      </xdr:nvSpPr>
      <xdr:spPr>
        <a:xfrm>
          <a:off x="5538107" y="40613318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t-PT" sz="1100"/>
        </a:p>
      </xdr:txBody>
    </xdr:sp>
    <xdr:clientData/>
  </xdr:oneCellAnchor>
  <xdr:oneCellAnchor>
    <xdr:from>
      <xdr:col>13</xdr:col>
      <xdr:colOff>953559</xdr:colOff>
      <xdr:row>252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739788B9-7376-4CF6-88CA-770C7659F194}"/>
                </a:ext>
              </a:extLst>
            </xdr:cNvPr>
            <xdr:cNvSpPr txBox="1"/>
          </xdr:nvSpPr>
          <xdr:spPr>
            <a:xfrm>
              <a:off x="1565880" y="4172600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739788B9-7376-4CF6-88CA-770C7659F194}"/>
                </a:ext>
              </a:extLst>
            </xdr:cNvPr>
            <xdr:cNvSpPr txBox="1"/>
          </xdr:nvSpPr>
          <xdr:spPr>
            <a:xfrm>
              <a:off x="1565880" y="4172600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809626</xdr:colOff>
      <xdr:row>243</xdr:row>
      <xdr:rowOff>83342</xdr:rowOff>
    </xdr:from>
    <xdr:ext cx="1361393" cy="876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16CB62AD-2657-42F1-9608-0C28F7068385}"/>
                </a:ext>
              </a:extLst>
            </xdr:cNvPr>
            <xdr:cNvSpPr txBox="1"/>
          </xdr:nvSpPr>
          <xdr:spPr>
            <a:xfrm>
              <a:off x="3499758" y="40224413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acc>
                                  <m:accPr>
                                    <m:chr m:val="̅"/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sSup>
                                      <m:sSupPr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  <m:sup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acc>
                              </m:num>
                              <m:den>
                                <m:sSub>
                                  <m:sSubPr>
                                    <m:ctrlP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𝑆</m:t>
                                    </m:r>
                                  </m:e>
                                  <m:sub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𝑥𝑥</m:t>
                                    </m:r>
                                  </m:sub>
                                </m:sSub>
                              </m:den>
                            </m:f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16CB62AD-2657-42F1-9608-0C28F7068385}"/>
                </a:ext>
              </a:extLst>
            </xdr:cNvPr>
            <xdr:cNvSpPr txBox="1"/>
          </xdr:nvSpPr>
          <xdr:spPr>
            <a:xfrm>
              <a:off x="3499758" y="40224413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𝑇_0=(𝑎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𝑎_0)/(</a:t>
              </a:r>
              <a:r>
                <a:rPr lang="pt-PT" sz="1400" b="0" i="0">
                  <a:latin typeface="Cambria Math" panose="02040503050406030204" pitchFamily="18" charset="0"/>
                </a:rPr>
                <a:t>𝑆/√(1/𝑛+(𝑥^2 ) ̅/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200026</xdr:colOff>
      <xdr:row>245</xdr:row>
      <xdr:rowOff>154782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800E24D3-5122-4DAA-8E0E-E11EDA9EB7F7}"/>
                </a:ext>
              </a:extLst>
            </xdr:cNvPr>
            <xdr:cNvSpPr txBox="1"/>
          </xdr:nvSpPr>
          <xdr:spPr>
            <a:xfrm>
              <a:off x="5166633" y="406224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800E24D3-5122-4DAA-8E0E-E11EDA9EB7F7}"/>
                </a:ext>
              </a:extLst>
            </xdr:cNvPr>
            <xdr:cNvSpPr txBox="1"/>
          </xdr:nvSpPr>
          <xdr:spPr>
            <a:xfrm>
              <a:off x="5166633" y="406224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631732</xdr:colOff>
      <xdr:row>246</xdr:row>
      <xdr:rowOff>84044</xdr:rowOff>
    </xdr:from>
    <xdr:ext cx="821532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E0A990F-3C4A-4018-9818-BE0DDBB19EED}"/>
                </a:ext>
              </a:extLst>
            </xdr:cNvPr>
            <xdr:cNvSpPr txBox="1"/>
          </xdr:nvSpPr>
          <xdr:spPr>
            <a:xfrm>
              <a:off x="10369644" y="39102926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acc>
                              <m:accPr>
                                <m:chr m:val="̅"/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sSup>
                                  <m:sSupPr>
                                    <m:ctrlP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e>
                                  <m:sup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acc>
                          </m:num>
                          <m:den>
                            <m:sSub>
                              <m:sSubPr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16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E0A990F-3C4A-4018-9818-BE0DDBB19EED}"/>
                </a:ext>
              </a:extLst>
            </xdr:cNvPr>
            <xdr:cNvSpPr txBox="1"/>
          </xdr:nvSpPr>
          <xdr:spPr>
            <a:xfrm>
              <a:off x="10369644" y="39102926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1/𝑛+(𝑥^2 ) ̅/𝑆_𝑥𝑥 </a:t>
              </a:r>
              <a:r>
                <a:rPr lang="pt-PT" sz="1200" b="0" i="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oneCellAnchor>
    <xdr:from>
      <xdr:col>13</xdr:col>
      <xdr:colOff>212913</xdr:colOff>
      <xdr:row>261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0762568D-25B9-4AB2-B0F3-A844E0F743EC}"/>
                </a:ext>
              </a:extLst>
            </xdr:cNvPr>
            <xdr:cNvSpPr txBox="1"/>
          </xdr:nvSpPr>
          <xdr:spPr>
            <a:xfrm>
              <a:off x="825234" y="4320828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0762568D-25B9-4AB2-B0F3-A844E0F743EC}"/>
                </a:ext>
              </a:extLst>
            </xdr:cNvPr>
            <xdr:cNvSpPr txBox="1"/>
          </xdr:nvSpPr>
          <xdr:spPr>
            <a:xfrm>
              <a:off x="825234" y="4320828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𝐻0:𝑏=0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263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9195362C-59CB-47FC-8CD0-DA5BEE0E265D}"/>
                </a:ext>
              </a:extLst>
            </xdr:cNvPr>
            <xdr:cNvSpPr txBox="1"/>
          </xdr:nvSpPr>
          <xdr:spPr>
            <a:xfrm>
              <a:off x="836438" y="43557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9195362C-59CB-47FC-8CD0-DA5BEE0E265D}"/>
                </a:ext>
              </a:extLst>
            </xdr:cNvPr>
            <xdr:cNvSpPr txBox="1"/>
          </xdr:nvSpPr>
          <xdr:spPr>
            <a:xfrm>
              <a:off x="836438" y="43557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112058</xdr:colOff>
      <xdr:row>261</xdr:row>
      <xdr:rowOff>91889</xdr:rowOff>
    </xdr:from>
    <xdr:ext cx="1361393" cy="549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225103F-A621-45C7-85DE-F12E4CB5A04B}"/>
                </a:ext>
              </a:extLst>
            </xdr:cNvPr>
            <xdr:cNvSpPr txBox="1"/>
          </xdr:nvSpPr>
          <xdr:spPr>
            <a:xfrm>
              <a:off x="2887915" y="43199318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225103F-A621-45C7-85DE-F12E4CB5A04B}"/>
                </a:ext>
              </a:extLst>
            </xdr:cNvPr>
            <xdr:cNvSpPr txBox="1"/>
          </xdr:nvSpPr>
          <xdr:spPr>
            <a:xfrm>
              <a:off x="2887915" y="43199318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𝑇_0=(𝑏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𝑏_0)/(</a:t>
              </a:r>
              <a:r>
                <a:rPr lang="pt-PT" sz="1400" b="0" i="0">
                  <a:latin typeface="Cambria Math" panose="02040503050406030204" pitchFamily="18" charset="0"/>
                </a:rPr>
                <a:t>𝑆/√(𝑆_𝑥𝑥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953559</xdr:colOff>
      <xdr:row>270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E07293B-89DC-443A-952D-E5A92A549F72}"/>
                </a:ext>
              </a:extLst>
            </xdr:cNvPr>
            <xdr:cNvSpPr txBox="1"/>
          </xdr:nvSpPr>
          <xdr:spPr>
            <a:xfrm>
              <a:off x="1565880" y="446923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7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E07293B-89DC-443A-952D-E5A92A549F72}"/>
                </a:ext>
              </a:extLst>
            </xdr:cNvPr>
            <xdr:cNvSpPr txBox="1"/>
          </xdr:nvSpPr>
          <xdr:spPr>
            <a:xfrm>
              <a:off x="1565880" y="446923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18</xdr:col>
      <xdr:colOff>264318</xdr:colOff>
      <xdr:row>263</xdr:row>
      <xdr:rowOff>145255</xdr:rowOff>
    </xdr:from>
    <xdr:ext cx="419100" cy="2262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BB376-F2FA-4705-90C7-2F9AEDFC6F34}"/>
                </a:ext>
              </a:extLst>
            </xdr:cNvPr>
            <xdr:cNvSpPr txBox="1"/>
          </xdr:nvSpPr>
          <xdr:spPr>
            <a:xfrm>
              <a:off x="5230925" y="43579255"/>
              <a:ext cx="419100" cy="2262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BB376-F2FA-4705-90C7-2F9AEDFC6F34}"/>
                </a:ext>
              </a:extLst>
            </xdr:cNvPr>
            <xdr:cNvSpPr txBox="1"/>
          </xdr:nvSpPr>
          <xdr:spPr>
            <a:xfrm>
              <a:off x="5230925" y="43579255"/>
              <a:ext cx="419100" cy="2262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95250</xdr:colOff>
      <xdr:row>264</xdr:row>
      <xdr:rowOff>107156</xdr:rowOff>
    </xdr:from>
    <xdr:ext cx="607219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906A8BA2-A989-4E9A-AE4C-9DBBB38425FC}"/>
                </a:ext>
              </a:extLst>
            </xdr:cNvPr>
            <xdr:cNvSpPr txBox="1"/>
          </xdr:nvSpPr>
          <xdr:spPr>
            <a:xfrm>
              <a:off x="1986643" y="43704442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17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906A8BA2-A989-4E9A-AE4C-9DBBB38425FC}"/>
                </a:ext>
              </a:extLst>
            </xdr:cNvPr>
            <xdr:cNvSpPr txBox="1"/>
          </xdr:nvSpPr>
          <xdr:spPr>
            <a:xfrm>
              <a:off x="1986643" y="43704442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203168</xdr:colOff>
      <xdr:row>1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7F857CFF-9A59-4194-B4B8-190FE2E8B8D0}"/>
                </a:ext>
              </a:extLst>
            </xdr:cNvPr>
            <xdr:cNvSpPr txBox="1"/>
          </xdr:nvSpPr>
          <xdr:spPr>
            <a:xfrm>
              <a:off x="5165693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7F857CFF-9A59-4194-B4B8-190FE2E8B8D0}"/>
                </a:ext>
              </a:extLst>
            </xdr:cNvPr>
            <xdr:cNvSpPr txBox="1"/>
          </xdr:nvSpPr>
          <xdr:spPr>
            <a:xfrm>
              <a:off x="5165693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114300</xdr:colOff>
      <xdr:row>1</xdr:row>
      <xdr:rowOff>0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F179323D-5427-4BA6-B4D8-16856B128856}"/>
                </a:ext>
              </a:extLst>
            </xdr:cNvPr>
            <xdr:cNvSpPr txBox="1"/>
          </xdr:nvSpPr>
          <xdr:spPr>
            <a:xfrm>
              <a:off x="5686425" y="1619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F179323D-5427-4BA6-B4D8-16856B128856}"/>
                </a:ext>
              </a:extLst>
            </xdr:cNvPr>
            <xdr:cNvSpPr txBox="1"/>
          </xdr:nvSpPr>
          <xdr:spPr>
            <a:xfrm>
              <a:off x="5686425" y="1619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0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6E4879DF-23C8-4E0F-92F2-5A3927A92BC8}"/>
                </a:ext>
              </a:extLst>
            </xdr:cNvPr>
            <xdr:cNvSpPr txBox="1"/>
          </xdr:nvSpPr>
          <xdr:spPr>
            <a:xfrm>
              <a:off x="5867399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6E4879DF-23C8-4E0F-92F2-5A3927A92BC8}"/>
                </a:ext>
              </a:extLst>
            </xdr:cNvPr>
            <xdr:cNvSpPr txBox="1"/>
          </xdr:nvSpPr>
          <xdr:spPr>
            <a:xfrm>
              <a:off x="5867399" y="1523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12</xdr:col>
      <xdr:colOff>85724</xdr:colOff>
      <xdr:row>4</xdr:row>
      <xdr:rowOff>142875</xdr:rowOff>
    </xdr:from>
    <xdr:to>
      <xdr:col>18</xdr:col>
      <xdr:colOff>323849</xdr:colOff>
      <xdr:row>19</xdr:row>
      <xdr:rowOff>123825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30F72AC-1822-4C45-ACF1-3286F07A9A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422243</xdr:colOff>
      <xdr:row>20</xdr:row>
      <xdr:rowOff>160813</xdr:rowOff>
    </xdr:from>
    <xdr:ext cx="2145459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95657815-8FEA-4DDF-8D56-BB4A1558CEB5}"/>
                </a:ext>
              </a:extLst>
            </xdr:cNvPr>
            <xdr:cNvSpPr txBox="1"/>
          </xdr:nvSpPr>
          <xdr:spPr>
            <a:xfrm>
              <a:off x="422243" y="3408838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=</m:t>
                        </m:r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95657815-8FEA-4DDF-8D56-BB4A1558CEB5}"/>
                </a:ext>
              </a:extLst>
            </xdr:cNvPr>
            <xdr:cNvSpPr txBox="1"/>
          </xdr:nvSpPr>
          <xdr:spPr>
            <a:xfrm>
              <a:off x="422243" y="3408838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̅=〗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0</xdr:col>
      <xdr:colOff>342900</xdr:colOff>
      <xdr:row>24</xdr:row>
      <xdr:rowOff>85725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774F2EF9-72E3-4B7E-8DDF-B8980EECCCDA}"/>
                </a:ext>
              </a:extLst>
            </xdr:cNvPr>
            <xdr:cNvSpPr txBox="1"/>
          </xdr:nvSpPr>
          <xdr:spPr>
            <a:xfrm>
              <a:off x="342900" y="39814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774F2EF9-72E3-4B7E-8DDF-B8980EECCCDA}"/>
                </a:ext>
              </a:extLst>
            </xdr:cNvPr>
            <xdr:cNvSpPr txBox="1"/>
          </xdr:nvSpPr>
          <xdr:spPr>
            <a:xfrm>
              <a:off x="342900" y="39814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4</xdr:col>
      <xdr:colOff>495300</xdr:colOff>
      <xdr:row>21</xdr:row>
      <xdr:rowOff>19050</xdr:rowOff>
    </xdr:from>
    <xdr:ext cx="1887376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480720E-9163-4112-B927-8E9C6ED57AC2}"/>
                </a:ext>
              </a:extLst>
            </xdr:cNvPr>
            <xdr:cNvSpPr txBox="1"/>
          </xdr:nvSpPr>
          <xdr:spPr>
            <a:xfrm>
              <a:off x="3990975" y="3429000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480720E-9163-4112-B927-8E9C6ED57AC2}"/>
                </a:ext>
              </a:extLst>
            </xdr:cNvPr>
            <xdr:cNvSpPr txBox="1"/>
          </xdr:nvSpPr>
          <xdr:spPr>
            <a:xfrm>
              <a:off x="3990975" y="3429000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581025</xdr:colOff>
      <xdr:row>21</xdr:row>
      <xdr:rowOff>0</xdr:rowOff>
    </xdr:from>
    <xdr:ext cx="1906932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94CECF16-4CE6-4DDC-9F7F-5B6E708F0BD4}"/>
                </a:ext>
              </a:extLst>
            </xdr:cNvPr>
            <xdr:cNvSpPr txBox="1"/>
          </xdr:nvSpPr>
          <xdr:spPr>
            <a:xfrm>
              <a:off x="7648575" y="3409950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94CECF16-4CE6-4DDC-9F7F-5B6E708F0BD4}"/>
                </a:ext>
              </a:extLst>
            </xdr:cNvPr>
            <xdr:cNvSpPr txBox="1"/>
          </xdr:nvSpPr>
          <xdr:spPr>
            <a:xfrm>
              <a:off x="7648575" y="3409950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209550</xdr:colOff>
      <xdr:row>27</xdr:row>
      <xdr:rowOff>142875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1B74BC4B-54A8-4410-8EF8-95E5349E9895}"/>
                </a:ext>
              </a:extLst>
            </xdr:cNvPr>
            <xdr:cNvSpPr txBox="1"/>
          </xdr:nvSpPr>
          <xdr:spPr>
            <a:xfrm>
              <a:off x="6543675" y="452437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1B74BC4B-54A8-4410-8EF8-95E5349E9895}"/>
                </a:ext>
              </a:extLst>
            </xdr:cNvPr>
            <xdr:cNvSpPr txBox="1"/>
          </xdr:nvSpPr>
          <xdr:spPr>
            <a:xfrm>
              <a:off x="6543675" y="452437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228601</xdr:colOff>
      <xdr:row>24</xdr:row>
      <xdr:rowOff>66675</xdr:rowOff>
    </xdr:from>
    <xdr:ext cx="990600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E78B13A-7300-4FFF-A9A4-154BAD5720AE}"/>
                </a:ext>
              </a:extLst>
            </xdr:cNvPr>
            <xdr:cNvSpPr txBox="1"/>
          </xdr:nvSpPr>
          <xdr:spPr>
            <a:xfrm>
              <a:off x="7296151" y="3962400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E78B13A-7300-4FFF-A9A4-154BAD5720AE}"/>
                </a:ext>
              </a:extLst>
            </xdr:cNvPr>
            <xdr:cNvSpPr txBox="1"/>
          </xdr:nvSpPr>
          <xdr:spPr>
            <a:xfrm>
              <a:off x="7296151" y="3962400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200025</xdr:colOff>
      <xdr:row>24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F6B3ED60-2BEC-4D9F-BFD8-DA0509091DCF}"/>
                </a:ext>
              </a:extLst>
            </xdr:cNvPr>
            <xdr:cNvSpPr txBox="1"/>
          </xdr:nvSpPr>
          <xdr:spPr>
            <a:xfrm>
              <a:off x="9972675" y="40005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F6B3ED60-2BEC-4D9F-BFD8-DA0509091DCF}"/>
                </a:ext>
              </a:extLst>
            </xdr:cNvPr>
            <xdr:cNvSpPr txBox="1"/>
          </xdr:nvSpPr>
          <xdr:spPr>
            <a:xfrm>
              <a:off x="9972675" y="40005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38100</xdr:colOff>
      <xdr:row>24</xdr:row>
      <xdr:rowOff>123825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850AF421-7ED8-4D36-9B6E-8C3FD00D494C}"/>
                </a:ext>
              </a:extLst>
            </xdr:cNvPr>
            <xdr:cNvSpPr txBox="1"/>
          </xdr:nvSpPr>
          <xdr:spPr>
            <a:xfrm>
              <a:off x="5000625" y="4019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850AF421-7ED8-4D36-9B6E-8C3FD00D494C}"/>
                </a:ext>
              </a:extLst>
            </xdr:cNvPr>
            <xdr:cNvSpPr txBox="1"/>
          </xdr:nvSpPr>
          <xdr:spPr>
            <a:xfrm>
              <a:off x="5000625" y="40195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32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EB27524-64FA-430A-B3F0-A6308426D907}"/>
                </a:ext>
              </a:extLst>
            </xdr:cNvPr>
            <xdr:cNvSpPr txBox="1"/>
          </xdr:nvSpPr>
          <xdr:spPr>
            <a:xfrm>
              <a:off x="5165693" y="51911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EB27524-64FA-430A-B3F0-A6308426D907}"/>
                </a:ext>
              </a:extLst>
            </xdr:cNvPr>
            <xdr:cNvSpPr txBox="1"/>
          </xdr:nvSpPr>
          <xdr:spPr>
            <a:xfrm>
              <a:off x="5165693" y="51911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114300</xdr:colOff>
      <xdr:row>32</xdr:row>
      <xdr:rowOff>0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F09F86D8-28EC-4010-B620-9359DA5C177E}"/>
                </a:ext>
              </a:extLst>
            </xdr:cNvPr>
            <xdr:cNvSpPr txBox="1"/>
          </xdr:nvSpPr>
          <xdr:spPr>
            <a:xfrm>
              <a:off x="5686425" y="51911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F09F86D8-28EC-4010-B620-9359DA5C177E}"/>
                </a:ext>
              </a:extLst>
            </xdr:cNvPr>
            <xdr:cNvSpPr txBox="1"/>
          </xdr:nvSpPr>
          <xdr:spPr>
            <a:xfrm>
              <a:off x="5686425" y="51911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31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E7C615E-D920-43E5-B2C6-9776F916318D}"/>
                </a:ext>
              </a:extLst>
            </xdr:cNvPr>
            <xdr:cNvSpPr txBox="1"/>
          </xdr:nvSpPr>
          <xdr:spPr>
            <a:xfrm>
              <a:off x="5867399" y="51815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E7C615E-D920-43E5-B2C6-9776F916318D}"/>
                </a:ext>
              </a:extLst>
            </xdr:cNvPr>
            <xdr:cNvSpPr txBox="1"/>
          </xdr:nvSpPr>
          <xdr:spPr>
            <a:xfrm>
              <a:off x="5867399" y="51815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12</xdr:col>
      <xdr:colOff>85724</xdr:colOff>
      <xdr:row>35</xdr:row>
      <xdr:rowOff>142875</xdr:rowOff>
    </xdr:from>
    <xdr:to>
      <xdr:col>18</xdr:col>
      <xdr:colOff>323849</xdr:colOff>
      <xdr:row>50</xdr:row>
      <xdr:rowOff>123825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819DDDA2-5097-4ED9-98D2-4E6F8505C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422243</xdr:colOff>
      <xdr:row>51</xdr:row>
      <xdr:rowOff>160813</xdr:rowOff>
    </xdr:from>
    <xdr:ext cx="2145459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E80E9405-B3A8-47A2-9828-EC8BAB041B17}"/>
                </a:ext>
              </a:extLst>
            </xdr:cNvPr>
            <xdr:cNvSpPr txBox="1"/>
          </xdr:nvSpPr>
          <xdr:spPr>
            <a:xfrm>
              <a:off x="422243" y="8428513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=</m:t>
                        </m:r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E80E9405-B3A8-47A2-9828-EC8BAB041B17}"/>
                </a:ext>
              </a:extLst>
            </xdr:cNvPr>
            <xdr:cNvSpPr txBox="1"/>
          </xdr:nvSpPr>
          <xdr:spPr>
            <a:xfrm>
              <a:off x="422243" y="8428513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̅=〗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0</xdr:col>
      <xdr:colOff>342900</xdr:colOff>
      <xdr:row>55</xdr:row>
      <xdr:rowOff>85725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BE3F656D-149D-459D-BC3B-E35605F6F301}"/>
                </a:ext>
              </a:extLst>
            </xdr:cNvPr>
            <xdr:cNvSpPr txBox="1"/>
          </xdr:nvSpPr>
          <xdr:spPr>
            <a:xfrm>
              <a:off x="342900" y="900112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BE3F656D-149D-459D-BC3B-E35605F6F301}"/>
                </a:ext>
              </a:extLst>
            </xdr:cNvPr>
            <xdr:cNvSpPr txBox="1"/>
          </xdr:nvSpPr>
          <xdr:spPr>
            <a:xfrm>
              <a:off x="342900" y="900112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4</xdr:col>
      <xdr:colOff>495300</xdr:colOff>
      <xdr:row>52</xdr:row>
      <xdr:rowOff>19050</xdr:rowOff>
    </xdr:from>
    <xdr:ext cx="1887376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2B10FF0-6538-40EC-8E72-DF7C1D1F7570}"/>
                </a:ext>
              </a:extLst>
            </xdr:cNvPr>
            <xdr:cNvSpPr txBox="1"/>
          </xdr:nvSpPr>
          <xdr:spPr>
            <a:xfrm>
              <a:off x="3990975" y="8448675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2B10FF0-6538-40EC-8E72-DF7C1D1F7570}"/>
                </a:ext>
              </a:extLst>
            </xdr:cNvPr>
            <xdr:cNvSpPr txBox="1"/>
          </xdr:nvSpPr>
          <xdr:spPr>
            <a:xfrm>
              <a:off x="3990975" y="8448675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581025</xdr:colOff>
      <xdr:row>52</xdr:row>
      <xdr:rowOff>0</xdr:rowOff>
    </xdr:from>
    <xdr:ext cx="1906932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2D36DE29-5AF6-411C-9CC8-A243ED0952E0}"/>
                </a:ext>
              </a:extLst>
            </xdr:cNvPr>
            <xdr:cNvSpPr txBox="1"/>
          </xdr:nvSpPr>
          <xdr:spPr>
            <a:xfrm>
              <a:off x="7648575" y="8429625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2D36DE29-5AF6-411C-9CC8-A243ED0952E0}"/>
                </a:ext>
              </a:extLst>
            </xdr:cNvPr>
            <xdr:cNvSpPr txBox="1"/>
          </xdr:nvSpPr>
          <xdr:spPr>
            <a:xfrm>
              <a:off x="7648575" y="8429625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209550</xdr:colOff>
      <xdr:row>58</xdr:row>
      <xdr:rowOff>142875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105FA17-4AFC-4C60-8FCE-57B90CB10F41}"/>
                </a:ext>
              </a:extLst>
            </xdr:cNvPr>
            <xdr:cNvSpPr txBox="1"/>
          </xdr:nvSpPr>
          <xdr:spPr>
            <a:xfrm>
              <a:off x="6543675" y="954405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105FA17-4AFC-4C60-8FCE-57B90CB10F41}"/>
                </a:ext>
              </a:extLst>
            </xdr:cNvPr>
            <xdr:cNvSpPr txBox="1"/>
          </xdr:nvSpPr>
          <xdr:spPr>
            <a:xfrm>
              <a:off x="6543675" y="954405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228601</xdr:colOff>
      <xdr:row>55</xdr:row>
      <xdr:rowOff>66675</xdr:rowOff>
    </xdr:from>
    <xdr:ext cx="990600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4719FA9-68C0-4B6C-A93F-8670E85AEE77}"/>
                </a:ext>
              </a:extLst>
            </xdr:cNvPr>
            <xdr:cNvSpPr txBox="1"/>
          </xdr:nvSpPr>
          <xdr:spPr>
            <a:xfrm>
              <a:off x="7296151" y="8982075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4719FA9-68C0-4B6C-A93F-8670E85AEE77}"/>
                </a:ext>
              </a:extLst>
            </xdr:cNvPr>
            <xdr:cNvSpPr txBox="1"/>
          </xdr:nvSpPr>
          <xdr:spPr>
            <a:xfrm>
              <a:off x="7296151" y="8982075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200025</xdr:colOff>
      <xdr:row>55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DB38809-AAA3-4978-9156-19BBA9D64C2F}"/>
                </a:ext>
              </a:extLst>
            </xdr:cNvPr>
            <xdr:cNvSpPr txBox="1"/>
          </xdr:nvSpPr>
          <xdr:spPr>
            <a:xfrm>
              <a:off x="9972675" y="9020175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DB38809-AAA3-4978-9156-19BBA9D64C2F}"/>
                </a:ext>
              </a:extLst>
            </xdr:cNvPr>
            <xdr:cNvSpPr txBox="1"/>
          </xdr:nvSpPr>
          <xdr:spPr>
            <a:xfrm>
              <a:off x="9972675" y="9020175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38100</xdr:colOff>
      <xdr:row>55</xdr:row>
      <xdr:rowOff>123825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BBAB5BFB-864D-4B0F-B8E8-CFAD7A5F4C00}"/>
                </a:ext>
              </a:extLst>
            </xdr:cNvPr>
            <xdr:cNvSpPr txBox="1"/>
          </xdr:nvSpPr>
          <xdr:spPr>
            <a:xfrm>
              <a:off x="5000625" y="9039225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BBAB5BFB-864D-4B0F-B8E8-CFAD7A5F4C00}"/>
                </a:ext>
              </a:extLst>
            </xdr:cNvPr>
            <xdr:cNvSpPr txBox="1"/>
          </xdr:nvSpPr>
          <xdr:spPr>
            <a:xfrm>
              <a:off x="5000625" y="9039225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63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7860D2EC-829B-4E6D-A47A-03AB2309906D}"/>
                </a:ext>
              </a:extLst>
            </xdr:cNvPr>
            <xdr:cNvSpPr txBox="1"/>
          </xdr:nvSpPr>
          <xdr:spPr>
            <a:xfrm>
              <a:off x="5165693" y="1021080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7860D2EC-829B-4E6D-A47A-03AB2309906D}"/>
                </a:ext>
              </a:extLst>
            </xdr:cNvPr>
            <xdr:cNvSpPr txBox="1"/>
          </xdr:nvSpPr>
          <xdr:spPr>
            <a:xfrm>
              <a:off x="5165693" y="1021080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114300</xdr:colOff>
      <xdr:row>63</xdr:row>
      <xdr:rowOff>0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FD7915F-8AD5-4A38-898C-D33E9CABA43F}"/>
                </a:ext>
              </a:extLst>
            </xdr:cNvPr>
            <xdr:cNvSpPr txBox="1"/>
          </xdr:nvSpPr>
          <xdr:spPr>
            <a:xfrm>
              <a:off x="5686425" y="10210800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FD7915F-8AD5-4A38-898C-D33E9CABA43F}"/>
                </a:ext>
              </a:extLst>
            </xdr:cNvPr>
            <xdr:cNvSpPr txBox="1"/>
          </xdr:nvSpPr>
          <xdr:spPr>
            <a:xfrm>
              <a:off x="5686425" y="10210800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62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58AF96D-5F25-4491-8A52-1835864E6D8A}"/>
                </a:ext>
              </a:extLst>
            </xdr:cNvPr>
            <xdr:cNvSpPr txBox="1"/>
          </xdr:nvSpPr>
          <xdr:spPr>
            <a:xfrm>
              <a:off x="5867399" y="1020127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58AF96D-5F25-4491-8A52-1835864E6D8A}"/>
                </a:ext>
              </a:extLst>
            </xdr:cNvPr>
            <xdr:cNvSpPr txBox="1"/>
          </xdr:nvSpPr>
          <xdr:spPr>
            <a:xfrm>
              <a:off x="5867399" y="1020127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12</xdr:col>
      <xdr:colOff>85724</xdr:colOff>
      <xdr:row>66</xdr:row>
      <xdr:rowOff>142875</xdr:rowOff>
    </xdr:from>
    <xdr:to>
      <xdr:col>18</xdr:col>
      <xdr:colOff>323849</xdr:colOff>
      <xdr:row>81</xdr:row>
      <xdr:rowOff>123825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2ECAC04E-44EF-47EF-AFCB-0B75BA24AB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0</xdr:col>
      <xdr:colOff>422243</xdr:colOff>
      <xdr:row>82</xdr:row>
      <xdr:rowOff>160813</xdr:rowOff>
    </xdr:from>
    <xdr:ext cx="2145459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E89F9340-810B-477A-909C-F3304B7FD26D}"/>
                </a:ext>
              </a:extLst>
            </xdr:cNvPr>
            <xdr:cNvSpPr txBox="1"/>
          </xdr:nvSpPr>
          <xdr:spPr>
            <a:xfrm>
              <a:off x="422243" y="13448188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=</m:t>
                        </m:r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E89F9340-810B-477A-909C-F3304B7FD26D}"/>
                </a:ext>
              </a:extLst>
            </xdr:cNvPr>
            <xdr:cNvSpPr txBox="1"/>
          </xdr:nvSpPr>
          <xdr:spPr>
            <a:xfrm>
              <a:off x="422243" y="13448188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̅=〗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0</xdr:col>
      <xdr:colOff>342900</xdr:colOff>
      <xdr:row>86</xdr:row>
      <xdr:rowOff>85725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22D4B801-A926-402B-886C-8E53E6D3B5CC}"/>
                </a:ext>
              </a:extLst>
            </xdr:cNvPr>
            <xdr:cNvSpPr txBox="1"/>
          </xdr:nvSpPr>
          <xdr:spPr>
            <a:xfrm>
              <a:off x="342900" y="1402080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22D4B801-A926-402B-886C-8E53E6D3B5CC}"/>
                </a:ext>
              </a:extLst>
            </xdr:cNvPr>
            <xdr:cNvSpPr txBox="1"/>
          </xdr:nvSpPr>
          <xdr:spPr>
            <a:xfrm>
              <a:off x="342900" y="1402080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4</xdr:col>
      <xdr:colOff>495300</xdr:colOff>
      <xdr:row>83</xdr:row>
      <xdr:rowOff>19050</xdr:rowOff>
    </xdr:from>
    <xdr:ext cx="1887376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ED1F00DC-914E-4043-965C-EB68E632EFA6}"/>
                </a:ext>
              </a:extLst>
            </xdr:cNvPr>
            <xdr:cNvSpPr txBox="1"/>
          </xdr:nvSpPr>
          <xdr:spPr>
            <a:xfrm>
              <a:off x="3990975" y="13468350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ED1F00DC-914E-4043-965C-EB68E632EFA6}"/>
                </a:ext>
              </a:extLst>
            </xdr:cNvPr>
            <xdr:cNvSpPr txBox="1"/>
          </xdr:nvSpPr>
          <xdr:spPr>
            <a:xfrm>
              <a:off x="3990975" y="13468350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581025</xdr:colOff>
      <xdr:row>83</xdr:row>
      <xdr:rowOff>0</xdr:rowOff>
    </xdr:from>
    <xdr:ext cx="1906932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5E28FB1-1863-4787-A7C0-FF3BB45558D0}"/>
                </a:ext>
              </a:extLst>
            </xdr:cNvPr>
            <xdr:cNvSpPr txBox="1"/>
          </xdr:nvSpPr>
          <xdr:spPr>
            <a:xfrm>
              <a:off x="7648575" y="13449300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5E28FB1-1863-4787-A7C0-FF3BB45558D0}"/>
                </a:ext>
              </a:extLst>
            </xdr:cNvPr>
            <xdr:cNvSpPr txBox="1"/>
          </xdr:nvSpPr>
          <xdr:spPr>
            <a:xfrm>
              <a:off x="7648575" y="13449300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209550</xdr:colOff>
      <xdr:row>89</xdr:row>
      <xdr:rowOff>142875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43FC9D28-7C81-4504-BCD0-AD1A15ACFFA7}"/>
                </a:ext>
              </a:extLst>
            </xdr:cNvPr>
            <xdr:cNvSpPr txBox="1"/>
          </xdr:nvSpPr>
          <xdr:spPr>
            <a:xfrm>
              <a:off x="6543675" y="1456372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43FC9D28-7C81-4504-BCD0-AD1A15ACFFA7}"/>
                </a:ext>
              </a:extLst>
            </xdr:cNvPr>
            <xdr:cNvSpPr txBox="1"/>
          </xdr:nvSpPr>
          <xdr:spPr>
            <a:xfrm>
              <a:off x="6543675" y="1456372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228601</xdr:colOff>
      <xdr:row>86</xdr:row>
      <xdr:rowOff>66675</xdr:rowOff>
    </xdr:from>
    <xdr:ext cx="990600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9E19B62F-DA92-4D01-912B-83ED7CD66F38}"/>
                </a:ext>
              </a:extLst>
            </xdr:cNvPr>
            <xdr:cNvSpPr txBox="1"/>
          </xdr:nvSpPr>
          <xdr:spPr>
            <a:xfrm>
              <a:off x="7296151" y="14001750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9E19B62F-DA92-4D01-912B-83ED7CD66F38}"/>
                </a:ext>
              </a:extLst>
            </xdr:cNvPr>
            <xdr:cNvSpPr txBox="1"/>
          </xdr:nvSpPr>
          <xdr:spPr>
            <a:xfrm>
              <a:off x="7296151" y="14001750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200025</xdr:colOff>
      <xdr:row>86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06850A81-FCDC-48AB-B7D7-FEAF6D21FD8F}"/>
                </a:ext>
              </a:extLst>
            </xdr:cNvPr>
            <xdr:cNvSpPr txBox="1"/>
          </xdr:nvSpPr>
          <xdr:spPr>
            <a:xfrm>
              <a:off x="9972675" y="1403985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06850A81-FCDC-48AB-B7D7-FEAF6D21FD8F}"/>
                </a:ext>
              </a:extLst>
            </xdr:cNvPr>
            <xdr:cNvSpPr txBox="1"/>
          </xdr:nvSpPr>
          <xdr:spPr>
            <a:xfrm>
              <a:off x="9972675" y="1403985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38100</xdr:colOff>
      <xdr:row>86</xdr:row>
      <xdr:rowOff>123825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92B7FD3E-03FF-4646-BF74-C038C00B8908}"/>
                </a:ext>
              </a:extLst>
            </xdr:cNvPr>
            <xdr:cNvSpPr txBox="1"/>
          </xdr:nvSpPr>
          <xdr:spPr>
            <a:xfrm>
              <a:off x="5000625" y="1405890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92B7FD3E-03FF-4646-BF74-C038C00B8908}"/>
                </a:ext>
              </a:extLst>
            </xdr:cNvPr>
            <xdr:cNvSpPr txBox="1"/>
          </xdr:nvSpPr>
          <xdr:spPr>
            <a:xfrm>
              <a:off x="5000625" y="1405890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94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5C1CB7B-8F8B-4222-8C02-0174893644A9}"/>
                </a:ext>
              </a:extLst>
            </xdr:cNvPr>
            <xdr:cNvSpPr txBox="1"/>
          </xdr:nvSpPr>
          <xdr:spPr>
            <a:xfrm>
              <a:off x="5165693" y="1523047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5C1CB7B-8F8B-4222-8C02-0174893644A9}"/>
                </a:ext>
              </a:extLst>
            </xdr:cNvPr>
            <xdr:cNvSpPr txBox="1"/>
          </xdr:nvSpPr>
          <xdr:spPr>
            <a:xfrm>
              <a:off x="5165693" y="1523047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114300</xdr:colOff>
      <xdr:row>94</xdr:row>
      <xdr:rowOff>0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8DA3973E-8373-4B36-B24E-C8A89E413BD9}"/>
                </a:ext>
              </a:extLst>
            </xdr:cNvPr>
            <xdr:cNvSpPr txBox="1"/>
          </xdr:nvSpPr>
          <xdr:spPr>
            <a:xfrm>
              <a:off x="5686425" y="1523047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8DA3973E-8373-4B36-B24E-C8A89E413BD9}"/>
                </a:ext>
              </a:extLst>
            </xdr:cNvPr>
            <xdr:cNvSpPr txBox="1"/>
          </xdr:nvSpPr>
          <xdr:spPr>
            <a:xfrm>
              <a:off x="5686425" y="1523047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93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F50E87F7-FFE2-47EA-9694-6D0BD6480062}"/>
                </a:ext>
              </a:extLst>
            </xdr:cNvPr>
            <xdr:cNvSpPr txBox="1"/>
          </xdr:nvSpPr>
          <xdr:spPr>
            <a:xfrm>
              <a:off x="5867399" y="1522094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F50E87F7-FFE2-47EA-9694-6D0BD6480062}"/>
                </a:ext>
              </a:extLst>
            </xdr:cNvPr>
            <xdr:cNvSpPr txBox="1"/>
          </xdr:nvSpPr>
          <xdr:spPr>
            <a:xfrm>
              <a:off x="5867399" y="1522094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12</xdr:col>
      <xdr:colOff>85724</xdr:colOff>
      <xdr:row>97</xdr:row>
      <xdr:rowOff>142875</xdr:rowOff>
    </xdr:from>
    <xdr:to>
      <xdr:col>18</xdr:col>
      <xdr:colOff>323849</xdr:colOff>
      <xdr:row>112</xdr:row>
      <xdr:rowOff>123825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978D0C61-308B-46C2-8998-7B138C4C4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422243</xdr:colOff>
      <xdr:row>113</xdr:row>
      <xdr:rowOff>160813</xdr:rowOff>
    </xdr:from>
    <xdr:ext cx="2145459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6BEBCAFB-0885-407D-AE5C-AAF1EA5CB23B}"/>
                </a:ext>
              </a:extLst>
            </xdr:cNvPr>
            <xdr:cNvSpPr txBox="1"/>
          </xdr:nvSpPr>
          <xdr:spPr>
            <a:xfrm>
              <a:off x="422243" y="18467863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=</m:t>
                        </m:r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6BEBCAFB-0885-407D-AE5C-AAF1EA5CB23B}"/>
                </a:ext>
              </a:extLst>
            </xdr:cNvPr>
            <xdr:cNvSpPr txBox="1"/>
          </xdr:nvSpPr>
          <xdr:spPr>
            <a:xfrm>
              <a:off x="422243" y="18467863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̅=〗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0</xdr:col>
      <xdr:colOff>342900</xdr:colOff>
      <xdr:row>117</xdr:row>
      <xdr:rowOff>85725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57CC761-053D-4EAD-B7B3-15BEEB0751A6}"/>
                </a:ext>
              </a:extLst>
            </xdr:cNvPr>
            <xdr:cNvSpPr txBox="1"/>
          </xdr:nvSpPr>
          <xdr:spPr>
            <a:xfrm>
              <a:off x="342900" y="1904047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57CC761-053D-4EAD-B7B3-15BEEB0751A6}"/>
                </a:ext>
              </a:extLst>
            </xdr:cNvPr>
            <xdr:cNvSpPr txBox="1"/>
          </xdr:nvSpPr>
          <xdr:spPr>
            <a:xfrm>
              <a:off x="342900" y="1904047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4</xdr:col>
      <xdr:colOff>495300</xdr:colOff>
      <xdr:row>114</xdr:row>
      <xdr:rowOff>19050</xdr:rowOff>
    </xdr:from>
    <xdr:ext cx="1887376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E041A26E-4FB4-4F45-A12A-0977F18B74CB}"/>
                </a:ext>
              </a:extLst>
            </xdr:cNvPr>
            <xdr:cNvSpPr txBox="1"/>
          </xdr:nvSpPr>
          <xdr:spPr>
            <a:xfrm>
              <a:off x="3990975" y="18488025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E041A26E-4FB4-4F45-A12A-0977F18B74CB}"/>
                </a:ext>
              </a:extLst>
            </xdr:cNvPr>
            <xdr:cNvSpPr txBox="1"/>
          </xdr:nvSpPr>
          <xdr:spPr>
            <a:xfrm>
              <a:off x="3990975" y="18488025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581025</xdr:colOff>
      <xdr:row>114</xdr:row>
      <xdr:rowOff>0</xdr:rowOff>
    </xdr:from>
    <xdr:ext cx="1906932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F3716AE-1B71-43E7-8DA1-AAF5AED130A9}"/>
                </a:ext>
              </a:extLst>
            </xdr:cNvPr>
            <xdr:cNvSpPr txBox="1"/>
          </xdr:nvSpPr>
          <xdr:spPr>
            <a:xfrm>
              <a:off x="7648575" y="18468975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F3716AE-1B71-43E7-8DA1-AAF5AED130A9}"/>
                </a:ext>
              </a:extLst>
            </xdr:cNvPr>
            <xdr:cNvSpPr txBox="1"/>
          </xdr:nvSpPr>
          <xdr:spPr>
            <a:xfrm>
              <a:off x="7648575" y="18468975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209550</xdr:colOff>
      <xdr:row>120</xdr:row>
      <xdr:rowOff>142875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B57E80D3-0D8E-414C-9689-93ED3DDEA614}"/>
                </a:ext>
              </a:extLst>
            </xdr:cNvPr>
            <xdr:cNvSpPr txBox="1"/>
          </xdr:nvSpPr>
          <xdr:spPr>
            <a:xfrm>
              <a:off x="6543675" y="195834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B57E80D3-0D8E-414C-9689-93ED3DDEA614}"/>
                </a:ext>
              </a:extLst>
            </xdr:cNvPr>
            <xdr:cNvSpPr txBox="1"/>
          </xdr:nvSpPr>
          <xdr:spPr>
            <a:xfrm>
              <a:off x="6543675" y="1958340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228601</xdr:colOff>
      <xdr:row>117</xdr:row>
      <xdr:rowOff>66675</xdr:rowOff>
    </xdr:from>
    <xdr:ext cx="990600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044E570-4454-4211-8505-E8FAD8489AF4}"/>
                </a:ext>
              </a:extLst>
            </xdr:cNvPr>
            <xdr:cNvSpPr txBox="1"/>
          </xdr:nvSpPr>
          <xdr:spPr>
            <a:xfrm>
              <a:off x="7296151" y="19021425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044E570-4454-4211-8505-E8FAD8489AF4}"/>
                </a:ext>
              </a:extLst>
            </xdr:cNvPr>
            <xdr:cNvSpPr txBox="1"/>
          </xdr:nvSpPr>
          <xdr:spPr>
            <a:xfrm>
              <a:off x="7296151" y="19021425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200025</xdr:colOff>
      <xdr:row>117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8AC680F2-E7E6-4E96-B6D2-3A0F4413A602}"/>
                </a:ext>
              </a:extLst>
            </xdr:cNvPr>
            <xdr:cNvSpPr txBox="1"/>
          </xdr:nvSpPr>
          <xdr:spPr>
            <a:xfrm>
              <a:off x="9972675" y="19059525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8AC680F2-E7E6-4E96-B6D2-3A0F4413A602}"/>
                </a:ext>
              </a:extLst>
            </xdr:cNvPr>
            <xdr:cNvSpPr txBox="1"/>
          </xdr:nvSpPr>
          <xdr:spPr>
            <a:xfrm>
              <a:off x="9972675" y="19059525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38100</xdr:colOff>
      <xdr:row>117</xdr:row>
      <xdr:rowOff>123825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5315673-7D63-448D-A4A8-E000B78F773C}"/>
                </a:ext>
              </a:extLst>
            </xdr:cNvPr>
            <xdr:cNvSpPr txBox="1"/>
          </xdr:nvSpPr>
          <xdr:spPr>
            <a:xfrm>
              <a:off x="5000625" y="19078575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5315673-7D63-448D-A4A8-E000B78F773C}"/>
                </a:ext>
              </a:extLst>
            </xdr:cNvPr>
            <xdr:cNvSpPr txBox="1"/>
          </xdr:nvSpPr>
          <xdr:spPr>
            <a:xfrm>
              <a:off x="5000625" y="19078575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125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55C3787A-7FFD-4F91-A752-43250BB97CE1}"/>
                </a:ext>
              </a:extLst>
            </xdr:cNvPr>
            <xdr:cNvSpPr txBox="1"/>
          </xdr:nvSpPr>
          <xdr:spPr>
            <a:xfrm>
              <a:off x="5165693" y="2025015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55C3787A-7FFD-4F91-A752-43250BB97CE1}"/>
                </a:ext>
              </a:extLst>
            </xdr:cNvPr>
            <xdr:cNvSpPr txBox="1"/>
          </xdr:nvSpPr>
          <xdr:spPr>
            <a:xfrm>
              <a:off x="5165693" y="2025015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114300</xdr:colOff>
      <xdr:row>125</xdr:row>
      <xdr:rowOff>0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83D1A96-F6AD-4C5B-93AE-2EEA735EAE56}"/>
                </a:ext>
              </a:extLst>
            </xdr:cNvPr>
            <xdr:cNvSpPr txBox="1"/>
          </xdr:nvSpPr>
          <xdr:spPr>
            <a:xfrm>
              <a:off x="5686425" y="20250150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83D1A96-F6AD-4C5B-93AE-2EEA735EAE56}"/>
                </a:ext>
              </a:extLst>
            </xdr:cNvPr>
            <xdr:cNvSpPr txBox="1"/>
          </xdr:nvSpPr>
          <xdr:spPr>
            <a:xfrm>
              <a:off x="5686425" y="20250150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124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2601E02-A910-4E61-A74B-1279901EA7A8}"/>
                </a:ext>
              </a:extLst>
            </xdr:cNvPr>
            <xdr:cNvSpPr txBox="1"/>
          </xdr:nvSpPr>
          <xdr:spPr>
            <a:xfrm>
              <a:off x="5867399" y="2024062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2601E02-A910-4E61-A74B-1279901EA7A8}"/>
                </a:ext>
              </a:extLst>
            </xdr:cNvPr>
            <xdr:cNvSpPr txBox="1"/>
          </xdr:nvSpPr>
          <xdr:spPr>
            <a:xfrm>
              <a:off x="5867399" y="20240624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12</xdr:col>
      <xdr:colOff>85724</xdr:colOff>
      <xdr:row>128</xdr:row>
      <xdr:rowOff>142875</xdr:rowOff>
    </xdr:from>
    <xdr:to>
      <xdr:col>18</xdr:col>
      <xdr:colOff>323849</xdr:colOff>
      <xdr:row>143</xdr:row>
      <xdr:rowOff>123825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DE8DC6BC-4D9A-44AC-B380-C302C8D37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0</xdr:col>
      <xdr:colOff>422243</xdr:colOff>
      <xdr:row>144</xdr:row>
      <xdr:rowOff>160813</xdr:rowOff>
    </xdr:from>
    <xdr:ext cx="2145459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473F71F6-2C15-447A-B2A3-0EB6B01D503F}"/>
                </a:ext>
              </a:extLst>
            </xdr:cNvPr>
            <xdr:cNvSpPr txBox="1"/>
          </xdr:nvSpPr>
          <xdr:spPr>
            <a:xfrm>
              <a:off x="422243" y="23487538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=</m:t>
                        </m:r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473F71F6-2C15-447A-B2A3-0EB6B01D503F}"/>
                </a:ext>
              </a:extLst>
            </xdr:cNvPr>
            <xdr:cNvSpPr txBox="1"/>
          </xdr:nvSpPr>
          <xdr:spPr>
            <a:xfrm>
              <a:off x="422243" y="23487538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̅=〗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0</xdr:col>
      <xdr:colOff>342900</xdr:colOff>
      <xdr:row>148</xdr:row>
      <xdr:rowOff>85725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D4AB322-4016-4383-BB6A-6109E68EAE39}"/>
                </a:ext>
              </a:extLst>
            </xdr:cNvPr>
            <xdr:cNvSpPr txBox="1"/>
          </xdr:nvSpPr>
          <xdr:spPr>
            <a:xfrm>
              <a:off x="342900" y="240601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D4AB322-4016-4383-BB6A-6109E68EAE39}"/>
                </a:ext>
              </a:extLst>
            </xdr:cNvPr>
            <xdr:cNvSpPr txBox="1"/>
          </xdr:nvSpPr>
          <xdr:spPr>
            <a:xfrm>
              <a:off x="342900" y="24060150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4</xdr:col>
      <xdr:colOff>495300</xdr:colOff>
      <xdr:row>145</xdr:row>
      <xdr:rowOff>19050</xdr:rowOff>
    </xdr:from>
    <xdr:ext cx="1887376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727B387A-F067-414A-8177-1221D76694F0}"/>
                </a:ext>
              </a:extLst>
            </xdr:cNvPr>
            <xdr:cNvSpPr txBox="1"/>
          </xdr:nvSpPr>
          <xdr:spPr>
            <a:xfrm>
              <a:off x="3990975" y="23507700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727B387A-F067-414A-8177-1221D76694F0}"/>
                </a:ext>
              </a:extLst>
            </xdr:cNvPr>
            <xdr:cNvSpPr txBox="1"/>
          </xdr:nvSpPr>
          <xdr:spPr>
            <a:xfrm>
              <a:off x="3990975" y="23507700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581025</xdr:colOff>
      <xdr:row>145</xdr:row>
      <xdr:rowOff>0</xdr:rowOff>
    </xdr:from>
    <xdr:ext cx="1906932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BAEC70E2-E450-41A6-9582-290619597587}"/>
                </a:ext>
              </a:extLst>
            </xdr:cNvPr>
            <xdr:cNvSpPr txBox="1"/>
          </xdr:nvSpPr>
          <xdr:spPr>
            <a:xfrm>
              <a:off x="7648575" y="23488650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BAEC70E2-E450-41A6-9582-290619597587}"/>
                </a:ext>
              </a:extLst>
            </xdr:cNvPr>
            <xdr:cNvSpPr txBox="1"/>
          </xdr:nvSpPr>
          <xdr:spPr>
            <a:xfrm>
              <a:off x="7648575" y="23488650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209550</xdr:colOff>
      <xdr:row>151</xdr:row>
      <xdr:rowOff>142875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B11B95C7-FA52-4097-9BC5-14FB50028620}"/>
                </a:ext>
              </a:extLst>
            </xdr:cNvPr>
            <xdr:cNvSpPr txBox="1"/>
          </xdr:nvSpPr>
          <xdr:spPr>
            <a:xfrm>
              <a:off x="6543675" y="2460307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B11B95C7-FA52-4097-9BC5-14FB50028620}"/>
                </a:ext>
              </a:extLst>
            </xdr:cNvPr>
            <xdr:cNvSpPr txBox="1"/>
          </xdr:nvSpPr>
          <xdr:spPr>
            <a:xfrm>
              <a:off x="6543675" y="24603075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228601</xdr:colOff>
      <xdr:row>148</xdr:row>
      <xdr:rowOff>66675</xdr:rowOff>
    </xdr:from>
    <xdr:ext cx="990600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F75216D-2FCD-4D58-B91A-EAB8D5BCA72A}"/>
                </a:ext>
              </a:extLst>
            </xdr:cNvPr>
            <xdr:cNvSpPr txBox="1"/>
          </xdr:nvSpPr>
          <xdr:spPr>
            <a:xfrm>
              <a:off x="7296151" y="24041100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F75216D-2FCD-4D58-B91A-EAB8D5BCA72A}"/>
                </a:ext>
              </a:extLst>
            </xdr:cNvPr>
            <xdr:cNvSpPr txBox="1"/>
          </xdr:nvSpPr>
          <xdr:spPr>
            <a:xfrm>
              <a:off x="7296151" y="24041100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200025</xdr:colOff>
      <xdr:row>148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D84BDFC-E21E-4722-8E31-A66D85DE4491}"/>
                </a:ext>
              </a:extLst>
            </xdr:cNvPr>
            <xdr:cNvSpPr txBox="1"/>
          </xdr:nvSpPr>
          <xdr:spPr>
            <a:xfrm>
              <a:off x="9972675" y="240792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D84BDFC-E21E-4722-8E31-A66D85DE4491}"/>
                </a:ext>
              </a:extLst>
            </xdr:cNvPr>
            <xdr:cNvSpPr txBox="1"/>
          </xdr:nvSpPr>
          <xdr:spPr>
            <a:xfrm>
              <a:off x="9972675" y="24079200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38100</xdr:colOff>
      <xdr:row>148</xdr:row>
      <xdr:rowOff>123825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B41A5DC6-B05F-4907-A491-0C97E15A750B}"/>
                </a:ext>
              </a:extLst>
            </xdr:cNvPr>
            <xdr:cNvSpPr txBox="1"/>
          </xdr:nvSpPr>
          <xdr:spPr>
            <a:xfrm>
              <a:off x="5000625" y="240982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B41A5DC6-B05F-4907-A491-0C97E15A750B}"/>
                </a:ext>
              </a:extLst>
            </xdr:cNvPr>
            <xdr:cNvSpPr txBox="1"/>
          </xdr:nvSpPr>
          <xdr:spPr>
            <a:xfrm>
              <a:off x="5000625" y="24098250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156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F881BA6A-E6BD-4A0D-BE5B-566751D34485}"/>
                </a:ext>
              </a:extLst>
            </xdr:cNvPr>
            <xdr:cNvSpPr txBox="1"/>
          </xdr:nvSpPr>
          <xdr:spPr>
            <a:xfrm>
              <a:off x="5165693" y="252698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F881BA6A-E6BD-4A0D-BE5B-566751D34485}"/>
                </a:ext>
              </a:extLst>
            </xdr:cNvPr>
            <xdr:cNvSpPr txBox="1"/>
          </xdr:nvSpPr>
          <xdr:spPr>
            <a:xfrm>
              <a:off x="5165693" y="252698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114300</xdr:colOff>
      <xdr:row>156</xdr:row>
      <xdr:rowOff>0</xdr:rowOff>
    </xdr:from>
    <xdr:ext cx="381000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55D54690-918F-4E61-8DB4-415DB89EE936}"/>
                </a:ext>
              </a:extLst>
            </xdr:cNvPr>
            <xdr:cNvSpPr txBox="1"/>
          </xdr:nvSpPr>
          <xdr:spPr>
            <a:xfrm>
              <a:off x="5686425" y="252698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100" b="0" i="1">
                        <a:latin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55D54690-918F-4E61-8DB4-415DB89EE936}"/>
                </a:ext>
              </a:extLst>
            </xdr:cNvPr>
            <xdr:cNvSpPr txBox="1"/>
          </xdr:nvSpPr>
          <xdr:spPr>
            <a:xfrm>
              <a:off x="5686425" y="25269825"/>
              <a:ext cx="381000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̂−𝑌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295274</xdr:colOff>
      <xdr:row>155</xdr:row>
      <xdr:rowOff>152399</xdr:rowOff>
    </xdr:from>
    <xdr:ext cx="1343025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5F9FC2C8-9BC1-42D6-9756-B65D82C96021}"/>
                </a:ext>
              </a:extLst>
            </xdr:cNvPr>
            <xdr:cNvSpPr txBox="1"/>
          </xdr:nvSpPr>
          <xdr:spPr>
            <a:xfrm>
              <a:off x="5867399" y="252602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Y</m:t>
                        </m:r>
                        <m:r>
                          <m:rPr>
                            <m:nor/>
                          </m:rPr>
                          <a:rPr lang="pt-PT" sz="11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pt-PT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</m:acc>
                        <m:r>
                          <m:rPr>
                            <m:nor/>
                          </m:rPr>
                          <a:rPr lang="pt-PT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  <m:r>
                          <m:rPr>
                            <m:nor/>
                          </m:rPr>
                          <a:rPr lang="pt-PT">
                            <a:effectLst/>
                          </a:rPr>
                          <m:t> 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5F9FC2C8-9BC1-42D6-9756-B65D82C96021}"/>
                </a:ext>
              </a:extLst>
            </xdr:cNvPr>
            <xdr:cNvSpPr txBox="1"/>
          </xdr:nvSpPr>
          <xdr:spPr>
            <a:xfrm>
              <a:off x="5867399" y="25260299"/>
              <a:ext cx="1343025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"Y−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 ̂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")</a:t>
              </a:r>
              <a:r>
                <a:rPr lang="pt-PT" i="0">
                  <a:effectLst/>
                </a:rPr>
                <a:t> </a:t>
              </a:r>
              <a:r>
                <a:rPr lang="pt-PT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100" i="0">
                  <a:effectLst/>
                  <a:latin typeface="Cambria Math" panose="02040503050406030204" pitchFamily="18" charset="0"/>
                </a:rPr>
                <a:t>〗^</a:t>
              </a:r>
              <a:r>
                <a:rPr lang="pt-PT" sz="1100" b="0" i="0">
                  <a:latin typeface="Cambria Math" panose="02040503050406030204" pitchFamily="18" charset="0"/>
                </a:rPr>
                <a:t>2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12</xdr:col>
      <xdr:colOff>85724</xdr:colOff>
      <xdr:row>159</xdr:row>
      <xdr:rowOff>142875</xdr:rowOff>
    </xdr:from>
    <xdr:to>
      <xdr:col>18</xdr:col>
      <xdr:colOff>323849</xdr:colOff>
      <xdr:row>174</xdr:row>
      <xdr:rowOff>123825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6F46199D-6933-482A-B37C-53ECB48843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0</xdr:col>
      <xdr:colOff>422243</xdr:colOff>
      <xdr:row>175</xdr:row>
      <xdr:rowOff>160813</xdr:rowOff>
    </xdr:from>
    <xdr:ext cx="2145459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2F9100BC-F158-491B-899C-8602A106FC57}"/>
                </a:ext>
              </a:extLst>
            </xdr:cNvPr>
            <xdr:cNvSpPr txBox="1"/>
          </xdr:nvSpPr>
          <xdr:spPr>
            <a:xfrm>
              <a:off x="422243" y="28507213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𝑥𝑖𝑦𝑖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acc>
                          <m:accPr>
                            <m:chr m:val="̅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=</m:t>
                        </m:r>
                      </m:e>
                    </m:nary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2F9100BC-F158-491B-899C-8602A106FC57}"/>
                </a:ext>
              </a:extLst>
            </xdr:cNvPr>
            <xdr:cNvSpPr txBox="1"/>
          </xdr:nvSpPr>
          <xdr:spPr>
            <a:xfrm>
              <a:off x="422243" y="28507213"/>
              <a:ext cx="2145459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𝑠_𝑥𝑦=∑▒〖𝑥𝑖𝑦𝑖−𝑛∗𝑥 ̅∗𝑦 ̅=〗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0</xdr:col>
      <xdr:colOff>342900</xdr:colOff>
      <xdr:row>179</xdr:row>
      <xdr:rowOff>85725</xdr:rowOff>
    </xdr:from>
    <xdr:ext cx="1581150" cy="465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58C48FDC-1E41-4A1B-9B12-E5800AB236BD}"/>
                </a:ext>
              </a:extLst>
            </xdr:cNvPr>
            <xdr:cNvSpPr txBox="1"/>
          </xdr:nvSpPr>
          <xdr:spPr>
            <a:xfrm>
              <a:off x="342900" y="2907982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𝑦𝑦</m:t>
                                </m:r>
                              </m:sub>
                            </m:sSub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58C48FDC-1E41-4A1B-9B12-E5800AB236BD}"/>
                </a:ext>
              </a:extLst>
            </xdr:cNvPr>
            <xdr:cNvSpPr txBox="1"/>
          </xdr:nvSpPr>
          <xdr:spPr>
            <a:xfrm>
              <a:off x="342900" y="29079825"/>
              <a:ext cx="1581150" cy="465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𝑟=𝑠_𝑥𝑦/(√(𝑠_𝑥𝑥 )∗√(𝑠_𝑦𝑦 ))=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4</xdr:col>
      <xdr:colOff>495300</xdr:colOff>
      <xdr:row>176</xdr:row>
      <xdr:rowOff>19050</xdr:rowOff>
    </xdr:from>
    <xdr:ext cx="1887376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5FA84D6B-9B0F-4063-B2D8-3F0C75DADD31}"/>
                </a:ext>
              </a:extLst>
            </xdr:cNvPr>
            <xdr:cNvSpPr txBox="1"/>
          </xdr:nvSpPr>
          <xdr:spPr>
            <a:xfrm>
              <a:off x="3990975" y="28527375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5FA84D6B-9B0F-4063-B2D8-3F0C75DADD31}"/>
                </a:ext>
              </a:extLst>
            </xdr:cNvPr>
            <xdr:cNvSpPr txBox="1"/>
          </xdr:nvSpPr>
          <xdr:spPr>
            <a:xfrm>
              <a:off x="3990975" y="28527375"/>
              <a:ext cx="1887376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𝑠_𝑥𝑥=∑▒〖〖𝑥𝑖〗^2−𝑛∗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9</xdr:col>
      <xdr:colOff>581025</xdr:colOff>
      <xdr:row>176</xdr:row>
      <xdr:rowOff>0</xdr:rowOff>
    </xdr:from>
    <xdr:ext cx="1906932" cy="52174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FD97B910-B131-4BCC-8AD4-B34F5220114E}"/>
                </a:ext>
              </a:extLst>
            </xdr:cNvPr>
            <xdr:cNvSpPr txBox="1"/>
          </xdr:nvSpPr>
          <xdr:spPr>
            <a:xfrm>
              <a:off x="7648575" y="28508325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𝑦𝑦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𝑦𝑖</m:t>
                            </m:r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pt-PT" sz="14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̅"/>
                                <m:ctrlP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PT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FD97B910-B131-4BCC-8AD4-B34F5220114E}"/>
                </a:ext>
              </a:extLst>
            </xdr:cNvPr>
            <xdr:cNvSpPr txBox="1"/>
          </xdr:nvSpPr>
          <xdr:spPr>
            <a:xfrm>
              <a:off x="7648575" y="28508325"/>
              <a:ext cx="1906932" cy="52174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𝑠_𝑦𝑦=∑▒〖〖𝑦𝑖〗^2−𝑛∗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 ̅^</a:t>
              </a:r>
              <a:r>
                <a:rPr lang="pt-PT" sz="1400" b="0" i="0">
                  <a:latin typeface="Cambria Math" panose="02040503050406030204" pitchFamily="18" charset="0"/>
                </a:rPr>
                <a:t>2 〗=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209550</xdr:colOff>
      <xdr:row>182</xdr:row>
      <xdr:rowOff>142875</xdr:rowOff>
    </xdr:from>
    <xdr:ext cx="89806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055658F-427E-42DF-A1DA-EB45E3074C3F}"/>
                </a:ext>
              </a:extLst>
            </xdr:cNvPr>
            <xdr:cNvSpPr txBox="1"/>
          </xdr:nvSpPr>
          <xdr:spPr>
            <a:xfrm>
              <a:off x="6543675" y="2962275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055658F-427E-42DF-A1DA-EB45E3074C3F}"/>
                </a:ext>
              </a:extLst>
            </xdr:cNvPr>
            <xdr:cNvSpPr txBox="1"/>
          </xdr:nvSpPr>
          <xdr:spPr>
            <a:xfrm>
              <a:off x="6543675" y="29622750"/>
              <a:ext cx="89806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̂=𝑎 ̂+𝑏 ̂𝑥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228601</xdr:colOff>
      <xdr:row>179</xdr:row>
      <xdr:rowOff>66675</xdr:rowOff>
    </xdr:from>
    <xdr:ext cx="990600" cy="3733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F25BA6E-F84B-44AA-B47A-5FCC83074F08}"/>
                </a:ext>
              </a:extLst>
            </xdr:cNvPr>
            <xdr:cNvSpPr txBox="1"/>
          </xdr:nvSpPr>
          <xdr:spPr>
            <a:xfrm>
              <a:off x="7296151" y="29060775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b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𝑠𝑥𝑥</m:t>
                        </m:r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F25BA6E-F84B-44AA-B47A-5FCC83074F08}"/>
                </a:ext>
              </a:extLst>
            </xdr:cNvPr>
            <xdr:cNvSpPr txBox="1"/>
          </xdr:nvSpPr>
          <xdr:spPr>
            <a:xfrm>
              <a:off x="7296151" y="29060775"/>
              <a:ext cx="990600" cy="3733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̂=𝑠_𝑥𝑦/𝑠𝑥𝑥=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200025</xdr:colOff>
      <xdr:row>179</xdr:row>
      <xdr:rowOff>104775</xdr:rowOff>
    </xdr:from>
    <xdr:ext cx="1304925" cy="2428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D1B243B7-C327-4645-AFA8-9E92669A3E3C}"/>
                </a:ext>
              </a:extLst>
            </xdr:cNvPr>
            <xdr:cNvSpPr txBox="1"/>
          </xdr:nvSpPr>
          <xdr:spPr>
            <a:xfrm>
              <a:off x="9972675" y="29098875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acc>
                      <m:accPr>
                        <m:chr m:val="̅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D1B243B7-C327-4645-AFA8-9E92669A3E3C}"/>
                </a:ext>
              </a:extLst>
            </xdr:cNvPr>
            <xdr:cNvSpPr txBox="1"/>
          </xdr:nvSpPr>
          <xdr:spPr>
            <a:xfrm>
              <a:off x="9972675" y="29098875"/>
              <a:ext cx="1304925" cy="242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̂=𝑦 ̅−𝑏 ̂𝑥 ̅=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38100</xdr:colOff>
      <xdr:row>179</xdr:row>
      <xdr:rowOff>123825</xdr:rowOff>
    </xdr:from>
    <xdr:ext cx="619125" cy="2857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2E7991D-0D14-4C5A-A616-90C5102678CD}"/>
                </a:ext>
              </a:extLst>
            </xdr:cNvPr>
            <xdr:cNvSpPr txBox="1"/>
          </xdr:nvSpPr>
          <xdr:spPr>
            <a:xfrm>
              <a:off x="5000625" y="29117925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2E7991D-0D14-4C5A-A616-90C5102678CD}"/>
                </a:ext>
              </a:extLst>
            </xdr:cNvPr>
            <xdr:cNvSpPr txBox="1"/>
          </xdr:nvSpPr>
          <xdr:spPr>
            <a:xfrm>
              <a:off x="5000625" y="29117925"/>
              <a:ext cx="619125" cy="2857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𝑟^2=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13</xdr:col>
      <xdr:colOff>76201</xdr:colOff>
      <xdr:row>186</xdr:row>
      <xdr:rowOff>17394</xdr:rowOff>
    </xdr:from>
    <xdr:to>
      <xdr:col>16</xdr:col>
      <xdr:colOff>9525</xdr:colOff>
      <xdr:row>197</xdr:row>
      <xdr:rowOff>104774</xdr:rowOff>
    </xdr:to>
    <xdr:pic>
      <xdr:nvPicPr>
        <xdr:cNvPr id="74" name="Imagem 73" descr="Imagem">
          <a:extLst>
            <a:ext uri="{FF2B5EF4-FFF2-40B4-BE49-F238E27FC236}">
              <a16:creationId xmlns:a16="http://schemas.microsoft.com/office/drawing/2014/main" id="{074707F7-9BF8-4766-83E0-CB6A2287A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851" y="30144969"/>
          <a:ext cx="1990724" cy="1868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419100</xdr:colOff>
      <xdr:row>197</xdr:row>
      <xdr:rowOff>142875</xdr:rowOff>
    </xdr:from>
    <xdr:to>
      <xdr:col>17</xdr:col>
      <xdr:colOff>391101</xdr:colOff>
      <xdr:row>204</xdr:row>
      <xdr:rowOff>104928</xdr:rowOff>
    </xdr:to>
    <xdr:pic>
      <xdr:nvPicPr>
        <xdr:cNvPr id="75" name="Imagem 74">
          <a:extLst>
            <a:ext uri="{FF2B5EF4-FFF2-40B4-BE49-F238E27FC236}">
              <a16:creationId xmlns:a16="http://schemas.microsoft.com/office/drawing/2014/main" id="{D2DED196-B22D-4F7E-80C4-E3E6B7CFB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5850" y="32061150"/>
          <a:ext cx="4124901" cy="1095527"/>
        </a:xfrm>
        <a:prstGeom prst="rect">
          <a:avLst/>
        </a:prstGeom>
      </xdr:spPr>
    </xdr:pic>
    <xdr:clientData/>
  </xdr:twoCellAnchor>
  <xdr:oneCellAnchor>
    <xdr:from>
      <xdr:col>1</xdr:col>
      <xdr:colOff>953559</xdr:colOff>
      <xdr:row>208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46FB7C2-2495-4D6C-A3E9-577E7166461D}"/>
                </a:ext>
              </a:extLst>
            </xdr:cNvPr>
            <xdr:cNvSpPr txBox="1"/>
          </xdr:nvSpPr>
          <xdr:spPr>
            <a:xfrm>
              <a:off x="1563159" y="338338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7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46FB7C2-2495-4D6C-A3E9-577E7166461D}"/>
                </a:ext>
              </a:extLst>
            </xdr:cNvPr>
            <xdr:cNvSpPr txBox="1"/>
          </xdr:nvSpPr>
          <xdr:spPr>
            <a:xfrm>
              <a:off x="1563159" y="338338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4</xdr:col>
      <xdr:colOff>628650</xdr:colOff>
      <xdr:row>207</xdr:row>
      <xdr:rowOff>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401B70A-861B-4027-B29A-3E0F2793E323}"/>
                </a:ext>
              </a:extLst>
            </xdr:cNvPr>
            <xdr:cNvSpPr txBox="1"/>
          </xdr:nvSpPr>
          <xdr:spPr>
            <a:xfrm>
              <a:off x="4124325" y="3355657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7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401B70A-861B-4027-B29A-3E0F2793E323}"/>
                </a:ext>
              </a:extLst>
            </xdr:cNvPr>
            <xdr:cNvSpPr txBox="1"/>
          </xdr:nvSpPr>
          <xdr:spPr>
            <a:xfrm>
              <a:off x="4124325" y="3355657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9</xdr:col>
      <xdr:colOff>352425</xdr:colOff>
      <xdr:row>191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BCEEC01-E05B-4BE2-9EB8-98E2889C4D6E}"/>
                </a:ext>
              </a:extLst>
            </xdr:cNvPr>
            <xdr:cNvSpPr txBox="1"/>
          </xdr:nvSpPr>
          <xdr:spPr>
            <a:xfrm>
              <a:off x="7419975" y="3109912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BCEEC01-E05B-4BE2-9EB8-98E2889C4D6E}"/>
                </a:ext>
              </a:extLst>
            </xdr:cNvPr>
            <xdr:cNvSpPr txBox="1"/>
          </xdr:nvSpPr>
          <xdr:spPr>
            <a:xfrm>
              <a:off x="7419975" y="3109912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333375</xdr:colOff>
      <xdr:row>194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F0DB6DD-266D-47D9-B19E-D701E3F86518}"/>
                </a:ext>
              </a:extLst>
            </xdr:cNvPr>
            <xdr:cNvSpPr txBox="1"/>
          </xdr:nvSpPr>
          <xdr:spPr>
            <a:xfrm>
              <a:off x="7400925" y="314229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F0DB6DD-266D-47D9-B19E-D701E3F86518}"/>
                </a:ext>
              </a:extLst>
            </xdr:cNvPr>
            <xdr:cNvSpPr txBox="1"/>
          </xdr:nvSpPr>
          <xdr:spPr>
            <a:xfrm>
              <a:off x="7400925" y="314229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953559</xdr:colOff>
      <xdr:row>215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7DDF334-7361-44B9-BDF4-6A505F2228A5}"/>
                </a:ext>
              </a:extLst>
            </xdr:cNvPr>
            <xdr:cNvSpPr txBox="1"/>
          </xdr:nvSpPr>
          <xdr:spPr>
            <a:xfrm>
              <a:off x="1563159" y="349863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8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7DDF334-7361-44B9-BDF4-6A505F2228A5}"/>
                </a:ext>
              </a:extLst>
            </xdr:cNvPr>
            <xdr:cNvSpPr txBox="1"/>
          </xdr:nvSpPr>
          <xdr:spPr>
            <a:xfrm>
              <a:off x="1563159" y="349863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5</xdr:col>
      <xdr:colOff>57150</xdr:colOff>
      <xdr:row>213</xdr:row>
      <xdr:rowOff>152400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92B1537-19D2-4B01-905E-7AA690C26AA4}"/>
                </a:ext>
              </a:extLst>
            </xdr:cNvPr>
            <xdr:cNvSpPr txBox="1"/>
          </xdr:nvSpPr>
          <xdr:spPr>
            <a:xfrm>
              <a:off x="4286250" y="34690050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8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B92B1537-19D2-4B01-905E-7AA690C26AA4}"/>
                </a:ext>
              </a:extLst>
            </xdr:cNvPr>
            <xdr:cNvSpPr txBox="1"/>
          </xdr:nvSpPr>
          <xdr:spPr>
            <a:xfrm>
              <a:off x="4286250" y="34690050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9</xdr:col>
      <xdr:colOff>257175</xdr:colOff>
      <xdr:row>196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A3F1B23E-23A3-4E5D-AECA-8A5CF415C6DC}"/>
                </a:ext>
              </a:extLst>
            </xdr:cNvPr>
            <xdr:cNvSpPr txBox="1"/>
          </xdr:nvSpPr>
          <xdr:spPr>
            <a:xfrm>
              <a:off x="7324725" y="317468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A3F1B23E-23A3-4E5D-AECA-8A5CF415C6DC}"/>
                </a:ext>
              </a:extLst>
            </xdr:cNvPr>
            <xdr:cNvSpPr txBox="1"/>
          </xdr:nvSpPr>
          <xdr:spPr>
            <a:xfrm>
              <a:off x="7324725" y="317468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953559</xdr:colOff>
      <xdr:row>224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C262550-C74C-45EE-A02E-45912E9DADDA}"/>
                </a:ext>
              </a:extLst>
            </xdr:cNvPr>
            <xdr:cNvSpPr txBox="1"/>
          </xdr:nvSpPr>
          <xdr:spPr>
            <a:xfrm>
              <a:off x="1563159" y="364627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8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C262550-C74C-45EE-A02E-45912E9DADDA}"/>
                </a:ext>
              </a:extLst>
            </xdr:cNvPr>
            <xdr:cNvSpPr txBox="1"/>
          </xdr:nvSpPr>
          <xdr:spPr>
            <a:xfrm>
              <a:off x="1563159" y="364627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4</xdr:col>
      <xdr:colOff>426244</xdr:colOff>
      <xdr:row>223</xdr:row>
      <xdr:rowOff>11906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5501C57-E85F-4665-AAD0-93D5E75E0BCB}"/>
                </a:ext>
              </a:extLst>
            </xdr:cNvPr>
            <xdr:cNvSpPr txBox="1"/>
          </xdr:nvSpPr>
          <xdr:spPr>
            <a:xfrm>
              <a:off x="3921919" y="36197381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8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5501C57-E85F-4665-AAD0-93D5E75E0BCB}"/>
                </a:ext>
              </a:extLst>
            </xdr:cNvPr>
            <xdr:cNvSpPr txBox="1"/>
          </xdr:nvSpPr>
          <xdr:spPr>
            <a:xfrm>
              <a:off x="3921919" y="36197381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234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C47EB38-B138-4133-A935-D0E85D8434AE}"/>
                </a:ext>
              </a:extLst>
            </xdr:cNvPr>
            <xdr:cNvSpPr txBox="1"/>
          </xdr:nvSpPr>
          <xdr:spPr>
            <a:xfrm>
              <a:off x="1563159" y="381391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8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C47EB38-B138-4133-A935-D0E85D8434AE}"/>
                </a:ext>
              </a:extLst>
            </xdr:cNvPr>
            <xdr:cNvSpPr txBox="1"/>
          </xdr:nvSpPr>
          <xdr:spPr>
            <a:xfrm>
              <a:off x="1563159" y="381391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4</xdr:col>
      <xdr:colOff>283369</xdr:colOff>
      <xdr:row>233</xdr:row>
      <xdr:rowOff>11906</xdr:rowOff>
    </xdr:from>
    <xdr:ext cx="1323974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D3A3683-E051-4FF1-822A-E6EFD27132A1}"/>
                </a:ext>
              </a:extLst>
            </xdr:cNvPr>
            <xdr:cNvSpPr txBox="1"/>
          </xdr:nvSpPr>
          <xdr:spPr>
            <a:xfrm>
              <a:off x="3779044" y="37873781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1+</m:t>
                        </m:r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8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D3A3683-E051-4FF1-822A-E6EFD27132A1}"/>
                </a:ext>
              </a:extLst>
            </xdr:cNvPr>
            <xdr:cNvSpPr txBox="1"/>
          </xdr:nvSpPr>
          <xdr:spPr>
            <a:xfrm>
              <a:off x="3779044" y="37873781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1+1/𝑛+(𝑥0−𝑥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212913</xdr:colOff>
      <xdr:row>243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35CD8B5D-BBBC-410C-879C-8B94D3521C92}"/>
                </a:ext>
              </a:extLst>
            </xdr:cNvPr>
            <xdr:cNvSpPr txBox="1"/>
          </xdr:nvSpPr>
          <xdr:spPr>
            <a:xfrm>
              <a:off x="822513" y="396391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35CD8B5D-BBBC-410C-879C-8B94D3521C92}"/>
                </a:ext>
              </a:extLst>
            </xdr:cNvPr>
            <xdr:cNvSpPr txBox="1"/>
          </xdr:nvSpPr>
          <xdr:spPr>
            <a:xfrm>
              <a:off x="822513" y="396391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𝐻0:𝑎=0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245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FE28330F-507D-43AF-A36A-3162E9F16158}"/>
                </a:ext>
              </a:extLst>
            </xdr:cNvPr>
            <xdr:cNvSpPr txBox="1"/>
          </xdr:nvSpPr>
          <xdr:spPr>
            <a:xfrm>
              <a:off x="833717" y="399853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FE28330F-507D-43AF-A36A-3162E9F16158}"/>
                </a:ext>
              </a:extLst>
            </xdr:cNvPr>
            <xdr:cNvSpPr txBox="1"/>
          </xdr:nvSpPr>
          <xdr:spPr>
            <a:xfrm>
              <a:off x="833717" y="399853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𝐻1:𝑎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6</xdr:col>
      <xdr:colOff>571500</xdr:colOff>
      <xdr:row>245</xdr:row>
      <xdr:rowOff>145675</xdr:rowOff>
    </xdr:from>
    <xdr:ext cx="65" cy="172227"/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A4BE40E8-96FB-45F3-BAF4-9F5A56AE39EA}"/>
            </a:ext>
          </a:extLst>
        </xdr:cNvPr>
        <xdr:cNvSpPr txBox="1"/>
      </xdr:nvSpPr>
      <xdr:spPr>
        <a:xfrm>
          <a:off x="5534025" y="400078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t-PT" sz="1100"/>
        </a:p>
      </xdr:txBody>
    </xdr:sp>
    <xdr:clientData/>
  </xdr:oneCellAnchor>
  <xdr:oneCellAnchor>
    <xdr:from>
      <xdr:col>1</xdr:col>
      <xdr:colOff>953559</xdr:colOff>
      <xdr:row>252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6816979-A4DB-4E54-9168-C78CB09B269D}"/>
                </a:ext>
              </a:extLst>
            </xdr:cNvPr>
            <xdr:cNvSpPr txBox="1"/>
          </xdr:nvSpPr>
          <xdr:spPr>
            <a:xfrm>
              <a:off x="1563159" y="411109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9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6816979-A4DB-4E54-9168-C78CB09B269D}"/>
                </a:ext>
              </a:extLst>
            </xdr:cNvPr>
            <xdr:cNvSpPr txBox="1"/>
          </xdr:nvSpPr>
          <xdr:spPr>
            <a:xfrm>
              <a:off x="1563159" y="411109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212913</xdr:colOff>
      <xdr:row>261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907F8DCF-A3FA-43EA-B088-6C7A80DA870A}"/>
                </a:ext>
              </a:extLst>
            </xdr:cNvPr>
            <xdr:cNvSpPr txBox="1"/>
          </xdr:nvSpPr>
          <xdr:spPr>
            <a:xfrm>
              <a:off x="822513" y="425728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907F8DCF-A3FA-43EA-B088-6C7A80DA870A}"/>
                </a:ext>
              </a:extLst>
            </xdr:cNvPr>
            <xdr:cNvSpPr txBox="1"/>
          </xdr:nvSpPr>
          <xdr:spPr>
            <a:xfrm>
              <a:off x="822513" y="425728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𝐻0:𝑏=0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263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531053EA-BA36-4CF5-ABD8-27F7BBABE23E}"/>
                </a:ext>
              </a:extLst>
            </xdr:cNvPr>
            <xdr:cNvSpPr txBox="1"/>
          </xdr:nvSpPr>
          <xdr:spPr>
            <a:xfrm>
              <a:off x="833717" y="429190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531053EA-BA36-4CF5-ABD8-27F7BBABE23E}"/>
                </a:ext>
              </a:extLst>
            </xdr:cNvPr>
            <xdr:cNvSpPr txBox="1"/>
          </xdr:nvSpPr>
          <xdr:spPr>
            <a:xfrm>
              <a:off x="833717" y="429190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</xdr:col>
      <xdr:colOff>112058</xdr:colOff>
      <xdr:row>261</xdr:row>
      <xdr:rowOff>91889</xdr:rowOff>
    </xdr:from>
    <xdr:ext cx="1361393" cy="549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05168FEE-E2E2-4FDA-8F8F-1A3D690822D3}"/>
                </a:ext>
              </a:extLst>
            </xdr:cNvPr>
            <xdr:cNvSpPr txBox="1"/>
          </xdr:nvSpPr>
          <xdr:spPr>
            <a:xfrm>
              <a:off x="2883833" y="42563864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05168FEE-E2E2-4FDA-8F8F-1A3D690822D3}"/>
                </a:ext>
              </a:extLst>
            </xdr:cNvPr>
            <xdr:cNvSpPr txBox="1"/>
          </xdr:nvSpPr>
          <xdr:spPr>
            <a:xfrm>
              <a:off x="2883833" y="42563864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𝑇_0=(𝑏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𝑏_0)/(</a:t>
              </a:r>
              <a:r>
                <a:rPr lang="pt-PT" sz="1400" b="0" i="0">
                  <a:latin typeface="Cambria Math" panose="02040503050406030204" pitchFamily="18" charset="0"/>
                </a:rPr>
                <a:t>𝑆/√(𝑆_𝑥𝑥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953559</xdr:colOff>
      <xdr:row>270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A1E62ED-10BD-406D-A73E-2CC7FA6A72B4}"/>
                </a:ext>
              </a:extLst>
            </xdr:cNvPr>
            <xdr:cNvSpPr txBox="1"/>
          </xdr:nvSpPr>
          <xdr:spPr>
            <a:xfrm>
              <a:off x="1563159" y="440446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9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A1E62ED-10BD-406D-A73E-2CC7FA6A72B4}"/>
                </a:ext>
              </a:extLst>
            </xdr:cNvPr>
            <xdr:cNvSpPr txBox="1"/>
          </xdr:nvSpPr>
          <xdr:spPr>
            <a:xfrm>
              <a:off x="1563159" y="440446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809626</xdr:colOff>
      <xdr:row>243</xdr:row>
      <xdr:rowOff>83342</xdr:rowOff>
    </xdr:from>
    <xdr:ext cx="1361393" cy="876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68BECC8E-5101-47C6-A9A2-FA3F4FDE3056}"/>
                </a:ext>
              </a:extLst>
            </xdr:cNvPr>
            <xdr:cNvSpPr txBox="1"/>
          </xdr:nvSpPr>
          <xdr:spPr>
            <a:xfrm>
              <a:off x="3495676" y="39621617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acc>
                                  <m:accPr>
                                    <m:chr m:val="̅"/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sSup>
                                      <m:sSupPr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  <m:sup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acc>
                              </m:num>
                              <m:den>
                                <m:sSub>
                                  <m:sSubPr>
                                    <m:ctrlP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𝑆</m:t>
                                    </m:r>
                                  </m:e>
                                  <m:sub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𝑥𝑥</m:t>
                                    </m:r>
                                  </m:sub>
                                </m:sSub>
                              </m:den>
                            </m:f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68BECC8E-5101-47C6-A9A2-FA3F4FDE3056}"/>
                </a:ext>
              </a:extLst>
            </xdr:cNvPr>
            <xdr:cNvSpPr txBox="1"/>
          </xdr:nvSpPr>
          <xdr:spPr>
            <a:xfrm>
              <a:off x="3495676" y="39621617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𝑇_0=(𝑎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𝑎_0)/(</a:t>
              </a:r>
              <a:r>
                <a:rPr lang="pt-PT" sz="1400" b="0" i="0">
                  <a:latin typeface="Cambria Math" panose="02040503050406030204" pitchFamily="18" charset="0"/>
                </a:rPr>
                <a:t>𝑆/√(1/𝑛+(𝑥^2 ) ̅/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6</xdr:col>
      <xdr:colOff>200026</xdr:colOff>
      <xdr:row>245</xdr:row>
      <xdr:rowOff>154782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A676E4BD-272A-4718-AECA-B0D8111E66AE}"/>
                </a:ext>
              </a:extLst>
            </xdr:cNvPr>
            <xdr:cNvSpPr txBox="1"/>
          </xdr:nvSpPr>
          <xdr:spPr>
            <a:xfrm>
              <a:off x="5162551" y="4001690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A676E4BD-272A-4718-AECA-B0D8111E66AE}"/>
                </a:ext>
              </a:extLst>
            </xdr:cNvPr>
            <xdr:cNvSpPr txBox="1"/>
          </xdr:nvSpPr>
          <xdr:spPr>
            <a:xfrm>
              <a:off x="5162551" y="4001690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264318</xdr:colOff>
      <xdr:row>263</xdr:row>
      <xdr:rowOff>145255</xdr:rowOff>
    </xdr:from>
    <xdr:ext cx="419100" cy="2262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7F807F9C-64E0-4520-870D-0B5D6D3021F2}"/>
                </a:ext>
              </a:extLst>
            </xdr:cNvPr>
            <xdr:cNvSpPr txBox="1"/>
          </xdr:nvSpPr>
          <xdr:spPr>
            <a:xfrm>
              <a:off x="5226843" y="42941080"/>
              <a:ext cx="419100" cy="2262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7F807F9C-64E0-4520-870D-0B5D6D3021F2}"/>
                </a:ext>
              </a:extLst>
            </xdr:cNvPr>
            <xdr:cNvSpPr txBox="1"/>
          </xdr:nvSpPr>
          <xdr:spPr>
            <a:xfrm>
              <a:off x="5226843" y="42941080"/>
              <a:ext cx="419100" cy="2262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95250</xdr:colOff>
      <xdr:row>264</xdr:row>
      <xdr:rowOff>107156</xdr:rowOff>
    </xdr:from>
    <xdr:ext cx="607219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9C6F6B67-745C-4565-B7D3-933C9B684FE0}"/>
                </a:ext>
              </a:extLst>
            </xdr:cNvPr>
            <xdr:cNvSpPr txBox="1"/>
          </xdr:nvSpPr>
          <xdr:spPr>
            <a:xfrm>
              <a:off x="1981200" y="43064906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10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9C6F6B67-745C-4565-B7D3-933C9B684FE0}"/>
                </a:ext>
              </a:extLst>
            </xdr:cNvPr>
            <xdr:cNvSpPr txBox="1"/>
          </xdr:nvSpPr>
          <xdr:spPr>
            <a:xfrm>
              <a:off x="1981200" y="43064906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oneCellAnchor>
    <xdr:from>
      <xdr:col>1</xdr:col>
      <xdr:colOff>881063</xdr:colOff>
      <xdr:row>246</xdr:row>
      <xdr:rowOff>95250</xdr:rowOff>
    </xdr:from>
    <xdr:ext cx="821532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95B7BFC-FA02-4238-881E-FC5F9F232ECA}"/>
                </a:ext>
              </a:extLst>
            </xdr:cNvPr>
            <xdr:cNvSpPr txBox="1"/>
          </xdr:nvSpPr>
          <xdr:spPr>
            <a:xfrm>
              <a:off x="1490663" y="40119300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acc>
                              <m:accPr>
                                <m:chr m:val="̅"/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sSup>
                                  <m:sSupPr>
                                    <m:ctrlP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e>
                                  <m:sup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acc>
                          </m:num>
                          <m:den>
                            <m:sSub>
                              <m:sSubPr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10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95B7BFC-FA02-4238-881E-FC5F9F232ECA}"/>
                </a:ext>
              </a:extLst>
            </xdr:cNvPr>
            <xdr:cNvSpPr txBox="1"/>
          </xdr:nvSpPr>
          <xdr:spPr>
            <a:xfrm>
              <a:off x="1490663" y="40119300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1/𝑛+(𝑥^2 ) ̅/𝑆_𝑥𝑥 </a:t>
              </a:r>
              <a:r>
                <a:rPr lang="pt-PT" sz="1200" b="0" i="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oneCellAnchor>
    <xdr:from>
      <xdr:col>3</xdr:col>
      <xdr:colOff>726283</xdr:colOff>
      <xdr:row>279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D1AB03BA-2803-485C-916A-969DD0D129A3}"/>
                </a:ext>
              </a:extLst>
            </xdr:cNvPr>
            <xdr:cNvSpPr txBox="1"/>
          </xdr:nvSpPr>
          <xdr:spPr>
            <a:xfrm>
              <a:off x="3498058" y="45536645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D1AB03BA-2803-485C-916A-969DD0D129A3}"/>
                </a:ext>
              </a:extLst>
            </xdr:cNvPr>
            <xdr:cNvSpPr txBox="1"/>
          </xdr:nvSpPr>
          <xdr:spPr>
            <a:xfrm>
              <a:off x="3498058" y="45536645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</xdr:col>
      <xdr:colOff>678656</xdr:colOff>
      <xdr:row>281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B5FAFCEC-EEE7-4F90-9ED3-D56B11E474B3}"/>
                </a:ext>
              </a:extLst>
            </xdr:cNvPr>
            <xdr:cNvSpPr txBox="1"/>
          </xdr:nvSpPr>
          <xdr:spPr>
            <a:xfrm>
              <a:off x="3450431" y="45836680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B5FAFCEC-EEE7-4F90-9ED3-D56B11E474B3}"/>
                </a:ext>
              </a:extLst>
            </xdr:cNvPr>
            <xdr:cNvSpPr txBox="1"/>
          </xdr:nvSpPr>
          <xdr:spPr>
            <a:xfrm>
              <a:off x="3450431" y="45836680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352425</xdr:colOff>
      <xdr:row>3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8606ACDE-E147-459C-AFD0-DBC06F5B155B}"/>
                </a:ext>
              </a:extLst>
            </xdr:cNvPr>
            <xdr:cNvSpPr txBox="1"/>
          </xdr:nvSpPr>
          <xdr:spPr>
            <a:xfrm>
              <a:off x="16068675" y="64769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8606ACDE-E147-459C-AFD0-DBC06F5B155B}"/>
                </a:ext>
              </a:extLst>
            </xdr:cNvPr>
            <xdr:cNvSpPr txBox="1"/>
          </xdr:nvSpPr>
          <xdr:spPr>
            <a:xfrm>
              <a:off x="16068675" y="647699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333375</xdr:colOff>
      <xdr:row>6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EC5409C9-45D7-4DB8-A5FD-925846859B4B}"/>
                </a:ext>
              </a:extLst>
            </xdr:cNvPr>
            <xdr:cNvSpPr txBox="1"/>
          </xdr:nvSpPr>
          <xdr:spPr>
            <a:xfrm>
              <a:off x="16049625" y="9715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EC5409C9-45D7-4DB8-A5FD-925846859B4B}"/>
                </a:ext>
              </a:extLst>
            </xdr:cNvPr>
            <xdr:cNvSpPr txBox="1"/>
          </xdr:nvSpPr>
          <xdr:spPr>
            <a:xfrm>
              <a:off x="16049625" y="97155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257175</xdr:colOff>
      <xdr:row>8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3D6ED3EE-3C1C-4FB1-8912-44835253DE2D}"/>
                </a:ext>
              </a:extLst>
            </xdr:cNvPr>
            <xdr:cNvSpPr txBox="1"/>
          </xdr:nvSpPr>
          <xdr:spPr>
            <a:xfrm>
              <a:off x="15973425" y="129540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3D6ED3EE-3C1C-4FB1-8912-44835253DE2D}"/>
                </a:ext>
              </a:extLst>
            </xdr:cNvPr>
            <xdr:cNvSpPr txBox="1"/>
          </xdr:nvSpPr>
          <xdr:spPr>
            <a:xfrm>
              <a:off x="15973425" y="1295400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28</xdr:col>
      <xdr:colOff>145258</xdr:colOff>
      <xdr:row>2</xdr:row>
      <xdr:rowOff>71438</xdr:rowOff>
    </xdr:from>
    <xdr:to>
      <xdr:col>31</xdr:col>
      <xdr:colOff>307182</xdr:colOff>
      <xdr:row>14</xdr:row>
      <xdr:rowOff>25470</xdr:rowOff>
    </xdr:to>
    <xdr:pic>
      <xdr:nvPicPr>
        <xdr:cNvPr id="107" name="Imagem 106" descr="Imagem">
          <a:extLst>
            <a:ext uri="{FF2B5EF4-FFF2-40B4-BE49-F238E27FC236}">
              <a16:creationId xmlns:a16="http://schemas.microsoft.com/office/drawing/2014/main" id="{E340DE49-7832-4567-B1DE-B1C02602F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19108" y="395288"/>
          <a:ext cx="1990724" cy="1897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488157</xdr:colOff>
      <xdr:row>14</xdr:row>
      <xdr:rowOff>30232</xdr:rowOff>
    </xdr:from>
    <xdr:to>
      <xdr:col>33</xdr:col>
      <xdr:colOff>345859</xdr:colOff>
      <xdr:row>20</xdr:row>
      <xdr:rowOff>149446</xdr:rowOff>
    </xdr:to>
    <xdr:pic>
      <xdr:nvPicPr>
        <xdr:cNvPr id="108" name="Imagem 107">
          <a:extLst>
            <a:ext uri="{FF2B5EF4-FFF2-40B4-BE49-F238E27FC236}">
              <a16:creationId xmlns:a16="http://schemas.microsoft.com/office/drawing/2014/main" id="{21DB217F-315A-4289-AA2A-CA545F3E2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2807" y="2316232"/>
          <a:ext cx="4124902" cy="1100289"/>
        </a:xfrm>
        <a:prstGeom prst="rect">
          <a:avLst/>
        </a:prstGeom>
      </xdr:spPr>
    </xdr:pic>
    <xdr:clientData/>
  </xdr:twoCellAnchor>
  <xdr:oneCellAnchor>
    <xdr:from>
      <xdr:col>22</xdr:col>
      <xdr:colOff>726283</xdr:colOff>
      <xdr:row>18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FEA3C12-FD92-4642-BD2A-8AC64F277433}"/>
                </a:ext>
              </a:extLst>
            </xdr:cNvPr>
            <xdr:cNvSpPr txBox="1"/>
          </xdr:nvSpPr>
          <xdr:spPr>
            <a:xfrm>
              <a:off x="16328233" y="3074195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FEA3C12-FD92-4642-BD2A-8AC64F277433}"/>
                </a:ext>
              </a:extLst>
            </xdr:cNvPr>
            <xdr:cNvSpPr txBox="1"/>
          </xdr:nvSpPr>
          <xdr:spPr>
            <a:xfrm>
              <a:off x="16328233" y="3074195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678656</xdr:colOff>
      <xdr:row>20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A16CAD61-233F-494D-958A-8F28DB143B3E}"/>
                </a:ext>
              </a:extLst>
            </xdr:cNvPr>
            <xdr:cNvSpPr txBox="1"/>
          </xdr:nvSpPr>
          <xdr:spPr>
            <a:xfrm>
              <a:off x="16328231" y="33837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A16CAD61-233F-494D-958A-8F28DB143B3E}"/>
                </a:ext>
              </a:extLst>
            </xdr:cNvPr>
            <xdr:cNvSpPr txBox="1"/>
          </xdr:nvSpPr>
          <xdr:spPr>
            <a:xfrm>
              <a:off x="16328231" y="33837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352425</xdr:colOff>
      <xdr:row>34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05DBC0B4-EAC1-4F00-9E44-28D2671BAF50}"/>
                </a:ext>
              </a:extLst>
            </xdr:cNvPr>
            <xdr:cNvSpPr txBox="1"/>
          </xdr:nvSpPr>
          <xdr:spPr>
            <a:xfrm>
              <a:off x="16068675" y="570547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05DBC0B4-EAC1-4F00-9E44-28D2671BAF50}"/>
                </a:ext>
              </a:extLst>
            </xdr:cNvPr>
            <xdr:cNvSpPr txBox="1"/>
          </xdr:nvSpPr>
          <xdr:spPr>
            <a:xfrm>
              <a:off x="16068675" y="570547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333375</xdr:colOff>
      <xdr:row>37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5873ABE1-07D0-4658-BA63-574F683177E2}"/>
                </a:ext>
              </a:extLst>
            </xdr:cNvPr>
            <xdr:cNvSpPr txBox="1"/>
          </xdr:nvSpPr>
          <xdr:spPr>
            <a:xfrm>
              <a:off x="16049625" y="60293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5873ABE1-07D0-4658-BA63-574F683177E2}"/>
                </a:ext>
              </a:extLst>
            </xdr:cNvPr>
            <xdr:cNvSpPr txBox="1"/>
          </xdr:nvSpPr>
          <xdr:spPr>
            <a:xfrm>
              <a:off x="16049625" y="60293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257175</xdr:colOff>
      <xdr:row>39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BC75EB77-1A3C-4D2C-8671-6B85629533A6}"/>
                </a:ext>
              </a:extLst>
            </xdr:cNvPr>
            <xdr:cNvSpPr txBox="1"/>
          </xdr:nvSpPr>
          <xdr:spPr>
            <a:xfrm>
              <a:off x="15973425" y="63531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BC75EB77-1A3C-4D2C-8671-6B85629533A6}"/>
                </a:ext>
              </a:extLst>
            </xdr:cNvPr>
            <xdr:cNvSpPr txBox="1"/>
          </xdr:nvSpPr>
          <xdr:spPr>
            <a:xfrm>
              <a:off x="15973425" y="63531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28</xdr:col>
      <xdr:colOff>145258</xdr:colOff>
      <xdr:row>33</xdr:row>
      <xdr:rowOff>71438</xdr:rowOff>
    </xdr:from>
    <xdr:ext cx="1998888" cy="1921625"/>
    <xdr:pic>
      <xdr:nvPicPr>
        <xdr:cNvPr id="114" name="Imagem 113" descr="Imagem">
          <a:extLst>
            <a:ext uri="{FF2B5EF4-FFF2-40B4-BE49-F238E27FC236}">
              <a16:creationId xmlns:a16="http://schemas.microsoft.com/office/drawing/2014/main" id="{FBE0D868-0BAB-4F4E-AF01-3042172FE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19108" y="5453063"/>
          <a:ext cx="1998888" cy="192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488157</xdr:colOff>
      <xdr:row>45</xdr:row>
      <xdr:rowOff>30232</xdr:rowOff>
    </xdr:from>
    <xdr:ext cx="4143952" cy="1116618"/>
    <xdr:pic>
      <xdr:nvPicPr>
        <xdr:cNvPr id="115" name="Imagem 114">
          <a:extLst>
            <a:ext uri="{FF2B5EF4-FFF2-40B4-BE49-F238E27FC236}">
              <a16:creationId xmlns:a16="http://schemas.microsoft.com/office/drawing/2014/main" id="{B3A6F6CE-4A47-4C71-8D09-CA5174A5A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2807" y="7374007"/>
          <a:ext cx="4143952" cy="1116618"/>
        </a:xfrm>
        <a:prstGeom prst="rect">
          <a:avLst/>
        </a:prstGeom>
      </xdr:spPr>
    </xdr:pic>
    <xdr:clientData/>
  </xdr:oneCellAnchor>
  <xdr:oneCellAnchor>
    <xdr:from>
      <xdr:col>22</xdr:col>
      <xdr:colOff>726283</xdr:colOff>
      <xdr:row>49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E477F4A6-F42F-4830-A99A-C3986DDD8E2C}"/>
                </a:ext>
              </a:extLst>
            </xdr:cNvPr>
            <xdr:cNvSpPr txBox="1"/>
          </xdr:nvSpPr>
          <xdr:spPr>
            <a:xfrm>
              <a:off x="16328233" y="813197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E477F4A6-F42F-4830-A99A-C3986DDD8E2C}"/>
                </a:ext>
              </a:extLst>
            </xdr:cNvPr>
            <xdr:cNvSpPr txBox="1"/>
          </xdr:nvSpPr>
          <xdr:spPr>
            <a:xfrm>
              <a:off x="16328233" y="813197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678656</xdr:colOff>
      <xdr:row>51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1CFFE551-1EDD-4C87-9FBA-9F3D4D373176}"/>
                </a:ext>
              </a:extLst>
            </xdr:cNvPr>
            <xdr:cNvSpPr txBox="1"/>
          </xdr:nvSpPr>
          <xdr:spPr>
            <a:xfrm>
              <a:off x="16328231" y="843200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1CFFE551-1EDD-4C87-9FBA-9F3D4D373176}"/>
                </a:ext>
              </a:extLst>
            </xdr:cNvPr>
            <xdr:cNvSpPr txBox="1"/>
          </xdr:nvSpPr>
          <xdr:spPr>
            <a:xfrm>
              <a:off x="16328231" y="843200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352425</xdr:colOff>
      <xdr:row>65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D4A13974-1DFB-4481-ACD0-1D79CD132E20}"/>
                </a:ext>
              </a:extLst>
            </xdr:cNvPr>
            <xdr:cNvSpPr txBox="1"/>
          </xdr:nvSpPr>
          <xdr:spPr>
            <a:xfrm>
              <a:off x="16068675" y="1075372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D4A13974-1DFB-4481-ACD0-1D79CD132E20}"/>
                </a:ext>
              </a:extLst>
            </xdr:cNvPr>
            <xdr:cNvSpPr txBox="1"/>
          </xdr:nvSpPr>
          <xdr:spPr>
            <a:xfrm>
              <a:off x="16068675" y="1075372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333375</xdr:colOff>
      <xdr:row>68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87176A8F-56D9-4263-9BBF-3B090DCDB8DE}"/>
                </a:ext>
              </a:extLst>
            </xdr:cNvPr>
            <xdr:cNvSpPr txBox="1"/>
          </xdr:nvSpPr>
          <xdr:spPr>
            <a:xfrm>
              <a:off x="16049625" y="110775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87176A8F-56D9-4263-9BBF-3B090DCDB8DE}"/>
                </a:ext>
              </a:extLst>
            </xdr:cNvPr>
            <xdr:cNvSpPr txBox="1"/>
          </xdr:nvSpPr>
          <xdr:spPr>
            <a:xfrm>
              <a:off x="16049625" y="110775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257175</xdr:colOff>
      <xdr:row>70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7EB20500-6E5E-4D3A-B178-1E8D7F64500E}"/>
                </a:ext>
              </a:extLst>
            </xdr:cNvPr>
            <xdr:cNvSpPr txBox="1"/>
          </xdr:nvSpPr>
          <xdr:spPr>
            <a:xfrm>
              <a:off x="15973425" y="114014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7EB20500-6E5E-4D3A-B178-1E8D7F64500E}"/>
                </a:ext>
              </a:extLst>
            </xdr:cNvPr>
            <xdr:cNvSpPr txBox="1"/>
          </xdr:nvSpPr>
          <xdr:spPr>
            <a:xfrm>
              <a:off x="15973425" y="114014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28</xdr:col>
      <xdr:colOff>145258</xdr:colOff>
      <xdr:row>64</xdr:row>
      <xdr:rowOff>71438</xdr:rowOff>
    </xdr:from>
    <xdr:ext cx="1998888" cy="1921625"/>
    <xdr:pic>
      <xdr:nvPicPr>
        <xdr:cNvPr id="121" name="Imagem 120" descr="Imagem">
          <a:extLst>
            <a:ext uri="{FF2B5EF4-FFF2-40B4-BE49-F238E27FC236}">
              <a16:creationId xmlns:a16="http://schemas.microsoft.com/office/drawing/2014/main" id="{9E0A689E-7D73-4D0E-8CE0-5B1B2D485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19108" y="10501313"/>
          <a:ext cx="1998888" cy="192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488157</xdr:colOff>
      <xdr:row>76</xdr:row>
      <xdr:rowOff>30232</xdr:rowOff>
    </xdr:from>
    <xdr:ext cx="4143952" cy="1116618"/>
    <xdr:pic>
      <xdr:nvPicPr>
        <xdr:cNvPr id="122" name="Imagem 121">
          <a:extLst>
            <a:ext uri="{FF2B5EF4-FFF2-40B4-BE49-F238E27FC236}">
              <a16:creationId xmlns:a16="http://schemas.microsoft.com/office/drawing/2014/main" id="{4E07AB5C-C374-408C-93BF-B5216501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2807" y="12422257"/>
          <a:ext cx="4143952" cy="1116618"/>
        </a:xfrm>
        <a:prstGeom prst="rect">
          <a:avLst/>
        </a:prstGeom>
      </xdr:spPr>
    </xdr:pic>
    <xdr:clientData/>
  </xdr:oneCellAnchor>
  <xdr:oneCellAnchor>
    <xdr:from>
      <xdr:col>22</xdr:col>
      <xdr:colOff>726283</xdr:colOff>
      <xdr:row>80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C467355B-32CC-43FA-BF96-C1CBF99F65AC}"/>
                </a:ext>
              </a:extLst>
            </xdr:cNvPr>
            <xdr:cNvSpPr txBox="1"/>
          </xdr:nvSpPr>
          <xdr:spPr>
            <a:xfrm>
              <a:off x="16328233" y="1318022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C467355B-32CC-43FA-BF96-C1CBF99F65AC}"/>
                </a:ext>
              </a:extLst>
            </xdr:cNvPr>
            <xdr:cNvSpPr txBox="1"/>
          </xdr:nvSpPr>
          <xdr:spPr>
            <a:xfrm>
              <a:off x="16328233" y="1318022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678656</xdr:colOff>
      <xdr:row>82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515EE2D7-9870-426E-8B27-D8093B440722}"/>
                </a:ext>
              </a:extLst>
            </xdr:cNvPr>
            <xdr:cNvSpPr txBox="1"/>
          </xdr:nvSpPr>
          <xdr:spPr>
            <a:xfrm>
              <a:off x="16328231" y="134802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515EE2D7-9870-426E-8B27-D8093B440722}"/>
                </a:ext>
              </a:extLst>
            </xdr:cNvPr>
            <xdr:cNvSpPr txBox="1"/>
          </xdr:nvSpPr>
          <xdr:spPr>
            <a:xfrm>
              <a:off x="16328231" y="134802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352425</xdr:colOff>
      <xdr:row>96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23206534-E351-4A93-918D-439FD7E4122F}"/>
                </a:ext>
              </a:extLst>
            </xdr:cNvPr>
            <xdr:cNvSpPr txBox="1"/>
          </xdr:nvSpPr>
          <xdr:spPr>
            <a:xfrm>
              <a:off x="16068675" y="1580197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23206534-E351-4A93-918D-439FD7E4122F}"/>
                </a:ext>
              </a:extLst>
            </xdr:cNvPr>
            <xdr:cNvSpPr txBox="1"/>
          </xdr:nvSpPr>
          <xdr:spPr>
            <a:xfrm>
              <a:off x="16068675" y="1580197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333375</xdr:colOff>
      <xdr:row>99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5F830AF2-31AF-4EC7-A142-A8EF68317BD5}"/>
                </a:ext>
              </a:extLst>
            </xdr:cNvPr>
            <xdr:cNvSpPr txBox="1"/>
          </xdr:nvSpPr>
          <xdr:spPr>
            <a:xfrm>
              <a:off x="16049625" y="161258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5F830AF2-31AF-4EC7-A142-A8EF68317BD5}"/>
                </a:ext>
              </a:extLst>
            </xdr:cNvPr>
            <xdr:cNvSpPr txBox="1"/>
          </xdr:nvSpPr>
          <xdr:spPr>
            <a:xfrm>
              <a:off x="16049625" y="161258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257175</xdr:colOff>
      <xdr:row>101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F0E085CD-4CD6-4D14-8CC1-1B05E3E8F88C}"/>
                </a:ext>
              </a:extLst>
            </xdr:cNvPr>
            <xdr:cNvSpPr txBox="1"/>
          </xdr:nvSpPr>
          <xdr:spPr>
            <a:xfrm>
              <a:off x="15973425" y="164496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F0E085CD-4CD6-4D14-8CC1-1B05E3E8F88C}"/>
                </a:ext>
              </a:extLst>
            </xdr:cNvPr>
            <xdr:cNvSpPr txBox="1"/>
          </xdr:nvSpPr>
          <xdr:spPr>
            <a:xfrm>
              <a:off x="15973425" y="164496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28</xdr:col>
      <xdr:colOff>145258</xdr:colOff>
      <xdr:row>95</xdr:row>
      <xdr:rowOff>71438</xdr:rowOff>
    </xdr:from>
    <xdr:ext cx="1998888" cy="1921625"/>
    <xdr:pic>
      <xdr:nvPicPr>
        <xdr:cNvPr id="128" name="Imagem 127" descr="Imagem">
          <a:extLst>
            <a:ext uri="{FF2B5EF4-FFF2-40B4-BE49-F238E27FC236}">
              <a16:creationId xmlns:a16="http://schemas.microsoft.com/office/drawing/2014/main" id="{73603632-C898-49AD-9F04-67CD2597C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19108" y="15549563"/>
          <a:ext cx="1998888" cy="192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488157</xdr:colOff>
      <xdr:row>107</xdr:row>
      <xdr:rowOff>30232</xdr:rowOff>
    </xdr:from>
    <xdr:ext cx="4143952" cy="1116618"/>
    <xdr:pic>
      <xdr:nvPicPr>
        <xdr:cNvPr id="129" name="Imagem 128">
          <a:extLst>
            <a:ext uri="{FF2B5EF4-FFF2-40B4-BE49-F238E27FC236}">
              <a16:creationId xmlns:a16="http://schemas.microsoft.com/office/drawing/2014/main" id="{F0A1CC1B-49A4-41C2-B609-AC6160BEA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2807" y="17470507"/>
          <a:ext cx="4143952" cy="1116618"/>
        </a:xfrm>
        <a:prstGeom prst="rect">
          <a:avLst/>
        </a:prstGeom>
      </xdr:spPr>
    </xdr:pic>
    <xdr:clientData/>
  </xdr:oneCellAnchor>
  <xdr:oneCellAnchor>
    <xdr:from>
      <xdr:col>22</xdr:col>
      <xdr:colOff>726283</xdr:colOff>
      <xdr:row>111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E18722E4-9DCB-49AD-8FFE-28F6B1375AD2}"/>
                </a:ext>
              </a:extLst>
            </xdr:cNvPr>
            <xdr:cNvSpPr txBox="1"/>
          </xdr:nvSpPr>
          <xdr:spPr>
            <a:xfrm>
              <a:off x="16328233" y="1822847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E18722E4-9DCB-49AD-8FFE-28F6B1375AD2}"/>
                </a:ext>
              </a:extLst>
            </xdr:cNvPr>
            <xdr:cNvSpPr txBox="1"/>
          </xdr:nvSpPr>
          <xdr:spPr>
            <a:xfrm>
              <a:off x="16328233" y="1822847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678656</xdr:colOff>
      <xdr:row>113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8E9C7E3E-4A3A-48CA-AE8A-964D7D7081D7}"/>
                </a:ext>
              </a:extLst>
            </xdr:cNvPr>
            <xdr:cNvSpPr txBox="1"/>
          </xdr:nvSpPr>
          <xdr:spPr>
            <a:xfrm>
              <a:off x="16328231" y="1852850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8E9C7E3E-4A3A-48CA-AE8A-964D7D7081D7}"/>
                </a:ext>
              </a:extLst>
            </xdr:cNvPr>
            <xdr:cNvSpPr txBox="1"/>
          </xdr:nvSpPr>
          <xdr:spPr>
            <a:xfrm>
              <a:off x="16328231" y="1852850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352425</xdr:colOff>
      <xdr:row>127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68FBB97A-BCD4-424D-9DA0-05730AC300FE}"/>
                </a:ext>
              </a:extLst>
            </xdr:cNvPr>
            <xdr:cNvSpPr txBox="1"/>
          </xdr:nvSpPr>
          <xdr:spPr>
            <a:xfrm>
              <a:off x="16068675" y="2085022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68FBB97A-BCD4-424D-9DA0-05730AC300FE}"/>
                </a:ext>
              </a:extLst>
            </xdr:cNvPr>
            <xdr:cNvSpPr txBox="1"/>
          </xdr:nvSpPr>
          <xdr:spPr>
            <a:xfrm>
              <a:off x="16068675" y="2085022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333375</xdr:colOff>
      <xdr:row>130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8C6D6274-77B2-4585-9A32-6675E07D15C9}"/>
                </a:ext>
              </a:extLst>
            </xdr:cNvPr>
            <xdr:cNvSpPr txBox="1"/>
          </xdr:nvSpPr>
          <xdr:spPr>
            <a:xfrm>
              <a:off x="16049625" y="211740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8C6D6274-77B2-4585-9A32-6675E07D15C9}"/>
                </a:ext>
              </a:extLst>
            </xdr:cNvPr>
            <xdr:cNvSpPr txBox="1"/>
          </xdr:nvSpPr>
          <xdr:spPr>
            <a:xfrm>
              <a:off x="16049625" y="211740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257175</xdr:colOff>
      <xdr:row>132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098E67F-E412-4653-A443-7E3A6624B426}"/>
                </a:ext>
              </a:extLst>
            </xdr:cNvPr>
            <xdr:cNvSpPr txBox="1"/>
          </xdr:nvSpPr>
          <xdr:spPr>
            <a:xfrm>
              <a:off x="15973425" y="214979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098E67F-E412-4653-A443-7E3A6624B426}"/>
                </a:ext>
              </a:extLst>
            </xdr:cNvPr>
            <xdr:cNvSpPr txBox="1"/>
          </xdr:nvSpPr>
          <xdr:spPr>
            <a:xfrm>
              <a:off x="15973425" y="214979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28</xdr:col>
      <xdr:colOff>145258</xdr:colOff>
      <xdr:row>126</xdr:row>
      <xdr:rowOff>71438</xdr:rowOff>
    </xdr:from>
    <xdr:ext cx="1998888" cy="1921625"/>
    <xdr:pic>
      <xdr:nvPicPr>
        <xdr:cNvPr id="135" name="Imagem 134" descr="Imagem">
          <a:extLst>
            <a:ext uri="{FF2B5EF4-FFF2-40B4-BE49-F238E27FC236}">
              <a16:creationId xmlns:a16="http://schemas.microsoft.com/office/drawing/2014/main" id="{9036D672-F7D7-4746-9B45-261D49F51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19108" y="20597813"/>
          <a:ext cx="1998888" cy="192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488157</xdr:colOff>
      <xdr:row>138</xdr:row>
      <xdr:rowOff>30232</xdr:rowOff>
    </xdr:from>
    <xdr:ext cx="4143952" cy="1116618"/>
    <xdr:pic>
      <xdr:nvPicPr>
        <xdr:cNvPr id="136" name="Imagem 135">
          <a:extLst>
            <a:ext uri="{FF2B5EF4-FFF2-40B4-BE49-F238E27FC236}">
              <a16:creationId xmlns:a16="http://schemas.microsoft.com/office/drawing/2014/main" id="{7DA99BBC-1EAB-4630-AEDE-1665620EF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2807" y="22518757"/>
          <a:ext cx="4143952" cy="1116618"/>
        </a:xfrm>
        <a:prstGeom prst="rect">
          <a:avLst/>
        </a:prstGeom>
      </xdr:spPr>
    </xdr:pic>
    <xdr:clientData/>
  </xdr:oneCellAnchor>
  <xdr:oneCellAnchor>
    <xdr:from>
      <xdr:col>22</xdr:col>
      <xdr:colOff>726283</xdr:colOff>
      <xdr:row>142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238734E-242F-4403-8CE8-523C30B58ECC}"/>
                </a:ext>
              </a:extLst>
            </xdr:cNvPr>
            <xdr:cNvSpPr txBox="1"/>
          </xdr:nvSpPr>
          <xdr:spPr>
            <a:xfrm>
              <a:off x="16328233" y="2327672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238734E-242F-4403-8CE8-523C30B58ECC}"/>
                </a:ext>
              </a:extLst>
            </xdr:cNvPr>
            <xdr:cNvSpPr txBox="1"/>
          </xdr:nvSpPr>
          <xdr:spPr>
            <a:xfrm>
              <a:off x="16328233" y="2327672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678656</xdr:colOff>
      <xdr:row>144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13671FE6-DA3F-4B2E-8A6B-B26CFEA895E9}"/>
                </a:ext>
              </a:extLst>
            </xdr:cNvPr>
            <xdr:cNvSpPr txBox="1"/>
          </xdr:nvSpPr>
          <xdr:spPr>
            <a:xfrm>
              <a:off x="16328231" y="235767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13671FE6-DA3F-4B2E-8A6B-B26CFEA895E9}"/>
                </a:ext>
              </a:extLst>
            </xdr:cNvPr>
            <xdr:cNvSpPr txBox="1"/>
          </xdr:nvSpPr>
          <xdr:spPr>
            <a:xfrm>
              <a:off x="16328231" y="2357675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352425</xdr:colOff>
      <xdr:row>158</xdr:row>
      <xdr:rowOff>161924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6C56C881-BC4F-4FC4-B2E7-84B9857F8420}"/>
                </a:ext>
              </a:extLst>
            </xdr:cNvPr>
            <xdr:cNvSpPr txBox="1"/>
          </xdr:nvSpPr>
          <xdr:spPr>
            <a:xfrm>
              <a:off x="16068675" y="2589847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6C56C881-BC4F-4FC4-B2E7-84B9857F8420}"/>
                </a:ext>
              </a:extLst>
            </xdr:cNvPr>
            <xdr:cNvSpPr txBox="1"/>
          </xdr:nvSpPr>
          <xdr:spPr>
            <a:xfrm>
              <a:off x="16068675" y="25898474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333375</xdr:colOff>
      <xdr:row>161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198C1152-1C5A-4F5A-93EC-A6F4B2F108BB}"/>
                </a:ext>
              </a:extLst>
            </xdr:cNvPr>
            <xdr:cNvSpPr txBox="1"/>
          </xdr:nvSpPr>
          <xdr:spPr>
            <a:xfrm>
              <a:off x="16049625" y="262223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198C1152-1C5A-4F5A-93EC-A6F4B2F108BB}"/>
                </a:ext>
              </a:extLst>
            </xdr:cNvPr>
            <xdr:cNvSpPr txBox="1"/>
          </xdr:nvSpPr>
          <xdr:spPr>
            <a:xfrm>
              <a:off x="16049625" y="2622232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22</xdr:col>
      <xdr:colOff>257175</xdr:colOff>
      <xdr:row>163</xdr:row>
      <xdr:rowOff>0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EF60F766-C898-4C60-82A7-9D249F450362}"/>
                </a:ext>
              </a:extLst>
            </xdr:cNvPr>
            <xdr:cNvSpPr txBox="1"/>
          </xdr:nvSpPr>
          <xdr:spPr>
            <a:xfrm>
              <a:off x="15973425" y="265461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EF60F766-C898-4C60-82A7-9D249F450362}"/>
                </a:ext>
              </a:extLst>
            </xdr:cNvPr>
            <xdr:cNvSpPr txBox="1"/>
          </xdr:nvSpPr>
          <xdr:spPr>
            <a:xfrm>
              <a:off x="15973425" y="26546175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𝑝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28</xdr:col>
      <xdr:colOff>145258</xdr:colOff>
      <xdr:row>157</xdr:row>
      <xdr:rowOff>71438</xdr:rowOff>
    </xdr:from>
    <xdr:ext cx="1998888" cy="1921625"/>
    <xdr:pic>
      <xdr:nvPicPr>
        <xdr:cNvPr id="142" name="Imagem 141" descr="Imagem">
          <a:extLst>
            <a:ext uri="{FF2B5EF4-FFF2-40B4-BE49-F238E27FC236}">
              <a16:creationId xmlns:a16="http://schemas.microsoft.com/office/drawing/2014/main" id="{402306A4-4867-46BA-B9A7-E436D1788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19108" y="25646063"/>
          <a:ext cx="1998888" cy="192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488157</xdr:colOff>
      <xdr:row>169</xdr:row>
      <xdr:rowOff>30232</xdr:rowOff>
    </xdr:from>
    <xdr:ext cx="4143952" cy="1116618"/>
    <xdr:pic>
      <xdr:nvPicPr>
        <xdr:cNvPr id="143" name="Imagem 142">
          <a:extLst>
            <a:ext uri="{FF2B5EF4-FFF2-40B4-BE49-F238E27FC236}">
              <a16:creationId xmlns:a16="http://schemas.microsoft.com/office/drawing/2014/main" id="{8B9B405F-72A5-4814-B8A2-73B87012F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2807" y="27567007"/>
          <a:ext cx="4143952" cy="1116618"/>
        </a:xfrm>
        <a:prstGeom prst="rect">
          <a:avLst/>
        </a:prstGeom>
      </xdr:spPr>
    </xdr:pic>
    <xdr:clientData/>
  </xdr:oneCellAnchor>
  <xdr:oneCellAnchor>
    <xdr:from>
      <xdr:col>22</xdr:col>
      <xdr:colOff>726283</xdr:colOff>
      <xdr:row>173</xdr:row>
      <xdr:rowOff>130970</xdr:rowOff>
    </xdr:from>
    <xdr:ext cx="114299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8AA332C2-BFD6-4036-84FA-64BB08F19A45}"/>
                </a:ext>
              </a:extLst>
            </xdr:cNvPr>
            <xdr:cNvSpPr txBox="1"/>
          </xdr:nvSpPr>
          <xdr:spPr>
            <a:xfrm>
              <a:off x="16328233" y="2832497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8AA332C2-BFD6-4036-84FA-64BB08F19A45}"/>
                </a:ext>
              </a:extLst>
            </xdr:cNvPr>
            <xdr:cNvSpPr txBox="1"/>
          </xdr:nvSpPr>
          <xdr:spPr>
            <a:xfrm>
              <a:off x="16328233" y="28324970"/>
              <a:ext cx="114299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𝐻𝑜:𝑏=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22</xdr:col>
      <xdr:colOff>678656</xdr:colOff>
      <xdr:row>175</xdr:row>
      <xdr:rowOff>107155</xdr:rowOff>
    </xdr:from>
    <xdr:ext cx="1190625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2ED19C82-4B81-4A1C-A156-8179C5ECEAD0}"/>
                </a:ext>
              </a:extLst>
            </xdr:cNvPr>
            <xdr:cNvSpPr txBox="1"/>
          </xdr:nvSpPr>
          <xdr:spPr>
            <a:xfrm>
              <a:off x="16328231" y="2862500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2ED19C82-4B81-4A1C-A156-8179C5ECEAD0}"/>
                </a:ext>
              </a:extLst>
            </xdr:cNvPr>
            <xdr:cNvSpPr txBox="1"/>
          </xdr:nvSpPr>
          <xdr:spPr>
            <a:xfrm>
              <a:off x="16328231" y="28625005"/>
              <a:ext cx="1190625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</a:t>
              </a:r>
              <a:endParaRPr lang="pt-PT" sz="1600"/>
            </a:p>
          </xdr:txBody>
        </xdr:sp>
      </mc:Fallback>
    </mc:AlternateContent>
    <xdr:clientData/>
  </xdr:oneCellAnchor>
  <xdr:twoCellAnchor editAs="oneCell">
    <xdr:from>
      <xdr:col>20</xdr:col>
      <xdr:colOff>316366</xdr:colOff>
      <xdr:row>224</xdr:row>
      <xdr:rowOff>22111</xdr:rowOff>
    </xdr:from>
    <xdr:to>
      <xdr:col>26</xdr:col>
      <xdr:colOff>141998</xdr:colOff>
      <xdr:row>228</xdr:row>
      <xdr:rowOff>26282</xdr:rowOff>
    </xdr:to>
    <xdr:pic>
      <xdr:nvPicPr>
        <xdr:cNvPr id="146" name="Imagem 145">
          <a:extLst>
            <a:ext uri="{FF2B5EF4-FFF2-40B4-BE49-F238E27FC236}">
              <a16:creationId xmlns:a16="http://schemas.microsoft.com/office/drawing/2014/main" id="{BE5C0596-CDC6-43A8-BE5C-1440AB6AE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84816" y="36540961"/>
          <a:ext cx="3483232" cy="651871"/>
        </a:xfrm>
        <a:prstGeom prst="rect">
          <a:avLst/>
        </a:prstGeom>
      </xdr:spPr>
    </xdr:pic>
    <xdr:clientData/>
  </xdr:twoCellAnchor>
  <xdr:twoCellAnchor editAs="oneCell">
    <xdr:from>
      <xdr:col>21</xdr:col>
      <xdr:colOff>73137</xdr:colOff>
      <xdr:row>234</xdr:row>
      <xdr:rowOff>112259</xdr:rowOff>
    </xdr:from>
    <xdr:to>
      <xdr:col>30</xdr:col>
      <xdr:colOff>8579</xdr:colOff>
      <xdr:row>238</xdr:row>
      <xdr:rowOff>140931</xdr:rowOff>
    </xdr:to>
    <xdr:pic>
      <xdr:nvPicPr>
        <xdr:cNvPr id="147" name="Imagem 146">
          <a:extLst>
            <a:ext uri="{FF2B5EF4-FFF2-40B4-BE49-F238E27FC236}">
              <a16:creationId xmlns:a16="http://schemas.microsoft.com/office/drawing/2014/main" id="{D6282B15-2844-4297-B75F-5644F1028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951187" y="38307509"/>
          <a:ext cx="5421842" cy="676372"/>
        </a:xfrm>
        <a:prstGeom prst="rect">
          <a:avLst/>
        </a:prstGeom>
      </xdr:spPr>
    </xdr:pic>
    <xdr:clientData/>
  </xdr:twoCellAnchor>
  <xdr:oneCellAnchor>
    <xdr:from>
      <xdr:col>11</xdr:col>
      <xdr:colOff>953559</xdr:colOff>
      <xdr:row>208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E5CEAF7-EC55-4DF0-B9B9-F29AD2DBA38A}"/>
                </a:ext>
              </a:extLst>
            </xdr:cNvPr>
            <xdr:cNvSpPr txBox="1"/>
          </xdr:nvSpPr>
          <xdr:spPr>
            <a:xfrm>
              <a:off x="9164109" y="340053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3E5CEAF7-EC55-4DF0-B9B9-F29AD2DBA38A}"/>
                </a:ext>
              </a:extLst>
            </xdr:cNvPr>
            <xdr:cNvSpPr txBox="1"/>
          </xdr:nvSpPr>
          <xdr:spPr>
            <a:xfrm>
              <a:off x="9164109" y="340053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628650</xdr:colOff>
      <xdr:row>207</xdr:row>
      <xdr:rowOff>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247CC3E5-88E0-48EA-9C4B-89D1FD10914D}"/>
                </a:ext>
              </a:extLst>
            </xdr:cNvPr>
            <xdr:cNvSpPr txBox="1"/>
          </xdr:nvSpPr>
          <xdr:spPr>
            <a:xfrm>
              <a:off x="11220450" y="3372802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247CC3E5-88E0-48EA-9C4B-89D1FD10914D}"/>
                </a:ext>
              </a:extLst>
            </xdr:cNvPr>
            <xdr:cNvSpPr txBox="1"/>
          </xdr:nvSpPr>
          <xdr:spPr>
            <a:xfrm>
              <a:off x="11220450" y="3372802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215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5A4AEEF-098D-4247-9CEB-45CD026BD926}"/>
                </a:ext>
              </a:extLst>
            </xdr:cNvPr>
            <xdr:cNvSpPr txBox="1"/>
          </xdr:nvSpPr>
          <xdr:spPr>
            <a:xfrm>
              <a:off x="9164109" y="351578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5A4AEEF-098D-4247-9CEB-45CD026BD926}"/>
                </a:ext>
              </a:extLst>
            </xdr:cNvPr>
            <xdr:cNvSpPr txBox="1"/>
          </xdr:nvSpPr>
          <xdr:spPr>
            <a:xfrm>
              <a:off x="9164109" y="351578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57150</xdr:colOff>
      <xdr:row>213</xdr:row>
      <xdr:rowOff>152400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7CBCADC-72F6-414F-96B6-ED3583BB29C4}"/>
                </a:ext>
              </a:extLst>
            </xdr:cNvPr>
            <xdr:cNvSpPr txBox="1"/>
          </xdr:nvSpPr>
          <xdr:spPr>
            <a:xfrm>
              <a:off x="11277600" y="34861500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7CBCADC-72F6-414F-96B6-ED3583BB29C4}"/>
                </a:ext>
              </a:extLst>
            </xdr:cNvPr>
            <xdr:cNvSpPr txBox="1"/>
          </xdr:nvSpPr>
          <xdr:spPr>
            <a:xfrm>
              <a:off x="11277600" y="34861500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224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1066FD2-EB16-4D2A-B962-4384E00D447E}"/>
                </a:ext>
              </a:extLst>
            </xdr:cNvPr>
            <xdr:cNvSpPr txBox="1"/>
          </xdr:nvSpPr>
          <xdr:spPr>
            <a:xfrm>
              <a:off x="9164109" y="366342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B1066FD2-EB16-4D2A-B962-4384E00D447E}"/>
                </a:ext>
              </a:extLst>
            </xdr:cNvPr>
            <xdr:cNvSpPr txBox="1"/>
          </xdr:nvSpPr>
          <xdr:spPr>
            <a:xfrm>
              <a:off x="9164109" y="366342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426244</xdr:colOff>
      <xdr:row>223</xdr:row>
      <xdr:rowOff>11906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F18A56A-BEF2-4A0F-AB8C-A79D0B84FF36}"/>
                </a:ext>
              </a:extLst>
            </xdr:cNvPr>
            <xdr:cNvSpPr txBox="1"/>
          </xdr:nvSpPr>
          <xdr:spPr>
            <a:xfrm>
              <a:off x="11037094" y="36368831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3F18A56A-BEF2-4A0F-AB8C-A79D0B84FF36}"/>
                </a:ext>
              </a:extLst>
            </xdr:cNvPr>
            <xdr:cNvSpPr txBox="1"/>
          </xdr:nvSpPr>
          <xdr:spPr>
            <a:xfrm>
              <a:off x="11037094" y="36368831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234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F1B02CF-01EB-452C-B7B4-382CD98E147B}"/>
                </a:ext>
              </a:extLst>
            </xdr:cNvPr>
            <xdr:cNvSpPr txBox="1"/>
          </xdr:nvSpPr>
          <xdr:spPr>
            <a:xfrm>
              <a:off x="9164109" y="383106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F1B02CF-01EB-452C-B7B4-382CD98E147B}"/>
                </a:ext>
              </a:extLst>
            </xdr:cNvPr>
            <xdr:cNvSpPr txBox="1"/>
          </xdr:nvSpPr>
          <xdr:spPr>
            <a:xfrm>
              <a:off x="9164109" y="383106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197644</xdr:colOff>
      <xdr:row>233</xdr:row>
      <xdr:rowOff>2381</xdr:rowOff>
    </xdr:from>
    <xdr:ext cx="1323974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DBA9F95-4F95-4EF7-8816-74E3A3A89CDA}"/>
                </a:ext>
              </a:extLst>
            </xdr:cNvPr>
            <xdr:cNvSpPr txBox="1"/>
          </xdr:nvSpPr>
          <xdr:spPr>
            <a:xfrm>
              <a:off x="10808494" y="38035706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1+</m:t>
                        </m:r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DBA9F95-4F95-4EF7-8816-74E3A3A89CDA}"/>
                </a:ext>
              </a:extLst>
            </xdr:cNvPr>
            <xdr:cNvSpPr txBox="1"/>
          </xdr:nvSpPr>
          <xdr:spPr>
            <a:xfrm>
              <a:off x="10808494" y="38035706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1+1/𝑛+(𝑥0−𝑥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212913</xdr:colOff>
      <xdr:row>243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53A8640E-6F31-4233-8A58-085857BC4DFF}"/>
                </a:ext>
              </a:extLst>
            </xdr:cNvPr>
            <xdr:cNvSpPr txBox="1"/>
          </xdr:nvSpPr>
          <xdr:spPr>
            <a:xfrm>
              <a:off x="9985563" y="398105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53A8640E-6F31-4233-8A58-085857BC4DFF}"/>
                </a:ext>
              </a:extLst>
            </xdr:cNvPr>
            <xdr:cNvSpPr txBox="1"/>
          </xdr:nvSpPr>
          <xdr:spPr>
            <a:xfrm>
              <a:off x="9985563" y="398105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𝐻0:𝑎=0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245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8D0A645C-728F-448B-BFD6-5C97E43E5D8E}"/>
                </a:ext>
              </a:extLst>
            </xdr:cNvPr>
            <xdr:cNvSpPr txBox="1"/>
          </xdr:nvSpPr>
          <xdr:spPr>
            <a:xfrm>
              <a:off x="9996767" y="401568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8D0A645C-728F-448B-BFD6-5C97E43E5D8E}"/>
                </a:ext>
              </a:extLst>
            </xdr:cNvPr>
            <xdr:cNvSpPr txBox="1"/>
          </xdr:nvSpPr>
          <xdr:spPr>
            <a:xfrm>
              <a:off x="9996767" y="401568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𝐻1:𝑎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18</xdr:col>
      <xdr:colOff>571500</xdr:colOff>
      <xdr:row>245</xdr:row>
      <xdr:rowOff>145675</xdr:rowOff>
    </xdr:from>
    <xdr:ext cx="65" cy="172227"/>
    <xdr:sp macro="" textlink="">
      <xdr:nvSpPr>
        <xdr:cNvPr id="158" name="CaixaDeTexto 157">
          <a:extLst>
            <a:ext uri="{FF2B5EF4-FFF2-40B4-BE49-F238E27FC236}">
              <a16:creationId xmlns:a16="http://schemas.microsoft.com/office/drawing/2014/main" id="{CD1CB919-7A3B-4453-8FD0-9A53550714C0}"/>
            </a:ext>
          </a:extLst>
        </xdr:cNvPr>
        <xdr:cNvSpPr txBox="1"/>
      </xdr:nvSpPr>
      <xdr:spPr>
        <a:xfrm>
          <a:off x="13620750" y="401792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t-PT" sz="1100"/>
        </a:p>
      </xdr:txBody>
    </xdr:sp>
    <xdr:clientData/>
  </xdr:oneCellAnchor>
  <xdr:oneCellAnchor>
    <xdr:from>
      <xdr:col>13</xdr:col>
      <xdr:colOff>953559</xdr:colOff>
      <xdr:row>252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E8ADEED-CCF0-4688-BD31-FFA8F235CA7B}"/>
                </a:ext>
              </a:extLst>
            </xdr:cNvPr>
            <xdr:cNvSpPr txBox="1"/>
          </xdr:nvSpPr>
          <xdr:spPr>
            <a:xfrm>
              <a:off x="10611909" y="412824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E8ADEED-CCF0-4688-BD31-FFA8F235CA7B}"/>
                </a:ext>
              </a:extLst>
            </xdr:cNvPr>
            <xdr:cNvSpPr txBox="1"/>
          </xdr:nvSpPr>
          <xdr:spPr>
            <a:xfrm>
              <a:off x="10611909" y="412824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809626</xdr:colOff>
      <xdr:row>243</xdr:row>
      <xdr:rowOff>83342</xdr:rowOff>
    </xdr:from>
    <xdr:ext cx="1361393" cy="876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9A3ACAE1-B323-495C-84AF-B392CF24ABAB}"/>
                </a:ext>
              </a:extLst>
            </xdr:cNvPr>
            <xdr:cNvSpPr txBox="1"/>
          </xdr:nvSpPr>
          <xdr:spPr>
            <a:xfrm>
              <a:off x="11830051" y="39793067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acc>
                                  <m:accPr>
                                    <m:chr m:val="̅"/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sSup>
                                      <m:sSupPr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  <m:sup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acc>
                              </m:num>
                              <m:den>
                                <m:sSub>
                                  <m:sSubPr>
                                    <m:ctrlP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𝑆</m:t>
                                    </m:r>
                                  </m:e>
                                  <m:sub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𝑥𝑥</m:t>
                                    </m:r>
                                  </m:sub>
                                </m:sSub>
                              </m:den>
                            </m:f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9A3ACAE1-B323-495C-84AF-B392CF24ABAB}"/>
                </a:ext>
              </a:extLst>
            </xdr:cNvPr>
            <xdr:cNvSpPr txBox="1"/>
          </xdr:nvSpPr>
          <xdr:spPr>
            <a:xfrm>
              <a:off x="11830051" y="39793067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𝑇_0=(𝑎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𝑎_0)/(</a:t>
              </a:r>
              <a:r>
                <a:rPr lang="pt-PT" sz="1400" b="0" i="0">
                  <a:latin typeface="Cambria Math" panose="02040503050406030204" pitchFamily="18" charset="0"/>
                </a:rPr>
                <a:t>𝑆/√(1/𝑛+(𝑥^2 ) ̅/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200026</xdr:colOff>
      <xdr:row>245</xdr:row>
      <xdr:rowOff>154782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C6FBF52F-94EC-400C-BB10-03BB9746E8A4}"/>
                </a:ext>
              </a:extLst>
            </xdr:cNvPr>
            <xdr:cNvSpPr txBox="1"/>
          </xdr:nvSpPr>
          <xdr:spPr>
            <a:xfrm>
              <a:off x="13249276" y="4018835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C6FBF52F-94EC-400C-BB10-03BB9746E8A4}"/>
                </a:ext>
              </a:extLst>
            </xdr:cNvPr>
            <xdr:cNvSpPr txBox="1"/>
          </xdr:nvSpPr>
          <xdr:spPr>
            <a:xfrm>
              <a:off x="13249276" y="4018835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881063</xdr:colOff>
      <xdr:row>246</xdr:row>
      <xdr:rowOff>95250</xdr:rowOff>
    </xdr:from>
    <xdr:ext cx="821532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8F2EE92-4717-47FD-BE52-742560D1A7EA}"/>
                </a:ext>
              </a:extLst>
            </xdr:cNvPr>
            <xdr:cNvSpPr txBox="1"/>
          </xdr:nvSpPr>
          <xdr:spPr>
            <a:xfrm>
              <a:off x="10606088" y="40290750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acc>
                              <m:accPr>
                                <m:chr m:val="̅"/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sSup>
                                  <m:sSupPr>
                                    <m:ctrlP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e>
                                  <m:sup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acc>
                          </m:num>
                          <m:den>
                            <m:sSub>
                              <m:sSubPr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16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8F2EE92-4717-47FD-BE52-742560D1A7EA}"/>
                </a:ext>
              </a:extLst>
            </xdr:cNvPr>
            <xdr:cNvSpPr txBox="1"/>
          </xdr:nvSpPr>
          <xdr:spPr>
            <a:xfrm>
              <a:off x="10606088" y="40290750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1/𝑛+(𝑥^2 ) ̅/𝑆_𝑥𝑥 </a:t>
              </a:r>
              <a:r>
                <a:rPr lang="pt-PT" sz="1200" b="0" i="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oneCellAnchor>
    <xdr:from>
      <xdr:col>13</xdr:col>
      <xdr:colOff>212913</xdr:colOff>
      <xdr:row>261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47CB4009-23D5-4AEE-AFA7-AFE55A867D46}"/>
                </a:ext>
              </a:extLst>
            </xdr:cNvPr>
            <xdr:cNvSpPr txBox="1"/>
          </xdr:nvSpPr>
          <xdr:spPr>
            <a:xfrm>
              <a:off x="9985563" y="427442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47CB4009-23D5-4AEE-AFA7-AFE55A867D46}"/>
                </a:ext>
              </a:extLst>
            </xdr:cNvPr>
            <xdr:cNvSpPr txBox="1"/>
          </xdr:nvSpPr>
          <xdr:spPr>
            <a:xfrm>
              <a:off x="9985563" y="427442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𝐻0:𝑏=0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263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F35064B5-BF85-49B5-B91A-248006357CAB}"/>
                </a:ext>
              </a:extLst>
            </xdr:cNvPr>
            <xdr:cNvSpPr txBox="1"/>
          </xdr:nvSpPr>
          <xdr:spPr>
            <a:xfrm>
              <a:off x="9996767" y="430905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F35064B5-BF85-49B5-B91A-248006357CAB}"/>
                </a:ext>
              </a:extLst>
            </xdr:cNvPr>
            <xdr:cNvSpPr txBox="1"/>
          </xdr:nvSpPr>
          <xdr:spPr>
            <a:xfrm>
              <a:off x="9996767" y="430905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112058</xdr:colOff>
      <xdr:row>261</xdr:row>
      <xdr:rowOff>91889</xdr:rowOff>
    </xdr:from>
    <xdr:ext cx="1361393" cy="549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F3FAB04A-EC14-4C3B-89F5-6640B5C91691}"/>
                </a:ext>
              </a:extLst>
            </xdr:cNvPr>
            <xdr:cNvSpPr txBox="1"/>
          </xdr:nvSpPr>
          <xdr:spPr>
            <a:xfrm>
              <a:off x="11332508" y="42735314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F3FAB04A-EC14-4C3B-89F5-6640B5C91691}"/>
                </a:ext>
              </a:extLst>
            </xdr:cNvPr>
            <xdr:cNvSpPr txBox="1"/>
          </xdr:nvSpPr>
          <xdr:spPr>
            <a:xfrm>
              <a:off x="11332508" y="42735314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𝑇_0=(𝑏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𝑏_0)/(</a:t>
              </a:r>
              <a:r>
                <a:rPr lang="pt-PT" sz="1400" b="0" i="0">
                  <a:latin typeface="Cambria Math" panose="02040503050406030204" pitchFamily="18" charset="0"/>
                </a:rPr>
                <a:t>𝑆/√(𝑆_𝑥𝑥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953559</xdr:colOff>
      <xdr:row>270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64BA123-477C-41B7-A90C-82ED26C99068}"/>
                </a:ext>
              </a:extLst>
            </xdr:cNvPr>
            <xdr:cNvSpPr txBox="1"/>
          </xdr:nvSpPr>
          <xdr:spPr>
            <a:xfrm>
              <a:off x="10611909" y="442161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64BA123-477C-41B7-A90C-82ED26C99068}"/>
                </a:ext>
              </a:extLst>
            </xdr:cNvPr>
            <xdr:cNvSpPr txBox="1"/>
          </xdr:nvSpPr>
          <xdr:spPr>
            <a:xfrm>
              <a:off x="10611909" y="442161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18</xdr:col>
      <xdr:colOff>264318</xdr:colOff>
      <xdr:row>263</xdr:row>
      <xdr:rowOff>145255</xdr:rowOff>
    </xdr:from>
    <xdr:ext cx="419100" cy="2262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775FED2D-5BCC-423D-BDC6-690033B78A43}"/>
                </a:ext>
              </a:extLst>
            </xdr:cNvPr>
            <xdr:cNvSpPr txBox="1"/>
          </xdr:nvSpPr>
          <xdr:spPr>
            <a:xfrm>
              <a:off x="13313568" y="43112530"/>
              <a:ext cx="419100" cy="2262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775FED2D-5BCC-423D-BDC6-690033B78A43}"/>
                </a:ext>
              </a:extLst>
            </xdr:cNvPr>
            <xdr:cNvSpPr txBox="1"/>
          </xdr:nvSpPr>
          <xdr:spPr>
            <a:xfrm>
              <a:off x="13313568" y="43112530"/>
              <a:ext cx="419100" cy="2262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95250</xdr:colOff>
      <xdr:row>264</xdr:row>
      <xdr:rowOff>107156</xdr:rowOff>
    </xdr:from>
    <xdr:ext cx="607219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948C5614-0685-49C5-8286-3C734E277457}"/>
                </a:ext>
              </a:extLst>
            </xdr:cNvPr>
            <xdr:cNvSpPr txBox="1"/>
          </xdr:nvSpPr>
          <xdr:spPr>
            <a:xfrm>
              <a:off x="10706100" y="43236356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16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948C5614-0685-49C5-8286-3C734E277457}"/>
                </a:ext>
              </a:extLst>
            </xdr:cNvPr>
            <xdr:cNvSpPr txBox="1"/>
          </xdr:nvSpPr>
          <xdr:spPr>
            <a:xfrm>
              <a:off x="10706100" y="43236356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twoCellAnchor editAs="oneCell">
    <xdr:from>
      <xdr:col>20</xdr:col>
      <xdr:colOff>316366</xdr:colOff>
      <xdr:row>224</xdr:row>
      <xdr:rowOff>22111</xdr:rowOff>
    </xdr:from>
    <xdr:to>
      <xdr:col>26</xdr:col>
      <xdr:colOff>141998</xdr:colOff>
      <xdr:row>228</xdr:row>
      <xdr:rowOff>26282</xdr:rowOff>
    </xdr:to>
    <xdr:pic>
      <xdr:nvPicPr>
        <xdr:cNvPr id="169" name="Imagem 168">
          <a:extLst>
            <a:ext uri="{FF2B5EF4-FFF2-40B4-BE49-F238E27FC236}">
              <a16:creationId xmlns:a16="http://schemas.microsoft.com/office/drawing/2014/main" id="{C2939183-E1B6-45DF-AD16-A87959220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84816" y="36540961"/>
          <a:ext cx="3483232" cy="651871"/>
        </a:xfrm>
        <a:prstGeom prst="rect">
          <a:avLst/>
        </a:prstGeom>
      </xdr:spPr>
    </xdr:pic>
    <xdr:clientData/>
  </xdr:twoCellAnchor>
  <xdr:twoCellAnchor editAs="oneCell">
    <xdr:from>
      <xdr:col>21</xdr:col>
      <xdr:colOff>73137</xdr:colOff>
      <xdr:row>234</xdr:row>
      <xdr:rowOff>112259</xdr:rowOff>
    </xdr:from>
    <xdr:to>
      <xdr:col>30</xdr:col>
      <xdr:colOff>8579</xdr:colOff>
      <xdr:row>238</xdr:row>
      <xdr:rowOff>140931</xdr:rowOff>
    </xdr:to>
    <xdr:pic>
      <xdr:nvPicPr>
        <xdr:cNvPr id="170" name="Imagem 169">
          <a:extLst>
            <a:ext uri="{FF2B5EF4-FFF2-40B4-BE49-F238E27FC236}">
              <a16:creationId xmlns:a16="http://schemas.microsoft.com/office/drawing/2014/main" id="{750B7DF7-E47E-4AE9-B9C1-5CF4EB84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951187" y="38307509"/>
          <a:ext cx="5421842" cy="676372"/>
        </a:xfrm>
        <a:prstGeom prst="rect">
          <a:avLst/>
        </a:prstGeom>
      </xdr:spPr>
    </xdr:pic>
    <xdr:clientData/>
  </xdr:twoCellAnchor>
  <xdr:oneCellAnchor>
    <xdr:from>
      <xdr:col>11</xdr:col>
      <xdr:colOff>953559</xdr:colOff>
      <xdr:row>208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A608ED6-E651-4B3D-9A1A-7FDA2B6CD054}"/>
                </a:ext>
              </a:extLst>
            </xdr:cNvPr>
            <xdr:cNvSpPr txBox="1"/>
          </xdr:nvSpPr>
          <xdr:spPr>
            <a:xfrm>
              <a:off x="9164109" y="340053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7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A608ED6-E651-4B3D-9A1A-7FDA2B6CD054}"/>
                </a:ext>
              </a:extLst>
            </xdr:cNvPr>
            <xdr:cNvSpPr txBox="1"/>
          </xdr:nvSpPr>
          <xdr:spPr>
            <a:xfrm>
              <a:off x="9164109" y="340053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628650</xdr:colOff>
      <xdr:row>207</xdr:row>
      <xdr:rowOff>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5385DBE-ECE5-4F75-99AA-77D5F8B22F1C}"/>
                </a:ext>
              </a:extLst>
            </xdr:cNvPr>
            <xdr:cNvSpPr txBox="1"/>
          </xdr:nvSpPr>
          <xdr:spPr>
            <a:xfrm>
              <a:off x="11220450" y="3372802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7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5385DBE-ECE5-4F75-99AA-77D5F8B22F1C}"/>
                </a:ext>
              </a:extLst>
            </xdr:cNvPr>
            <xdr:cNvSpPr txBox="1"/>
          </xdr:nvSpPr>
          <xdr:spPr>
            <a:xfrm>
              <a:off x="11220450" y="3372802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215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9A3EB1AC-75F6-4A8B-9539-A3A70D5C0656}"/>
                </a:ext>
              </a:extLst>
            </xdr:cNvPr>
            <xdr:cNvSpPr txBox="1"/>
          </xdr:nvSpPr>
          <xdr:spPr>
            <a:xfrm>
              <a:off x="9164109" y="351578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7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9A3EB1AC-75F6-4A8B-9539-A3A70D5C0656}"/>
                </a:ext>
              </a:extLst>
            </xdr:cNvPr>
            <xdr:cNvSpPr txBox="1"/>
          </xdr:nvSpPr>
          <xdr:spPr>
            <a:xfrm>
              <a:off x="9164109" y="351578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57150</xdr:colOff>
      <xdr:row>213</xdr:row>
      <xdr:rowOff>152400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D33727B-DBF1-44AF-A5BD-4E733F628D61}"/>
                </a:ext>
              </a:extLst>
            </xdr:cNvPr>
            <xdr:cNvSpPr txBox="1"/>
          </xdr:nvSpPr>
          <xdr:spPr>
            <a:xfrm>
              <a:off x="11277600" y="34861500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7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D33727B-DBF1-44AF-A5BD-4E733F628D61}"/>
                </a:ext>
              </a:extLst>
            </xdr:cNvPr>
            <xdr:cNvSpPr txBox="1"/>
          </xdr:nvSpPr>
          <xdr:spPr>
            <a:xfrm>
              <a:off x="11277600" y="34861500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224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180E477-44E6-4673-838B-48C3609D0D3F}"/>
                </a:ext>
              </a:extLst>
            </xdr:cNvPr>
            <xdr:cNvSpPr txBox="1"/>
          </xdr:nvSpPr>
          <xdr:spPr>
            <a:xfrm>
              <a:off x="9164109" y="366342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7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180E477-44E6-4673-838B-48C3609D0D3F}"/>
                </a:ext>
              </a:extLst>
            </xdr:cNvPr>
            <xdr:cNvSpPr txBox="1"/>
          </xdr:nvSpPr>
          <xdr:spPr>
            <a:xfrm>
              <a:off x="9164109" y="366342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426244</xdr:colOff>
      <xdr:row>223</xdr:row>
      <xdr:rowOff>11906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1FA07EE-A2B1-4BEF-B7F1-8D2B34AA508C}"/>
                </a:ext>
              </a:extLst>
            </xdr:cNvPr>
            <xdr:cNvSpPr txBox="1"/>
          </xdr:nvSpPr>
          <xdr:spPr>
            <a:xfrm>
              <a:off x="11037094" y="36368831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7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1FA07EE-A2B1-4BEF-B7F1-8D2B34AA508C}"/>
                </a:ext>
              </a:extLst>
            </xdr:cNvPr>
            <xdr:cNvSpPr txBox="1"/>
          </xdr:nvSpPr>
          <xdr:spPr>
            <a:xfrm>
              <a:off x="11037094" y="36368831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234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6894F66-AC12-4E7C-985F-28DDBD1F6E11}"/>
                </a:ext>
              </a:extLst>
            </xdr:cNvPr>
            <xdr:cNvSpPr txBox="1"/>
          </xdr:nvSpPr>
          <xdr:spPr>
            <a:xfrm>
              <a:off x="9164109" y="383106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7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6894F66-AC12-4E7C-985F-28DDBD1F6E11}"/>
                </a:ext>
              </a:extLst>
            </xdr:cNvPr>
            <xdr:cNvSpPr txBox="1"/>
          </xdr:nvSpPr>
          <xdr:spPr>
            <a:xfrm>
              <a:off x="9164109" y="383106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197644</xdr:colOff>
      <xdr:row>233</xdr:row>
      <xdr:rowOff>2381</xdr:rowOff>
    </xdr:from>
    <xdr:ext cx="1323974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9BF3DDC-A59D-4F13-9525-2F1956EA02B6}"/>
                </a:ext>
              </a:extLst>
            </xdr:cNvPr>
            <xdr:cNvSpPr txBox="1"/>
          </xdr:nvSpPr>
          <xdr:spPr>
            <a:xfrm>
              <a:off x="10808494" y="38035706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1+</m:t>
                        </m:r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7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B9BF3DDC-A59D-4F13-9525-2F1956EA02B6}"/>
                </a:ext>
              </a:extLst>
            </xdr:cNvPr>
            <xdr:cNvSpPr txBox="1"/>
          </xdr:nvSpPr>
          <xdr:spPr>
            <a:xfrm>
              <a:off x="10808494" y="38035706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1+1/𝑛+(𝑥0−𝑥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212913</xdr:colOff>
      <xdr:row>243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AB5C7849-8FA3-49AA-B07B-C93CC3B37306}"/>
                </a:ext>
              </a:extLst>
            </xdr:cNvPr>
            <xdr:cNvSpPr txBox="1"/>
          </xdr:nvSpPr>
          <xdr:spPr>
            <a:xfrm>
              <a:off x="9985563" y="398105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AB5C7849-8FA3-49AA-B07B-C93CC3B37306}"/>
                </a:ext>
              </a:extLst>
            </xdr:cNvPr>
            <xdr:cNvSpPr txBox="1"/>
          </xdr:nvSpPr>
          <xdr:spPr>
            <a:xfrm>
              <a:off x="9985563" y="398105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𝐻0:𝑎=0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245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141136C6-78F8-4AA6-A04A-9AABE1515976}"/>
                </a:ext>
              </a:extLst>
            </xdr:cNvPr>
            <xdr:cNvSpPr txBox="1"/>
          </xdr:nvSpPr>
          <xdr:spPr>
            <a:xfrm>
              <a:off x="9996767" y="401568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141136C6-78F8-4AA6-A04A-9AABE1515976}"/>
                </a:ext>
              </a:extLst>
            </xdr:cNvPr>
            <xdr:cNvSpPr txBox="1"/>
          </xdr:nvSpPr>
          <xdr:spPr>
            <a:xfrm>
              <a:off x="9996767" y="401568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𝐻1:𝑎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18</xdr:col>
      <xdr:colOff>571500</xdr:colOff>
      <xdr:row>245</xdr:row>
      <xdr:rowOff>145675</xdr:rowOff>
    </xdr:from>
    <xdr:ext cx="65" cy="172227"/>
    <xdr:sp macro="" textlink="">
      <xdr:nvSpPr>
        <xdr:cNvPr id="181" name="CaixaDeTexto 180">
          <a:extLst>
            <a:ext uri="{FF2B5EF4-FFF2-40B4-BE49-F238E27FC236}">
              <a16:creationId xmlns:a16="http://schemas.microsoft.com/office/drawing/2014/main" id="{A13BCFDF-9D52-4AAD-BF40-58FE9CBECE1E}"/>
            </a:ext>
          </a:extLst>
        </xdr:cNvPr>
        <xdr:cNvSpPr txBox="1"/>
      </xdr:nvSpPr>
      <xdr:spPr>
        <a:xfrm>
          <a:off x="13620750" y="401792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t-PT" sz="1100"/>
        </a:p>
      </xdr:txBody>
    </xdr:sp>
    <xdr:clientData/>
  </xdr:oneCellAnchor>
  <xdr:oneCellAnchor>
    <xdr:from>
      <xdr:col>13</xdr:col>
      <xdr:colOff>953559</xdr:colOff>
      <xdr:row>252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2819523-3907-42CB-A534-66433481005A}"/>
                </a:ext>
              </a:extLst>
            </xdr:cNvPr>
            <xdr:cNvSpPr txBox="1"/>
          </xdr:nvSpPr>
          <xdr:spPr>
            <a:xfrm>
              <a:off x="10611909" y="412824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8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2819523-3907-42CB-A534-66433481005A}"/>
                </a:ext>
              </a:extLst>
            </xdr:cNvPr>
            <xdr:cNvSpPr txBox="1"/>
          </xdr:nvSpPr>
          <xdr:spPr>
            <a:xfrm>
              <a:off x="10611909" y="412824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809626</xdr:colOff>
      <xdr:row>243</xdr:row>
      <xdr:rowOff>83342</xdr:rowOff>
    </xdr:from>
    <xdr:ext cx="1361393" cy="876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2774DD1B-C802-4E02-BD6A-EC2DCBC63351}"/>
                </a:ext>
              </a:extLst>
            </xdr:cNvPr>
            <xdr:cNvSpPr txBox="1"/>
          </xdr:nvSpPr>
          <xdr:spPr>
            <a:xfrm>
              <a:off x="11830051" y="39793067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acc>
                                  <m:accPr>
                                    <m:chr m:val="̅"/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sSup>
                                      <m:sSupPr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  <m:sup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acc>
                              </m:num>
                              <m:den>
                                <m:sSub>
                                  <m:sSubPr>
                                    <m:ctrlP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𝑆</m:t>
                                    </m:r>
                                  </m:e>
                                  <m:sub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𝑥𝑥</m:t>
                                    </m:r>
                                  </m:sub>
                                </m:sSub>
                              </m:den>
                            </m:f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2774DD1B-C802-4E02-BD6A-EC2DCBC63351}"/>
                </a:ext>
              </a:extLst>
            </xdr:cNvPr>
            <xdr:cNvSpPr txBox="1"/>
          </xdr:nvSpPr>
          <xdr:spPr>
            <a:xfrm>
              <a:off x="11830051" y="39793067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𝑇_0=(𝑎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𝑎_0)/(</a:t>
              </a:r>
              <a:r>
                <a:rPr lang="pt-PT" sz="1400" b="0" i="0">
                  <a:latin typeface="Cambria Math" panose="02040503050406030204" pitchFamily="18" charset="0"/>
                </a:rPr>
                <a:t>𝑆/√(1/𝑛+(𝑥^2 ) ̅/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200026</xdr:colOff>
      <xdr:row>245</xdr:row>
      <xdr:rowOff>154782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A4632AB3-059B-4E52-81B0-99FDF275F3E0}"/>
                </a:ext>
              </a:extLst>
            </xdr:cNvPr>
            <xdr:cNvSpPr txBox="1"/>
          </xdr:nvSpPr>
          <xdr:spPr>
            <a:xfrm>
              <a:off x="13249276" y="4018835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A4632AB3-059B-4E52-81B0-99FDF275F3E0}"/>
                </a:ext>
              </a:extLst>
            </xdr:cNvPr>
            <xdr:cNvSpPr txBox="1"/>
          </xdr:nvSpPr>
          <xdr:spPr>
            <a:xfrm>
              <a:off x="13249276" y="4018835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881063</xdr:colOff>
      <xdr:row>246</xdr:row>
      <xdr:rowOff>95250</xdr:rowOff>
    </xdr:from>
    <xdr:ext cx="821532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0D7BE4A-D5BA-4FD2-B3C2-83100319B9CA}"/>
                </a:ext>
              </a:extLst>
            </xdr:cNvPr>
            <xdr:cNvSpPr txBox="1"/>
          </xdr:nvSpPr>
          <xdr:spPr>
            <a:xfrm>
              <a:off x="10606088" y="40290750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acc>
                              <m:accPr>
                                <m:chr m:val="̅"/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sSup>
                                  <m:sSupPr>
                                    <m:ctrlP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e>
                                  <m:sup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acc>
                          </m:num>
                          <m:den>
                            <m:sSub>
                              <m:sSubPr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18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0D7BE4A-D5BA-4FD2-B3C2-83100319B9CA}"/>
                </a:ext>
              </a:extLst>
            </xdr:cNvPr>
            <xdr:cNvSpPr txBox="1"/>
          </xdr:nvSpPr>
          <xdr:spPr>
            <a:xfrm>
              <a:off x="10606088" y="40290750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1/𝑛+(𝑥^2 ) ̅/𝑆_𝑥𝑥 </a:t>
              </a:r>
              <a:r>
                <a:rPr lang="pt-PT" sz="1200" b="0" i="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oneCellAnchor>
    <xdr:from>
      <xdr:col>13</xdr:col>
      <xdr:colOff>212913</xdr:colOff>
      <xdr:row>261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6050B2-770D-4FCE-AE7A-78B69F5F677C}"/>
                </a:ext>
              </a:extLst>
            </xdr:cNvPr>
            <xdr:cNvSpPr txBox="1"/>
          </xdr:nvSpPr>
          <xdr:spPr>
            <a:xfrm>
              <a:off x="9985563" y="427442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6050B2-770D-4FCE-AE7A-78B69F5F677C}"/>
                </a:ext>
              </a:extLst>
            </xdr:cNvPr>
            <xdr:cNvSpPr txBox="1"/>
          </xdr:nvSpPr>
          <xdr:spPr>
            <a:xfrm>
              <a:off x="9985563" y="427442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𝐻0:𝑏=0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263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21E10B-1FF1-4542-A697-84BBB458A516}"/>
                </a:ext>
              </a:extLst>
            </xdr:cNvPr>
            <xdr:cNvSpPr txBox="1"/>
          </xdr:nvSpPr>
          <xdr:spPr>
            <a:xfrm>
              <a:off x="9996767" y="430905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21E10B-1FF1-4542-A697-84BBB458A516}"/>
                </a:ext>
              </a:extLst>
            </xdr:cNvPr>
            <xdr:cNvSpPr txBox="1"/>
          </xdr:nvSpPr>
          <xdr:spPr>
            <a:xfrm>
              <a:off x="9996767" y="430905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112058</xdr:colOff>
      <xdr:row>261</xdr:row>
      <xdr:rowOff>91889</xdr:rowOff>
    </xdr:from>
    <xdr:ext cx="1361393" cy="549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D0751979-89A6-4087-AB35-AB2A0563544F}"/>
                </a:ext>
              </a:extLst>
            </xdr:cNvPr>
            <xdr:cNvSpPr txBox="1"/>
          </xdr:nvSpPr>
          <xdr:spPr>
            <a:xfrm>
              <a:off x="11332508" y="42735314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D0751979-89A6-4087-AB35-AB2A0563544F}"/>
                </a:ext>
              </a:extLst>
            </xdr:cNvPr>
            <xdr:cNvSpPr txBox="1"/>
          </xdr:nvSpPr>
          <xdr:spPr>
            <a:xfrm>
              <a:off x="11332508" y="42735314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𝑇_0=(𝑏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𝑏_0)/(</a:t>
              </a:r>
              <a:r>
                <a:rPr lang="pt-PT" sz="1400" b="0" i="0">
                  <a:latin typeface="Cambria Math" panose="02040503050406030204" pitchFamily="18" charset="0"/>
                </a:rPr>
                <a:t>𝑆/√(𝑆_𝑥𝑥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953559</xdr:colOff>
      <xdr:row>270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15BDF17-4386-44CD-9F39-248F64066160}"/>
                </a:ext>
              </a:extLst>
            </xdr:cNvPr>
            <xdr:cNvSpPr txBox="1"/>
          </xdr:nvSpPr>
          <xdr:spPr>
            <a:xfrm>
              <a:off x="10611909" y="442161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8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15BDF17-4386-44CD-9F39-248F64066160}"/>
                </a:ext>
              </a:extLst>
            </xdr:cNvPr>
            <xdr:cNvSpPr txBox="1"/>
          </xdr:nvSpPr>
          <xdr:spPr>
            <a:xfrm>
              <a:off x="10611909" y="442161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18</xdr:col>
      <xdr:colOff>264318</xdr:colOff>
      <xdr:row>263</xdr:row>
      <xdr:rowOff>145255</xdr:rowOff>
    </xdr:from>
    <xdr:ext cx="419100" cy="2262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11F53C83-24CA-45DA-8618-E879763FF26F}"/>
                </a:ext>
              </a:extLst>
            </xdr:cNvPr>
            <xdr:cNvSpPr txBox="1"/>
          </xdr:nvSpPr>
          <xdr:spPr>
            <a:xfrm>
              <a:off x="13313568" y="43112530"/>
              <a:ext cx="419100" cy="2262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11F53C83-24CA-45DA-8618-E879763FF26F}"/>
                </a:ext>
              </a:extLst>
            </xdr:cNvPr>
            <xdr:cNvSpPr txBox="1"/>
          </xdr:nvSpPr>
          <xdr:spPr>
            <a:xfrm>
              <a:off x="13313568" y="43112530"/>
              <a:ext cx="419100" cy="2262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95250</xdr:colOff>
      <xdr:row>264</xdr:row>
      <xdr:rowOff>107156</xdr:rowOff>
    </xdr:from>
    <xdr:ext cx="607219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6BA4D6D-C29C-46C9-AA53-B41BFF87F590}"/>
                </a:ext>
              </a:extLst>
            </xdr:cNvPr>
            <xdr:cNvSpPr txBox="1"/>
          </xdr:nvSpPr>
          <xdr:spPr>
            <a:xfrm>
              <a:off x="10706100" y="43236356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19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6BA4D6D-C29C-46C9-AA53-B41BFF87F590}"/>
                </a:ext>
              </a:extLst>
            </xdr:cNvPr>
            <xdr:cNvSpPr txBox="1"/>
          </xdr:nvSpPr>
          <xdr:spPr>
            <a:xfrm>
              <a:off x="10706100" y="43236356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twoCellAnchor editAs="oneCell">
    <xdr:from>
      <xdr:col>20</xdr:col>
      <xdr:colOff>316366</xdr:colOff>
      <xdr:row>224</xdr:row>
      <xdr:rowOff>22111</xdr:rowOff>
    </xdr:from>
    <xdr:to>
      <xdr:col>26</xdr:col>
      <xdr:colOff>141998</xdr:colOff>
      <xdr:row>228</xdr:row>
      <xdr:rowOff>26282</xdr:rowOff>
    </xdr:to>
    <xdr:pic>
      <xdr:nvPicPr>
        <xdr:cNvPr id="192" name="Imagem 191">
          <a:extLst>
            <a:ext uri="{FF2B5EF4-FFF2-40B4-BE49-F238E27FC236}">
              <a16:creationId xmlns:a16="http://schemas.microsoft.com/office/drawing/2014/main" id="{A3F88868-A078-4EDC-8FFC-334139CB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84816" y="36540961"/>
          <a:ext cx="3483232" cy="651871"/>
        </a:xfrm>
        <a:prstGeom prst="rect">
          <a:avLst/>
        </a:prstGeom>
      </xdr:spPr>
    </xdr:pic>
    <xdr:clientData/>
  </xdr:twoCellAnchor>
  <xdr:twoCellAnchor editAs="oneCell">
    <xdr:from>
      <xdr:col>21</xdr:col>
      <xdr:colOff>73137</xdr:colOff>
      <xdr:row>234</xdr:row>
      <xdr:rowOff>112259</xdr:rowOff>
    </xdr:from>
    <xdr:to>
      <xdr:col>30</xdr:col>
      <xdr:colOff>8579</xdr:colOff>
      <xdr:row>238</xdr:row>
      <xdr:rowOff>140931</xdr:rowOff>
    </xdr:to>
    <xdr:pic>
      <xdr:nvPicPr>
        <xdr:cNvPr id="193" name="Imagem 192">
          <a:extLst>
            <a:ext uri="{FF2B5EF4-FFF2-40B4-BE49-F238E27FC236}">
              <a16:creationId xmlns:a16="http://schemas.microsoft.com/office/drawing/2014/main" id="{FAF310CA-9BAC-4126-BC43-5C2009CF9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951187" y="38307509"/>
          <a:ext cx="5421842" cy="676372"/>
        </a:xfrm>
        <a:prstGeom prst="rect">
          <a:avLst/>
        </a:prstGeom>
      </xdr:spPr>
    </xdr:pic>
    <xdr:clientData/>
  </xdr:twoCellAnchor>
  <xdr:oneCellAnchor>
    <xdr:from>
      <xdr:col>11</xdr:col>
      <xdr:colOff>953559</xdr:colOff>
      <xdr:row>208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839517B-A8E8-4CFC-87AE-B43405B763FB}"/>
                </a:ext>
              </a:extLst>
            </xdr:cNvPr>
            <xdr:cNvSpPr txBox="1"/>
          </xdr:nvSpPr>
          <xdr:spPr>
            <a:xfrm>
              <a:off x="9164109" y="340053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839517B-A8E8-4CFC-87AE-B43405B763FB}"/>
                </a:ext>
              </a:extLst>
            </xdr:cNvPr>
            <xdr:cNvSpPr txBox="1"/>
          </xdr:nvSpPr>
          <xdr:spPr>
            <a:xfrm>
              <a:off x="9164109" y="340053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628650</xdr:colOff>
      <xdr:row>207</xdr:row>
      <xdr:rowOff>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54DAE93-999E-4432-9E2B-9ACF4DAE8D26}"/>
                </a:ext>
              </a:extLst>
            </xdr:cNvPr>
            <xdr:cNvSpPr txBox="1"/>
          </xdr:nvSpPr>
          <xdr:spPr>
            <a:xfrm>
              <a:off x="11220450" y="3372802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54DAE93-999E-4432-9E2B-9ACF4DAE8D26}"/>
                </a:ext>
              </a:extLst>
            </xdr:cNvPr>
            <xdr:cNvSpPr txBox="1"/>
          </xdr:nvSpPr>
          <xdr:spPr>
            <a:xfrm>
              <a:off x="11220450" y="33728025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215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A022899-9963-4D6A-B844-EB33C656DEAD}"/>
                </a:ext>
              </a:extLst>
            </xdr:cNvPr>
            <xdr:cNvSpPr txBox="1"/>
          </xdr:nvSpPr>
          <xdr:spPr>
            <a:xfrm>
              <a:off x="9164109" y="351578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A022899-9963-4D6A-B844-EB33C656DEAD}"/>
                </a:ext>
              </a:extLst>
            </xdr:cNvPr>
            <xdr:cNvSpPr txBox="1"/>
          </xdr:nvSpPr>
          <xdr:spPr>
            <a:xfrm>
              <a:off x="9164109" y="351578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57150</xdr:colOff>
      <xdr:row>213</xdr:row>
      <xdr:rowOff>152400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26DD4C2B-CA5B-4792-AF22-3F3DB8E58DF6}"/>
                </a:ext>
              </a:extLst>
            </xdr:cNvPr>
            <xdr:cNvSpPr txBox="1"/>
          </xdr:nvSpPr>
          <xdr:spPr>
            <a:xfrm>
              <a:off x="11277600" y="34861500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26DD4C2B-CA5B-4792-AF22-3F3DB8E58DF6}"/>
                </a:ext>
              </a:extLst>
            </xdr:cNvPr>
            <xdr:cNvSpPr txBox="1"/>
          </xdr:nvSpPr>
          <xdr:spPr>
            <a:xfrm>
              <a:off x="11277600" y="34861500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224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BFFF92E-EED3-4C01-9315-BD048533A689}"/>
                </a:ext>
              </a:extLst>
            </xdr:cNvPr>
            <xdr:cNvSpPr txBox="1"/>
          </xdr:nvSpPr>
          <xdr:spPr>
            <a:xfrm>
              <a:off x="9164109" y="366342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BFFF92E-EED3-4C01-9315-BD048533A689}"/>
                </a:ext>
              </a:extLst>
            </xdr:cNvPr>
            <xdr:cNvSpPr txBox="1"/>
          </xdr:nvSpPr>
          <xdr:spPr>
            <a:xfrm>
              <a:off x="9164109" y="366342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426244</xdr:colOff>
      <xdr:row>223</xdr:row>
      <xdr:rowOff>11906</xdr:rowOff>
    </xdr:from>
    <xdr:ext cx="947280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D15AFE3-CAFC-4F05-8084-ECF65C56EA95}"/>
                </a:ext>
              </a:extLst>
            </xdr:cNvPr>
            <xdr:cNvSpPr txBox="1"/>
          </xdr:nvSpPr>
          <xdr:spPr>
            <a:xfrm>
              <a:off x="11037094" y="36368831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D15AFE3-CAFC-4F05-8084-ECF65C56EA95}"/>
                </a:ext>
              </a:extLst>
            </xdr:cNvPr>
            <xdr:cNvSpPr txBox="1"/>
          </xdr:nvSpPr>
          <xdr:spPr>
            <a:xfrm>
              <a:off x="11037094" y="36368831"/>
              <a:ext cx="947280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11</xdr:col>
      <xdr:colOff>953559</xdr:colOff>
      <xdr:row>234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43B6301-873D-45A6-8965-BD392519AACC}"/>
                </a:ext>
              </a:extLst>
            </xdr:cNvPr>
            <xdr:cNvSpPr txBox="1"/>
          </xdr:nvSpPr>
          <xdr:spPr>
            <a:xfrm>
              <a:off x="9164109" y="383106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343B6301-873D-45A6-8965-BD392519AACC}"/>
                </a:ext>
              </a:extLst>
            </xdr:cNvPr>
            <xdr:cNvSpPr txBox="1"/>
          </xdr:nvSpPr>
          <xdr:spPr>
            <a:xfrm>
              <a:off x="9164109" y="383106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197644</xdr:colOff>
      <xdr:row>233</xdr:row>
      <xdr:rowOff>2381</xdr:rowOff>
    </xdr:from>
    <xdr:ext cx="1323974" cy="5013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96496A0-6EE4-4A75-A66F-F6B2FCF4B0EF}"/>
                </a:ext>
              </a:extLst>
            </xdr:cNvPr>
            <xdr:cNvSpPr txBox="1"/>
          </xdr:nvSpPr>
          <xdr:spPr>
            <a:xfrm>
              <a:off x="10808494" y="38035706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9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1+</m:t>
                        </m:r>
                        <m:f>
                          <m:fPr>
                            <m:ctrlPr>
                              <a:rPr lang="pt-PT" sz="9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9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pt-PT" sz="9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  <m:r>
                                      <a:rPr lang="pt-PT" sz="900" b="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0−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900" b="0" i="1">
                                            <a:solidFill>
                                              <a:srgbClr val="000000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sSub>
                              <m:sSubPr>
                                <m:ctrlP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9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9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96496A0-6EE4-4A75-A66F-F6B2FCF4B0EF}"/>
                </a:ext>
              </a:extLst>
            </xdr:cNvPr>
            <xdr:cNvSpPr txBox="1"/>
          </xdr:nvSpPr>
          <xdr:spPr>
            <a:xfrm>
              <a:off x="10808494" y="38035706"/>
              <a:ext cx="1323974" cy="50130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1+1/𝑛+(𝑥0−𝑥 ̅ )^2/𝑆_𝑥𝑥 )=</a:t>
              </a:r>
              <a:endParaRPr lang="pt-PT" sz="900" b="0">
                <a:solidFill>
                  <a:srgbClr val="000000"/>
                </a:solidFill>
              </a:endParaRP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212913</xdr:colOff>
      <xdr:row>243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298D555A-266E-4E2E-87A4-A0F79849FE96}"/>
                </a:ext>
              </a:extLst>
            </xdr:cNvPr>
            <xdr:cNvSpPr txBox="1"/>
          </xdr:nvSpPr>
          <xdr:spPr>
            <a:xfrm>
              <a:off x="9985563" y="398105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298D555A-266E-4E2E-87A4-A0F79849FE96}"/>
                </a:ext>
              </a:extLst>
            </xdr:cNvPr>
            <xdr:cNvSpPr txBox="1"/>
          </xdr:nvSpPr>
          <xdr:spPr>
            <a:xfrm>
              <a:off x="9985563" y="398105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𝐻0:𝑎=0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245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E9569356-3B2B-46B1-9439-D782CA3897D1}"/>
                </a:ext>
              </a:extLst>
            </xdr:cNvPr>
            <xdr:cNvSpPr txBox="1"/>
          </xdr:nvSpPr>
          <xdr:spPr>
            <a:xfrm>
              <a:off x="9996767" y="401568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E9569356-3B2B-46B1-9439-D782CA3897D1}"/>
                </a:ext>
              </a:extLst>
            </xdr:cNvPr>
            <xdr:cNvSpPr txBox="1"/>
          </xdr:nvSpPr>
          <xdr:spPr>
            <a:xfrm>
              <a:off x="9996767" y="401568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𝐻1:𝑎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18</xdr:col>
      <xdr:colOff>571500</xdr:colOff>
      <xdr:row>245</xdr:row>
      <xdr:rowOff>145675</xdr:rowOff>
    </xdr:from>
    <xdr:ext cx="65" cy="172227"/>
    <xdr:sp macro="" textlink="">
      <xdr:nvSpPr>
        <xdr:cNvPr id="204" name="CaixaDeTexto 203">
          <a:extLst>
            <a:ext uri="{FF2B5EF4-FFF2-40B4-BE49-F238E27FC236}">
              <a16:creationId xmlns:a16="http://schemas.microsoft.com/office/drawing/2014/main" id="{0BEF426A-75F1-4737-8021-4CB1D1D7D203}"/>
            </a:ext>
          </a:extLst>
        </xdr:cNvPr>
        <xdr:cNvSpPr txBox="1"/>
      </xdr:nvSpPr>
      <xdr:spPr>
        <a:xfrm>
          <a:off x="13620750" y="401792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t-PT" sz="1100"/>
        </a:p>
      </xdr:txBody>
    </xdr:sp>
    <xdr:clientData/>
  </xdr:oneCellAnchor>
  <xdr:oneCellAnchor>
    <xdr:from>
      <xdr:col>13</xdr:col>
      <xdr:colOff>953559</xdr:colOff>
      <xdr:row>252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B16A360-1AF9-40C4-B612-5FD009FA6603}"/>
                </a:ext>
              </a:extLst>
            </xdr:cNvPr>
            <xdr:cNvSpPr txBox="1"/>
          </xdr:nvSpPr>
          <xdr:spPr>
            <a:xfrm>
              <a:off x="10611909" y="412824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B16A360-1AF9-40C4-B612-5FD009FA6603}"/>
                </a:ext>
              </a:extLst>
            </xdr:cNvPr>
            <xdr:cNvSpPr txBox="1"/>
          </xdr:nvSpPr>
          <xdr:spPr>
            <a:xfrm>
              <a:off x="10611909" y="412824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809626</xdr:colOff>
      <xdr:row>243</xdr:row>
      <xdr:rowOff>83342</xdr:rowOff>
    </xdr:from>
    <xdr:ext cx="1361393" cy="876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7C78ECED-8171-42A2-A339-7051B573D9CF}"/>
                </a:ext>
              </a:extLst>
            </xdr:cNvPr>
            <xdr:cNvSpPr txBox="1"/>
          </xdr:nvSpPr>
          <xdr:spPr>
            <a:xfrm>
              <a:off x="11830051" y="39793067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acc>
                                  <m:accPr>
                                    <m:chr m:val="̅"/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sSup>
                                      <m:sSupPr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  <m:sup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acc>
                              </m:num>
                              <m:den>
                                <m:sSub>
                                  <m:sSubPr>
                                    <m:ctrlP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𝑆</m:t>
                                    </m:r>
                                  </m:e>
                                  <m:sub>
                                    <m:r>
                                      <a:rPr lang="pt-PT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𝑥𝑥</m:t>
                                    </m:r>
                                  </m:sub>
                                </m:sSub>
                              </m:den>
                            </m:f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7C78ECED-8171-42A2-A339-7051B573D9CF}"/>
                </a:ext>
              </a:extLst>
            </xdr:cNvPr>
            <xdr:cNvSpPr txBox="1"/>
          </xdr:nvSpPr>
          <xdr:spPr>
            <a:xfrm>
              <a:off x="11830051" y="39793067"/>
              <a:ext cx="1361393" cy="876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𝑇_0=(𝑎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𝑎_0)/(</a:t>
              </a:r>
              <a:r>
                <a:rPr lang="pt-PT" sz="1400" b="0" i="0">
                  <a:latin typeface="Cambria Math" panose="02040503050406030204" pitchFamily="18" charset="0"/>
                </a:rPr>
                <a:t>𝑆/√(1/𝑛+(𝑥^2 ) ̅/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200026</xdr:colOff>
      <xdr:row>245</xdr:row>
      <xdr:rowOff>154782</xdr:rowOff>
    </xdr:from>
    <xdr:ext cx="419100" cy="2190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EC9CB45E-9A3A-404D-BEB4-86180D24CCD4}"/>
                </a:ext>
              </a:extLst>
            </xdr:cNvPr>
            <xdr:cNvSpPr txBox="1"/>
          </xdr:nvSpPr>
          <xdr:spPr>
            <a:xfrm>
              <a:off x="13249276" y="4018835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EC9CB45E-9A3A-404D-BEB4-86180D24CCD4}"/>
                </a:ext>
              </a:extLst>
            </xdr:cNvPr>
            <xdr:cNvSpPr txBox="1"/>
          </xdr:nvSpPr>
          <xdr:spPr>
            <a:xfrm>
              <a:off x="13249276" y="40188357"/>
              <a:ext cx="419100" cy="2190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𝑎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631732</xdr:colOff>
      <xdr:row>246</xdr:row>
      <xdr:rowOff>84044</xdr:rowOff>
    </xdr:from>
    <xdr:ext cx="821532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26663A5-2C5B-42D7-BB8B-E87EC473A7BE}"/>
                </a:ext>
              </a:extLst>
            </xdr:cNvPr>
            <xdr:cNvSpPr txBox="1"/>
          </xdr:nvSpPr>
          <xdr:spPr>
            <a:xfrm>
              <a:off x="10404382" y="40279544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f>
                          <m:fPr>
                            <m:ctrlPr>
                              <a:rPr lang="pt-PT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acc>
                              <m:accPr>
                                <m:chr m:val="̅"/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sSup>
                                  <m:sSupPr>
                                    <m:ctrlP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e>
                                  <m:sup>
                                    <m:r>
                                      <a:rPr lang="pt-PT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acc>
                          </m:num>
                          <m:den>
                            <m:sSub>
                              <m:sSubPr>
                                <m:ctrlP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20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26663A5-2C5B-42D7-BB8B-E87EC473A7BE}"/>
                </a:ext>
              </a:extLst>
            </xdr:cNvPr>
            <xdr:cNvSpPr txBox="1"/>
          </xdr:nvSpPr>
          <xdr:spPr>
            <a:xfrm>
              <a:off x="10404382" y="40279544"/>
              <a:ext cx="821532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1/𝑛+(𝑥^2 ) ̅/𝑆_𝑥𝑥 </a:t>
              </a:r>
              <a:r>
                <a:rPr lang="pt-PT" sz="1200" b="0" i="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oneCellAnchor>
    <xdr:from>
      <xdr:col>13</xdr:col>
      <xdr:colOff>212913</xdr:colOff>
      <xdr:row>261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7D4E2762-80E1-48E7-AD7C-83DF9B743080}"/>
                </a:ext>
              </a:extLst>
            </xdr:cNvPr>
            <xdr:cNvSpPr txBox="1"/>
          </xdr:nvSpPr>
          <xdr:spPr>
            <a:xfrm>
              <a:off x="9985563" y="427442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7D4E2762-80E1-48E7-AD7C-83DF9B743080}"/>
                </a:ext>
              </a:extLst>
            </xdr:cNvPr>
            <xdr:cNvSpPr txBox="1"/>
          </xdr:nvSpPr>
          <xdr:spPr>
            <a:xfrm>
              <a:off x="9985563" y="427442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𝐻0:𝑏=0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263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8B676B59-B12E-4456-AAA1-8D772250839C}"/>
                </a:ext>
              </a:extLst>
            </xdr:cNvPr>
            <xdr:cNvSpPr txBox="1"/>
          </xdr:nvSpPr>
          <xdr:spPr>
            <a:xfrm>
              <a:off x="9996767" y="430905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8B676B59-B12E-4456-AAA1-8D772250839C}"/>
                </a:ext>
              </a:extLst>
            </xdr:cNvPr>
            <xdr:cNvSpPr txBox="1"/>
          </xdr:nvSpPr>
          <xdr:spPr>
            <a:xfrm>
              <a:off x="9996767" y="430905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𝐻1:𝑏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112058</xdr:colOff>
      <xdr:row>261</xdr:row>
      <xdr:rowOff>91889</xdr:rowOff>
    </xdr:from>
    <xdr:ext cx="1361393" cy="549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0F14E2F2-09A1-4FB9-9124-B8A897BC3F1F}"/>
                </a:ext>
              </a:extLst>
            </xdr:cNvPr>
            <xdr:cNvSpPr txBox="1"/>
          </xdr:nvSpPr>
          <xdr:spPr>
            <a:xfrm>
              <a:off x="11332508" y="42735314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/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0F14E2F2-09A1-4FB9-9124-B8A897BC3F1F}"/>
                </a:ext>
              </a:extLst>
            </xdr:cNvPr>
            <xdr:cNvSpPr txBox="1"/>
          </xdr:nvSpPr>
          <xdr:spPr>
            <a:xfrm>
              <a:off x="11332508" y="42735314"/>
              <a:ext cx="1361393" cy="549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𝑇_0=(𝑏 ̂−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𝑏_0)/(</a:t>
              </a:r>
              <a:r>
                <a:rPr lang="pt-PT" sz="1400" b="0" i="0">
                  <a:latin typeface="Cambria Math" panose="02040503050406030204" pitchFamily="18" charset="0"/>
                </a:rPr>
                <a:t>𝑆/√(𝑆_𝑥𝑥 ))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953559</xdr:colOff>
      <xdr:row>270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938EC80-CB98-40AC-91DF-45F14C6C1643}"/>
                </a:ext>
              </a:extLst>
            </xdr:cNvPr>
            <xdr:cNvSpPr txBox="1"/>
          </xdr:nvSpPr>
          <xdr:spPr>
            <a:xfrm>
              <a:off x="10611909" y="442161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938EC80-CB98-40AC-91DF-45F14C6C1643}"/>
                </a:ext>
              </a:extLst>
            </xdr:cNvPr>
            <xdr:cNvSpPr txBox="1"/>
          </xdr:nvSpPr>
          <xdr:spPr>
            <a:xfrm>
              <a:off x="10611909" y="4421611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18</xdr:col>
      <xdr:colOff>264318</xdr:colOff>
      <xdr:row>263</xdr:row>
      <xdr:rowOff>145255</xdr:rowOff>
    </xdr:from>
    <xdr:ext cx="419100" cy="2262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BB1D2DEB-A032-40A9-B081-990F59447A02}"/>
                </a:ext>
              </a:extLst>
            </xdr:cNvPr>
            <xdr:cNvSpPr txBox="1"/>
          </xdr:nvSpPr>
          <xdr:spPr>
            <a:xfrm>
              <a:off x="13313568" y="43112530"/>
              <a:ext cx="419100" cy="2262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BB1D2DEB-A032-40A9-B081-990F59447A02}"/>
                </a:ext>
              </a:extLst>
            </xdr:cNvPr>
            <xdr:cNvSpPr txBox="1"/>
          </xdr:nvSpPr>
          <xdr:spPr>
            <a:xfrm>
              <a:off x="13313568" y="43112530"/>
              <a:ext cx="419100" cy="2262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𝑏 ̂=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95250</xdr:colOff>
      <xdr:row>264</xdr:row>
      <xdr:rowOff>107156</xdr:rowOff>
    </xdr:from>
    <xdr:ext cx="607219" cy="619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A308AEE-0993-4AE8-9FE4-FF9D9ECDAEF2}"/>
                </a:ext>
              </a:extLst>
            </xdr:cNvPr>
            <xdr:cNvSpPr txBox="1"/>
          </xdr:nvSpPr>
          <xdr:spPr>
            <a:xfrm>
              <a:off x="10706100" y="43236356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2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200" b="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sSub>
                              <m:sSubPr>
                                <m:ctrlP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</m:e>
                              <m:sub>
                                <m:r>
                                  <a:rPr lang="pt-PT" sz="1200" b="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0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Choice>
      <mc:Fallback xmlns="">
        <xdr:sp macro="" textlink="">
          <xdr:nvSpPr>
            <xdr:cNvPr id="21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A308AEE-0993-4AE8-9FE4-FF9D9ECDAEF2}"/>
                </a:ext>
              </a:extLst>
            </xdr:cNvPr>
            <xdr:cNvSpPr txBox="1"/>
          </xdr:nvSpPr>
          <xdr:spPr>
            <a:xfrm>
              <a:off x="10706100" y="43236356"/>
              <a:ext cx="607219" cy="619125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PT" sz="12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√(</a:t>
              </a:r>
              <a:r>
                <a:rPr lang="pt-PT" sz="12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1/𝑆_𝑥𝑥 )=</a:t>
              </a:r>
              <a:endParaRPr lang="pt-PT" sz="1200" b="0">
                <a:solidFill>
                  <a:srgbClr val="000000"/>
                </a:solidFill>
              </a:endParaRPr>
            </a:p>
            <a:p>
              <a:endParaRPr lang="pt-PT" sz="700">
                <a:solidFill>
                  <a:srgbClr val="000000"/>
                </a:solidFill>
              </a:endParaRPr>
            </a:p>
            <a:p>
              <a:endParaRPr lang="pt-PT" sz="700"/>
            </a:p>
          </xdr:txBody>
        </xdr:sp>
      </mc:Fallback>
    </mc:AlternateContent>
    <xdr:clientData/>
  </xdr:oneCellAnchor>
  <xdr:oneCellAnchor>
    <xdr:from>
      <xdr:col>6</xdr:col>
      <xdr:colOff>203168</xdr:colOff>
      <xdr:row>125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56F1ED82-C852-4DB9-AF83-C16EABD2204E}"/>
                </a:ext>
              </a:extLst>
            </xdr:cNvPr>
            <xdr:cNvSpPr txBox="1"/>
          </xdr:nvSpPr>
          <xdr:spPr>
            <a:xfrm>
              <a:off x="5165693" y="2036445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56F1ED82-C852-4DB9-AF83-C16EABD2204E}"/>
                </a:ext>
              </a:extLst>
            </xdr:cNvPr>
            <xdr:cNvSpPr txBox="1"/>
          </xdr:nvSpPr>
          <xdr:spPr>
            <a:xfrm>
              <a:off x="5165693" y="2036445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94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87DE06-6F69-42A9-8E48-2DF31276EEE5}"/>
                </a:ext>
              </a:extLst>
            </xdr:cNvPr>
            <xdr:cNvSpPr txBox="1"/>
          </xdr:nvSpPr>
          <xdr:spPr>
            <a:xfrm>
              <a:off x="5165693" y="1531620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87DE06-6F69-42A9-8E48-2DF31276EEE5}"/>
                </a:ext>
              </a:extLst>
            </xdr:cNvPr>
            <xdr:cNvSpPr txBox="1"/>
          </xdr:nvSpPr>
          <xdr:spPr>
            <a:xfrm>
              <a:off x="5165693" y="1531620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203168</xdr:colOff>
      <xdr:row>63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EC1B6E09-7B39-418B-8934-9501ABD7FEFF}"/>
                </a:ext>
              </a:extLst>
            </xdr:cNvPr>
            <xdr:cNvSpPr txBox="1"/>
          </xdr:nvSpPr>
          <xdr:spPr>
            <a:xfrm>
              <a:off x="5165693" y="1026795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EC1B6E09-7B39-418B-8934-9501ABD7FEFF}"/>
                </a:ext>
              </a:extLst>
            </xdr:cNvPr>
            <xdr:cNvSpPr txBox="1"/>
          </xdr:nvSpPr>
          <xdr:spPr>
            <a:xfrm>
              <a:off x="5165693" y="1026795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156882</xdr:colOff>
      <xdr:row>11</xdr:row>
      <xdr:rowOff>61631</xdr:rowOff>
    </xdr:from>
    <xdr:ext cx="6324600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B0E02652-7889-9A12-1858-ED49C9B6923F}"/>
                </a:ext>
              </a:extLst>
            </xdr:cNvPr>
            <xdr:cNvSpPr txBox="1"/>
          </xdr:nvSpPr>
          <xdr:spPr>
            <a:xfrm>
              <a:off x="8841441" y="1787337"/>
              <a:ext cx="632460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6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l-GR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𝜀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B0E02652-7889-9A12-1858-ED49C9B6923F}"/>
                </a:ext>
              </a:extLst>
            </xdr:cNvPr>
            <xdr:cNvSpPr txBox="1"/>
          </xdr:nvSpPr>
          <xdr:spPr>
            <a:xfrm>
              <a:off x="8841441" y="1787337"/>
              <a:ext cx="632460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𝑌=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600" b="0" i="0">
                  <a:latin typeface="Cambria Math" panose="02040503050406030204" pitchFamily="18" charset="0"/>
                </a:rPr>
                <a:t>0+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𝛽_1 𝑋_1+𝛽_2 𝑋_2+𝛽_3 𝑋_3+𝛽_4 𝑋_4+𝛽_5 𝑋_5+𝛽_6 𝑋_6+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endParaRPr lang="pt-PT" sz="1600"/>
            </a:p>
          </xdr:txBody>
        </xdr:sp>
      </mc:Fallback>
    </mc:AlternateContent>
    <xdr:clientData/>
  </xdr:oneCellAnchor>
  <xdr:twoCellAnchor>
    <xdr:from>
      <xdr:col>11</xdr:col>
      <xdr:colOff>409576</xdr:colOff>
      <xdr:row>14</xdr:row>
      <xdr:rowOff>95249</xdr:rowOff>
    </xdr:from>
    <xdr:to>
      <xdr:col>12</xdr:col>
      <xdr:colOff>85726</xdr:colOff>
      <xdr:row>135</xdr:row>
      <xdr:rowOff>142875</xdr:rowOff>
    </xdr:to>
    <xdr:sp macro="" textlink="">
      <xdr:nvSpPr>
        <xdr:cNvPr id="3" name="Parêntese esquerdo 2">
          <a:extLst>
            <a:ext uri="{FF2B5EF4-FFF2-40B4-BE49-F238E27FC236}">
              <a16:creationId xmlns:a16="http://schemas.microsoft.com/office/drawing/2014/main" id="{EF1FB232-6C86-1A92-E512-DB4B9F873F1D}"/>
            </a:ext>
          </a:extLst>
        </xdr:cNvPr>
        <xdr:cNvSpPr/>
      </xdr:nvSpPr>
      <xdr:spPr>
        <a:xfrm>
          <a:off x="9458326" y="2362199"/>
          <a:ext cx="285750" cy="196405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18</xdr:col>
      <xdr:colOff>444500</xdr:colOff>
      <xdr:row>14</xdr:row>
      <xdr:rowOff>0</xdr:rowOff>
    </xdr:from>
    <xdr:to>
      <xdr:col>19</xdr:col>
      <xdr:colOff>127000</xdr:colOff>
      <xdr:row>135</xdr:row>
      <xdr:rowOff>47626</xdr:rowOff>
    </xdr:to>
    <xdr:sp macro="" textlink="">
      <xdr:nvSpPr>
        <xdr:cNvPr id="4" name="Parêntese esquerdo 3">
          <a:extLst>
            <a:ext uri="{FF2B5EF4-FFF2-40B4-BE49-F238E27FC236}">
              <a16:creationId xmlns:a16="http://schemas.microsoft.com/office/drawing/2014/main" id="{26A22E91-4111-4DE7-B4E8-B72187961FA4}"/>
            </a:ext>
          </a:extLst>
        </xdr:cNvPr>
        <xdr:cNvSpPr/>
      </xdr:nvSpPr>
      <xdr:spPr>
        <a:xfrm flipH="1" flipV="1">
          <a:off x="13684250" y="2222500"/>
          <a:ext cx="285750" cy="1925637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9</xdr:col>
      <xdr:colOff>180975</xdr:colOff>
      <xdr:row>71</xdr:row>
      <xdr:rowOff>142876</xdr:rowOff>
    </xdr:from>
    <xdr:ext cx="1756808" cy="438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3DF0086C-3D11-6F9A-9D02-99BFF205D1F6}"/>
                </a:ext>
              </a:extLst>
            </xdr:cNvPr>
            <xdr:cNvSpPr txBox="1"/>
          </xdr:nvSpPr>
          <xdr:spPr>
            <a:xfrm>
              <a:off x="8010525" y="11639551"/>
              <a:ext cx="1756808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28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3DF0086C-3D11-6F9A-9D02-99BFF205D1F6}"/>
                </a:ext>
              </a:extLst>
            </xdr:cNvPr>
            <xdr:cNvSpPr txBox="1"/>
          </xdr:nvSpPr>
          <xdr:spPr>
            <a:xfrm>
              <a:off x="8010525" y="11639551"/>
              <a:ext cx="1756808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2800" b="0" i="0">
                  <a:latin typeface="Cambria Math" panose="02040503050406030204" pitchFamily="18" charset="0"/>
                </a:rPr>
                <a:t>𝑋=</a:t>
              </a:r>
              <a:endParaRPr lang="pt-PT" sz="2800"/>
            </a:p>
          </xdr:txBody>
        </xdr:sp>
      </mc:Fallback>
    </mc:AlternateContent>
    <xdr:clientData/>
  </xdr:oneCellAnchor>
  <xdr:oneCellAnchor>
    <xdr:from>
      <xdr:col>19</xdr:col>
      <xdr:colOff>57151</xdr:colOff>
      <xdr:row>71</xdr:row>
      <xdr:rowOff>169068</xdr:rowOff>
    </xdr:from>
    <xdr:ext cx="1756808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856BD87-34C7-415D-B7AC-108A048EC883}"/>
                </a:ext>
              </a:extLst>
            </xdr:cNvPr>
            <xdr:cNvSpPr txBox="1"/>
          </xdr:nvSpPr>
          <xdr:spPr>
            <a:xfrm>
              <a:off x="14001751" y="12342018"/>
              <a:ext cx="1756808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856BD87-34C7-415D-B7AC-108A048EC883}"/>
                </a:ext>
              </a:extLst>
            </xdr:cNvPr>
            <xdr:cNvSpPr txBox="1"/>
          </xdr:nvSpPr>
          <xdr:spPr>
            <a:xfrm>
              <a:off x="14001751" y="12342018"/>
              <a:ext cx="1756808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2800" b="0" i="0">
                  <a:latin typeface="Cambria Math" panose="02040503050406030204" pitchFamily="18" charset="0"/>
                </a:rPr>
                <a:t>𝑋^𝑡=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22</xdr:col>
      <xdr:colOff>51094</xdr:colOff>
      <xdr:row>69</xdr:row>
      <xdr:rowOff>140074</xdr:rowOff>
    </xdr:from>
    <xdr:to>
      <xdr:col>22</xdr:col>
      <xdr:colOff>378200</xdr:colOff>
      <xdr:row>79</xdr:row>
      <xdr:rowOff>134470</xdr:rowOff>
    </xdr:to>
    <xdr:sp macro="" textlink="">
      <xdr:nvSpPr>
        <xdr:cNvPr id="8" name="Parêntese esquerdo 7">
          <a:extLst>
            <a:ext uri="{FF2B5EF4-FFF2-40B4-BE49-F238E27FC236}">
              <a16:creationId xmlns:a16="http://schemas.microsoft.com/office/drawing/2014/main" id="{E68392F3-F52E-4C97-88DA-300980D4E9CB}"/>
            </a:ext>
          </a:extLst>
        </xdr:cNvPr>
        <xdr:cNvSpPr/>
      </xdr:nvSpPr>
      <xdr:spPr>
        <a:xfrm>
          <a:off x="16019476" y="10964956"/>
          <a:ext cx="327106" cy="156322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141</xdr:col>
      <xdr:colOff>462243</xdr:colOff>
      <xdr:row>69</xdr:row>
      <xdr:rowOff>154082</xdr:rowOff>
    </xdr:from>
    <xdr:to>
      <xdr:col>142</xdr:col>
      <xdr:colOff>173025</xdr:colOff>
      <xdr:row>78</xdr:row>
      <xdr:rowOff>73773</xdr:rowOff>
    </xdr:to>
    <xdr:sp macro="" textlink="">
      <xdr:nvSpPr>
        <xdr:cNvPr id="9" name="Parêntese esquerdo 8">
          <a:extLst>
            <a:ext uri="{FF2B5EF4-FFF2-40B4-BE49-F238E27FC236}">
              <a16:creationId xmlns:a16="http://schemas.microsoft.com/office/drawing/2014/main" id="{20B76F8A-1175-4EA5-837F-E43EEC73E540}"/>
            </a:ext>
          </a:extLst>
        </xdr:cNvPr>
        <xdr:cNvSpPr/>
      </xdr:nvSpPr>
      <xdr:spPr>
        <a:xfrm flipH="1">
          <a:off x="89647059" y="11752170"/>
          <a:ext cx="327106" cy="143248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</xdr:col>
      <xdr:colOff>179295</xdr:colOff>
      <xdr:row>137</xdr:row>
      <xdr:rowOff>78441</xdr:rowOff>
    </xdr:from>
    <xdr:to>
      <xdr:col>2</xdr:col>
      <xdr:colOff>506401</xdr:colOff>
      <xdr:row>147</xdr:row>
      <xdr:rowOff>72837</xdr:rowOff>
    </xdr:to>
    <xdr:sp macro="" textlink="">
      <xdr:nvSpPr>
        <xdr:cNvPr id="11" name="Parêntese esquerdo 10">
          <a:extLst>
            <a:ext uri="{FF2B5EF4-FFF2-40B4-BE49-F238E27FC236}">
              <a16:creationId xmlns:a16="http://schemas.microsoft.com/office/drawing/2014/main" id="{6BDEA085-87A7-4A14-984C-8F868CDBB6CB}"/>
            </a:ext>
          </a:extLst>
        </xdr:cNvPr>
        <xdr:cNvSpPr/>
      </xdr:nvSpPr>
      <xdr:spPr>
        <a:xfrm>
          <a:off x="1580030" y="21571323"/>
          <a:ext cx="327106" cy="156322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8</xdr:col>
      <xdr:colOff>593910</xdr:colOff>
      <xdr:row>137</xdr:row>
      <xdr:rowOff>44823</xdr:rowOff>
    </xdr:from>
    <xdr:to>
      <xdr:col>9</xdr:col>
      <xdr:colOff>181428</xdr:colOff>
      <xdr:row>147</xdr:row>
      <xdr:rowOff>39219</xdr:rowOff>
    </xdr:to>
    <xdr:sp macro="" textlink="">
      <xdr:nvSpPr>
        <xdr:cNvPr id="12" name="Parêntese esquerdo 11">
          <a:extLst>
            <a:ext uri="{FF2B5EF4-FFF2-40B4-BE49-F238E27FC236}">
              <a16:creationId xmlns:a16="http://schemas.microsoft.com/office/drawing/2014/main" id="{720D76B0-E121-482B-8FE8-ED0D71B092F3}"/>
            </a:ext>
          </a:extLst>
        </xdr:cNvPr>
        <xdr:cNvSpPr/>
      </xdr:nvSpPr>
      <xdr:spPr>
        <a:xfrm flipH="1">
          <a:off x="7676028" y="21537705"/>
          <a:ext cx="327106" cy="156322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0</xdr:col>
      <xdr:colOff>55812</xdr:colOff>
      <xdr:row>141</xdr:row>
      <xdr:rowOff>14016</xdr:rowOff>
    </xdr:from>
    <xdr:ext cx="1408655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CD81F846-FE44-B0B3-84E0-C5AF4275E884}"/>
                </a:ext>
              </a:extLst>
            </xdr:cNvPr>
            <xdr:cNvSpPr txBox="1"/>
          </xdr:nvSpPr>
          <xdr:spPr>
            <a:xfrm>
              <a:off x="55812" y="22134428"/>
              <a:ext cx="140865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CD81F846-FE44-B0B3-84E0-C5AF4275E884}"/>
                </a:ext>
              </a:extLst>
            </xdr:cNvPr>
            <xdr:cNvSpPr txBox="1"/>
          </xdr:nvSpPr>
          <xdr:spPr>
            <a:xfrm>
              <a:off x="55812" y="22134428"/>
              <a:ext cx="140865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𝑋^𝑡∗𝑋=</a:t>
              </a:r>
              <a:endParaRPr lang="pt-PT" sz="2800"/>
            </a:p>
          </xdr:txBody>
        </xdr:sp>
      </mc:Fallback>
    </mc:AlternateContent>
    <xdr:clientData/>
  </xdr:oneCellAnchor>
  <xdr:oneCellAnchor>
    <xdr:from>
      <xdr:col>9</xdr:col>
      <xdr:colOff>717177</xdr:colOff>
      <xdr:row>141</xdr:row>
      <xdr:rowOff>11206</xdr:rowOff>
    </xdr:from>
    <xdr:ext cx="1964127" cy="445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B3C861B-9DBB-4EF3-8675-263E16FDEDC9}"/>
                </a:ext>
              </a:extLst>
            </xdr:cNvPr>
            <xdr:cNvSpPr txBox="1"/>
          </xdr:nvSpPr>
          <xdr:spPr>
            <a:xfrm>
              <a:off x="8987118" y="22131618"/>
              <a:ext cx="1964127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(</m:t>
                        </m:r>
                        <m:sSup>
                          <m:sSupPr>
                            <m:ctrlP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p>
                        </m:s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B3C861B-9DBB-4EF3-8675-263E16FDEDC9}"/>
                </a:ext>
              </a:extLst>
            </xdr:cNvPr>
            <xdr:cNvSpPr txBox="1"/>
          </xdr:nvSpPr>
          <xdr:spPr>
            <a:xfrm>
              <a:off x="8987118" y="22131618"/>
              <a:ext cx="1964127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〖(</a:t>
              </a:r>
              <a:r>
                <a:rPr lang="pt-PT" sz="2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𝑋^𝑡∗𝑋</a:t>
              </a:r>
              <a:r>
                <a:rPr lang="pt-PT" sz="2800" b="0" i="0">
                  <a:latin typeface="Cambria Math" panose="02040503050406030204" pitchFamily="18" charset="0"/>
                </a:rPr>
                <a:t>)〗^(−1)=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19</xdr:col>
      <xdr:colOff>705970</xdr:colOff>
      <xdr:row>137</xdr:row>
      <xdr:rowOff>123265</xdr:rowOff>
    </xdr:from>
    <xdr:to>
      <xdr:col>20</xdr:col>
      <xdr:colOff>159017</xdr:colOff>
      <xdr:row>147</xdr:row>
      <xdr:rowOff>117661</xdr:rowOff>
    </xdr:to>
    <xdr:sp macro="" textlink="">
      <xdr:nvSpPr>
        <xdr:cNvPr id="15" name="Parêntese esquerdo 14">
          <a:extLst>
            <a:ext uri="{FF2B5EF4-FFF2-40B4-BE49-F238E27FC236}">
              <a16:creationId xmlns:a16="http://schemas.microsoft.com/office/drawing/2014/main" id="{2604603F-F732-4C71-A935-92807FB6DDE1}"/>
            </a:ext>
          </a:extLst>
        </xdr:cNvPr>
        <xdr:cNvSpPr/>
      </xdr:nvSpPr>
      <xdr:spPr>
        <a:xfrm flipH="1">
          <a:off x="16382999" y="21616147"/>
          <a:ext cx="327106" cy="156322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12</xdr:col>
      <xdr:colOff>593912</xdr:colOff>
      <xdr:row>138</xdr:row>
      <xdr:rowOff>11205</xdr:rowOff>
    </xdr:from>
    <xdr:to>
      <xdr:col>13</xdr:col>
      <xdr:colOff>315900</xdr:colOff>
      <xdr:row>148</xdr:row>
      <xdr:rowOff>5602</xdr:rowOff>
    </xdr:to>
    <xdr:sp macro="" textlink="">
      <xdr:nvSpPr>
        <xdr:cNvPr id="16" name="Parêntese esquerdo 15">
          <a:extLst>
            <a:ext uri="{FF2B5EF4-FFF2-40B4-BE49-F238E27FC236}">
              <a16:creationId xmlns:a16="http://schemas.microsoft.com/office/drawing/2014/main" id="{38D1AB9F-649F-4B9C-B97D-7C5B1E8E9F8E}"/>
            </a:ext>
          </a:extLst>
        </xdr:cNvPr>
        <xdr:cNvSpPr/>
      </xdr:nvSpPr>
      <xdr:spPr>
        <a:xfrm>
          <a:off x="10511118" y="21660970"/>
          <a:ext cx="327106" cy="156322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144</xdr:col>
      <xdr:colOff>0</xdr:colOff>
      <xdr:row>74</xdr:row>
      <xdr:rowOff>0</xdr:rowOff>
    </xdr:from>
    <xdr:ext cx="515471" cy="438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8ED4046-1154-4DBA-AFD4-538F7DC08542}"/>
                </a:ext>
              </a:extLst>
            </xdr:cNvPr>
            <xdr:cNvSpPr txBox="1"/>
          </xdr:nvSpPr>
          <xdr:spPr>
            <a:xfrm>
              <a:off x="91585676" y="11609294"/>
              <a:ext cx="515471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2800" b="0"/>
                <a:t>Y</a:t>
              </a:r>
              <a14:m>
                <m:oMath xmlns:m="http://schemas.openxmlformats.org/officeDocument/2006/math">
                  <m:r>
                    <a:rPr lang="pt-PT" sz="2800" b="0" i="1">
                      <a:latin typeface="Cambria Math" panose="02040503050406030204" pitchFamily="18" charset="0"/>
                    </a:rPr>
                    <m:t>=</m:t>
                  </m:r>
                </m:oMath>
              </a14:m>
              <a:endParaRPr lang="pt-PT" sz="28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8ED4046-1154-4DBA-AFD4-538F7DC08542}"/>
                </a:ext>
              </a:extLst>
            </xdr:cNvPr>
            <xdr:cNvSpPr txBox="1"/>
          </xdr:nvSpPr>
          <xdr:spPr>
            <a:xfrm>
              <a:off x="91585676" y="11609294"/>
              <a:ext cx="515471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2800" b="0"/>
                <a:t>Y</a:t>
              </a:r>
              <a:r>
                <a:rPr lang="pt-PT" sz="2800" b="0" i="0">
                  <a:latin typeface="Cambria Math" panose="02040503050406030204" pitchFamily="18" charset="0"/>
                </a:rPr>
                <a:t>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144</xdr:col>
      <xdr:colOff>470646</xdr:colOff>
      <xdr:row>14</xdr:row>
      <xdr:rowOff>33619</xdr:rowOff>
    </xdr:from>
    <xdr:to>
      <xdr:col>145</xdr:col>
      <xdr:colOff>158002</xdr:colOff>
      <xdr:row>135</xdr:row>
      <xdr:rowOff>81245</xdr:rowOff>
    </xdr:to>
    <xdr:sp macro="" textlink="">
      <xdr:nvSpPr>
        <xdr:cNvPr id="18" name="Parêntese esquerdo 17">
          <a:extLst>
            <a:ext uri="{FF2B5EF4-FFF2-40B4-BE49-F238E27FC236}">
              <a16:creationId xmlns:a16="http://schemas.microsoft.com/office/drawing/2014/main" id="{3BF429AC-C7F4-4415-8556-14184FFDD40C}"/>
            </a:ext>
          </a:extLst>
        </xdr:cNvPr>
        <xdr:cNvSpPr/>
      </xdr:nvSpPr>
      <xdr:spPr>
        <a:xfrm>
          <a:off x="92056322" y="2229972"/>
          <a:ext cx="292474" cy="1903039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145</xdr:col>
      <xdr:colOff>593912</xdr:colOff>
      <xdr:row>14</xdr:row>
      <xdr:rowOff>22412</xdr:rowOff>
    </xdr:from>
    <xdr:to>
      <xdr:col>146</xdr:col>
      <xdr:colOff>500529</xdr:colOff>
      <xdr:row>135</xdr:row>
      <xdr:rowOff>70038</xdr:rowOff>
    </xdr:to>
    <xdr:sp macro="" textlink="">
      <xdr:nvSpPr>
        <xdr:cNvPr id="19" name="Parêntese esquerdo 18">
          <a:extLst>
            <a:ext uri="{FF2B5EF4-FFF2-40B4-BE49-F238E27FC236}">
              <a16:creationId xmlns:a16="http://schemas.microsoft.com/office/drawing/2014/main" id="{D4FB3D92-E770-408C-9F31-841C1774EC85}"/>
            </a:ext>
          </a:extLst>
        </xdr:cNvPr>
        <xdr:cNvSpPr/>
      </xdr:nvSpPr>
      <xdr:spPr>
        <a:xfrm flipH="1" flipV="1">
          <a:off x="92784706" y="2218765"/>
          <a:ext cx="511735" cy="1903039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22</xdr:col>
      <xdr:colOff>123265</xdr:colOff>
      <xdr:row>141</xdr:row>
      <xdr:rowOff>11206</xdr:rowOff>
    </xdr:from>
    <xdr:ext cx="1393395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3818B705-4F2E-4EF1-A64F-494BCC7F0EC6}"/>
                </a:ext>
              </a:extLst>
            </xdr:cNvPr>
            <xdr:cNvSpPr txBox="1"/>
          </xdr:nvSpPr>
          <xdr:spPr>
            <a:xfrm>
              <a:off x="18310412" y="22131618"/>
              <a:ext cx="139339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3818B705-4F2E-4EF1-A64F-494BCC7F0EC6}"/>
                </a:ext>
              </a:extLst>
            </xdr:cNvPr>
            <xdr:cNvSpPr txBox="1"/>
          </xdr:nvSpPr>
          <xdr:spPr>
            <a:xfrm>
              <a:off x="18310412" y="22131618"/>
              <a:ext cx="139339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2800" b="0" i="0">
                  <a:latin typeface="Cambria Math" panose="02040503050406030204" pitchFamily="18" charset="0"/>
                </a:rPr>
                <a:t>𝑋^𝑡∗𝑌=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24</xdr:col>
      <xdr:colOff>907677</xdr:colOff>
      <xdr:row>137</xdr:row>
      <xdr:rowOff>123265</xdr:rowOff>
    </xdr:from>
    <xdr:to>
      <xdr:col>25</xdr:col>
      <xdr:colOff>248665</xdr:colOff>
      <xdr:row>147</xdr:row>
      <xdr:rowOff>117661</xdr:rowOff>
    </xdr:to>
    <xdr:sp macro="" textlink="">
      <xdr:nvSpPr>
        <xdr:cNvPr id="21" name="Parêntese esquerdo 20">
          <a:extLst>
            <a:ext uri="{FF2B5EF4-FFF2-40B4-BE49-F238E27FC236}">
              <a16:creationId xmlns:a16="http://schemas.microsoft.com/office/drawing/2014/main" id="{3FA0641B-BC0D-48A5-8CA5-E5943201AF5B}"/>
            </a:ext>
          </a:extLst>
        </xdr:cNvPr>
        <xdr:cNvSpPr/>
      </xdr:nvSpPr>
      <xdr:spPr>
        <a:xfrm flipH="1">
          <a:off x="20730883" y="21616147"/>
          <a:ext cx="327106" cy="156322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24</xdr:col>
      <xdr:colOff>67236</xdr:colOff>
      <xdr:row>137</xdr:row>
      <xdr:rowOff>134470</xdr:rowOff>
    </xdr:from>
    <xdr:to>
      <xdr:col>24</xdr:col>
      <xdr:colOff>394342</xdr:colOff>
      <xdr:row>147</xdr:row>
      <xdr:rowOff>128866</xdr:rowOff>
    </xdr:to>
    <xdr:sp macro="" textlink="">
      <xdr:nvSpPr>
        <xdr:cNvPr id="22" name="Parêntese esquerdo 21">
          <a:extLst>
            <a:ext uri="{FF2B5EF4-FFF2-40B4-BE49-F238E27FC236}">
              <a16:creationId xmlns:a16="http://schemas.microsoft.com/office/drawing/2014/main" id="{88D2FBF3-1B2C-44F6-9620-6E5DBDBA4DE7}"/>
            </a:ext>
          </a:extLst>
        </xdr:cNvPr>
        <xdr:cNvSpPr/>
      </xdr:nvSpPr>
      <xdr:spPr>
        <a:xfrm>
          <a:off x="19890442" y="21627352"/>
          <a:ext cx="327106" cy="156322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</xdr:col>
      <xdr:colOff>459442</xdr:colOff>
      <xdr:row>154</xdr:row>
      <xdr:rowOff>0</xdr:rowOff>
    </xdr:from>
    <xdr:ext cx="1320800" cy="3556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4BB54A9-73CB-4584-BFB4-73B104B8FABC}"/>
                </a:ext>
              </a:extLst>
            </xdr:cNvPr>
            <xdr:cNvSpPr txBox="1"/>
          </xdr:nvSpPr>
          <xdr:spPr>
            <a:xfrm>
              <a:off x="1064560" y="24260735"/>
              <a:ext cx="13208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𝑛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4BB54A9-73CB-4584-BFB4-73B104B8FABC}"/>
                </a:ext>
              </a:extLst>
            </xdr:cNvPr>
            <xdr:cNvSpPr txBox="1"/>
          </xdr:nvSpPr>
          <xdr:spPr>
            <a:xfrm>
              <a:off x="1064560" y="24260735"/>
              <a:ext cx="13208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〖𝑆𝑄〗_𝑇=𝑌^𝑇 𝑌−𝑛𝑦 ̅^2=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280146</xdr:colOff>
      <xdr:row>155</xdr:row>
      <xdr:rowOff>123265</xdr:rowOff>
    </xdr:from>
    <xdr:ext cx="1549400" cy="3810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6E702D31-F502-40A0-B6D1-730DFAD7DECA}"/>
                </a:ext>
              </a:extLst>
            </xdr:cNvPr>
            <xdr:cNvSpPr txBox="1"/>
          </xdr:nvSpPr>
          <xdr:spPr>
            <a:xfrm>
              <a:off x="885264" y="24540883"/>
              <a:ext cx="1549400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𝑛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6E702D31-F502-40A0-B6D1-730DFAD7DECA}"/>
                </a:ext>
              </a:extLst>
            </xdr:cNvPr>
            <xdr:cNvSpPr txBox="1"/>
          </xdr:nvSpPr>
          <xdr:spPr>
            <a:xfrm>
              <a:off x="885264" y="24540883"/>
              <a:ext cx="1549400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〖𝑆𝑄〗_𝑅=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𝑌−𝑛𝑦 ̅^2=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268942</xdr:colOff>
      <xdr:row>157</xdr:row>
      <xdr:rowOff>123264</xdr:rowOff>
    </xdr:from>
    <xdr:ext cx="1549400" cy="2635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76B3074-652D-4E26-A49F-FBC76FBD3398}"/>
                </a:ext>
              </a:extLst>
            </xdr:cNvPr>
            <xdr:cNvSpPr txBox="1"/>
          </xdr:nvSpPr>
          <xdr:spPr>
            <a:xfrm>
              <a:off x="874060" y="24854646"/>
              <a:ext cx="1549400" cy="2635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𝐸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76B3074-652D-4E26-A49F-FBC76FBD3398}"/>
                </a:ext>
              </a:extLst>
            </xdr:cNvPr>
            <xdr:cNvSpPr txBox="1"/>
          </xdr:nvSpPr>
          <xdr:spPr>
            <a:xfrm>
              <a:off x="874060" y="24854646"/>
              <a:ext cx="1549400" cy="2635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〖𝑆𝑄〗_𝐸=𝑌^𝑇 𝑌−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190500</xdr:colOff>
      <xdr:row>166</xdr:row>
      <xdr:rowOff>123263</xdr:rowOff>
    </xdr:from>
    <xdr:ext cx="818030" cy="5042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67C9168-2ADC-40D7-BF49-29E2AC6EAD67}"/>
                </a:ext>
              </a:extLst>
            </xdr:cNvPr>
            <xdr:cNvSpPr txBox="1"/>
          </xdr:nvSpPr>
          <xdr:spPr>
            <a:xfrm>
              <a:off x="1669676" y="26401057"/>
              <a:ext cx="818030" cy="5042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𝑀</m:t>
                        </m:r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𝑀𝑄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67C9168-2ADC-40D7-BF49-29E2AC6EAD67}"/>
                </a:ext>
              </a:extLst>
            </xdr:cNvPr>
            <xdr:cNvSpPr txBox="1"/>
          </xdr:nvSpPr>
          <xdr:spPr>
            <a:xfrm>
              <a:off x="1669676" y="26401057"/>
              <a:ext cx="818030" cy="5042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𝐹_0=(𝑀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𝑄_𝑅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𝑀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𝑄〗_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𝐸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22412</xdr:colOff>
      <xdr:row>160</xdr:row>
      <xdr:rowOff>67236</xdr:rowOff>
    </xdr:from>
    <xdr:ext cx="1053353" cy="3922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1F61672-F670-4348-9275-010BB41D1789}"/>
                </a:ext>
              </a:extLst>
            </xdr:cNvPr>
            <xdr:cNvSpPr txBox="1"/>
          </xdr:nvSpPr>
          <xdr:spPr>
            <a:xfrm>
              <a:off x="1423147" y="25269265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𝑀</m:t>
                    </m:r>
                    <m:sSub>
                      <m:sSubPr>
                        <m:ctrlP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𝑄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𝑅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𝑔𝑙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1F61672-F670-4348-9275-010BB41D1789}"/>
                </a:ext>
              </a:extLst>
            </xdr:cNvPr>
            <xdr:cNvSpPr txBox="1"/>
          </xdr:nvSpPr>
          <xdr:spPr>
            <a:xfrm>
              <a:off x="1423147" y="25269265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𝑀𝑄_𝑅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𝑄〗_𝑅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𝑔𝑙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761999</xdr:colOff>
      <xdr:row>163</xdr:row>
      <xdr:rowOff>67236</xdr:rowOff>
    </xdr:from>
    <xdr:ext cx="1053353" cy="3922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6744F2EB-3A71-4BE1-81F1-6A3802AB8B55}"/>
                </a:ext>
              </a:extLst>
            </xdr:cNvPr>
            <xdr:cNvSpPr txBox="1"/>
          </xdr:nvSpPr>
          <xdr:spPr>
            <a:xfrm>
              <a:off x="1367117" y="25739912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𝑀</m:t>
                    </m:r>
                    <m:sSub>
                      <m:sSubPr>
                        <m:ctrlP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𝑄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𝐸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𝑔𝑙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6744F2EB-3A71-4BE1-81F1-6A3802AB8B55}"/>
                </a:ext>
              </a:extLst>
            </xdr:cNvPr>
            <xdr:cNvSpPr txBox="1"/>
          </xdr:nvSpPr>
          <xdr:spPr>
            <a:xfrm>
              <a:off x="1367117" y="25739912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𝑀𝑄_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𝐸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𝑄〗_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𝐸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𝑔𝑙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〗_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𝐸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26</xdr:col>
      <xdr:colOff>156882</xdr:colOff>
      <xdr:row>140</xdr:row>
      <xdr:rowOff>56029</xdr:rowOff>
    </xdr:from>
    <xdr:ext cx="3957494" cy="445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6B468184-8149-4890-B760-E8200F7ACAEC}"/>
                </a:ext>
              </a:extLst>
            </xdr:cNvPr>
            <xdr:cNvSpPr txBox="1"/>
          </xdr:nvSpPr>
          <xdr:spPr>
            <a:xfrm>
              <a:off x="22232470" y="22019558"/>
              <a:ext cx="3957494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2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𝛽</m:t>
                    </m:r>
                    <m:r>
                      <a:rPr lang="pt-PT" sz="2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p>
                        </m:s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𝑌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6B468184-8149-4890-B760-E8200F7ACAEC}"/>
                </a:ext>
              </a:extLst>
            </xdr:cNvPr>
            <xdr:cNvSpPr txBox="1"/>
          </xdr:nvSpPr>
          <xdr:spPr>
            <a:xfrm>
              <a:off x="22232470" y="22019558"/>
              <a:ext cx="3957494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𝛽=</a:t>
              </a:r>
              <a:r>
                <a:rPr lang="pt-PT" sz="2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〖(𝑋^𝑡∗𝑋)〗^(−1)∗𝑋^𝑡∗𝑌</a:t>
              </a:r>
              <a:r>
                <a:rPr lang="pt-PT" sz="2800" b="0" i="0">
                  <a:latin typeface="Cambria Math" panose="02040503050406030204" pitchFamily="18" charset="0"/>
                </a:rPr>
                <a:t>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32</xdr:col>
      <xdr:colOff>369795</xdr:colOff>
      <xdr:row>137</xdr:row>
      <xdr:rowOff>145677</xdr:rowOff>
    </xdr:from>
    <xdr:to>
      <xdr:col>33</xdr:col>
      <xdr:colOff>91783</xdr:colOff>
      <xdr:row>147</xdr:row>
      <xdr:rowOff>140073</xdr:rowOff>
    </xdr:to>
    <xdr:sp macro="" textlink="">
      <xdr:nvSpPr>
        <xdr:cNvPr id="31" name="Parêntese esquerdo 30">
          <a:extLst>
            <a:ext uri="{FF2B5EF4-FFF2-40B4-BE49-F238E27FC236}">
              <a16:creationId xmlns:a16="http://schemas.microsoft.com/office/drawing/2014/main" id="{C5C872E4-4361-4570-84E6-9C1DACE9FFB7}"/>
            </a:ext>
          </a:extLst>
        </xdr:cNvPr>
        <xdr:cNvSpPr/>
      </xdr:nvSpPr>
      <xdr:spPr>
        <a:xfrm flipH="1">
          <a:off x="26053677" y="21638559"/>
          <a:ext cx="327106" cy="156322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31</xdr:col>
      <xdr:colOff>582706</xdr:colOff>
      <xdr:row>137</xdr:row>
      <xdr:rowOff>145676</xdr:rowOff>
    </xdr:from>
    <xdr:to>
      <xdr:col>32</xdr:col>
      <xdr:colOff>304695</xdr:colOff>
      <xdr:row>147</xdr:row>
      <xdr:rowOff>140072</xdr:rowOff>
    </xdr:to>
    <xdr:sp macro="" textlink="">
      <xdr:nvSpPr>
        <xdr:cNvPr id="32" name="Parêntese esquerdo 31">
          <a:extLst>
            <a:ext uri="{FF2B5EF4-FFF2-40B4-BE49-F238E27FC236}">
              <a16:creationId xmlns:a16="http://schemas.microsoft.com/office/drawing/2014/main" id="{16F713BC-7838-488B-96D2-5A6E361CFFB9}"/>
            </a:ext>
          </a:extLst>
        </xdr:cNvPr>
        <xdr:cNvSpPr/>
      </xdr:nvSpPr>
      <xdr:spPr>
        <a:xfrm>
          <a:off x="25661471" y="21638558"/>
          <a:ext cx="327106" cy="156322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15</xdr:col>
      <xdr:colOff>100854</xdr:colOff>
      <xdr:row>162</xdr:row>
      <xdr:rowOff>145676</xdr:rowOff>
    </xdr:from>
    <xdr:ext cx="806824" cy="2129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93D6F48-CC31-4B65-AB79-60B6257724AF}"/>
                </a:ext>
              </a:extLst>
            </xdr:cNvPr>
            <xdr:cNvSpPr txBox="1"/>
          </xdr:nvSpPr>
          <xdr:spPr>
            <a:xfrm>
              <a:off x="12371295" y="25795941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93D6F48-CC31-4B65-AB79-60B6257724AF}"/>
                </a:ext>
              </a:extLst>
            </xdr:cNvPr>
            <xdr:cNvSpPr txBox="1"/>
          </xdr:nvSpPr>
          <xdr:spPr>
            <a:xfrm>
              <a:off x="12371295" y="25795941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15</xdr:col>
      <xdr:colOff>156882</xdr:colOff>
      <xdr:row>161</xdr:row>
      <xdr:rowOff>0</xdr:rowOff>
    </xdr:from>
    <xdr:ext cx="806824" cy="2129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2A8121C-79FB-4E9A-95B2-C3F6BCFD1745}"/>
                </a:ext>
              </a:extLst>
            </xdr:cNvPr>
            <xdr:cNvSpPr txBox="1"/>
          </xdr:nvSpPr>
          <xdr:spPr>
            <a:xfrm>
              <a:off x="12427323" y="25493382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2A8121C-79FB-4E9A-95B2-C3F6BCFD1745}"/>
                </a:ext>
              </a:extLst>
            </xdr:cNvPr>
            <xdr:cNvSpPr txBox="1"/>
          </xdr:nvSpPr>
          <xdr:spPr>
            <a:xfrm>
              <a:off x="12427323" y="25493382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𝑇=</a:t>
              </a:r>
              <a:endParaRPr lang="pt-PT" sz="1200"/>
            </a:p>
          </xdr:txBody>
        </xdr:sp>
      </mc:Fallback>
    </mc:AlternateContent>
    <xdr:clientData/>
  </xdr:oneCellAnchor>
  <xdr:twoCellAnchor editAs="oneCell">
    <xdr:from>
      <xdr:col>0</xdr:col>
      <xdr:colOff>100852</xdr:colOff>
      <xdr:row>183</xdr:row>
      <xdr:rowOff>33617</xdr:rowOff>
    </xdr:from>
    <xdr:to>
      <xdr:col>4</xdr:col>
      <xdr:colOff>120934</xdr:colOff>
      <xdr:row>186</xdr:row>
      <xdr:rowOff>96444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21B4FC-58AB-90BB-5243-3B4FA9D3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52" y="29069166"/>
          <a:ext cx="3380000" cy="533844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123265</xdr:colOff>
      <xdr:row>179</xdr:row>
      <xdr:rowOff>123264</xdr:rowOff>
    </xdr:from>
    <xdr:to>
      <xdr:col>2</xdr:col>
      <xdr:colOff>320723</xdr:colOff>
      <xdr:row>182</xdr:row>
      <xdr:rowOff>147986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B0A328BC-5F16-5BBD-1C43-BA7914499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5" y="28485352"/>
          <a:ext cx="1676634" cy="495369"/>
        </a:xfrm>
        <a:prstGeom prst="rect">
          <a:avLst/>
        </a:prstGeom>
      </xdr:spPr>
    </xdr:pic>
    <xdr:clientData/>
  </xdr:twoCellAnchor>
  <xdr:oneCellAnchor>
    <xdr:from>
      <xdr:col>4</xdr:col>
      <xdr:colOff>280147</xdr:colOff>
      <xdr:row>192</xdr:row>
      <xdr:rowOff>89647</xdr:rowOff>
    </xdr:from>
    <xdr:ext cx="4616823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6D72ACD2-842D-4484-9F93-80A993725048}"/>
                </a:ext>
              </a:extLst>
            </xdr:cNvPr>
            <xdr:cNvSpPr txBox="1"/>
          </xdr:nvSpPr>
          <xdr:spPr>
            <a:xfrm>
              <a:off x="3641912" y="30524823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=0, 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𝑘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=6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6D72ACD2-842D-4484-9F93-80A993725048}"/>
                </a:ext>
              </a:extLst>
            </xdr:cNvPr>
            <xdr:cNvSpPr txBox="1"/>
          </xdr:nvSpPr>
          <xdr:spPr>
            <a:xfrm>
              <a:off x="3641912" y="30524823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600" b="0" i="0">
                  <a:latin typeface="Cambria Math" panose="02040503050406030204" pitchFamily="18" charset="0"/>
                </a:rPr>
                <a:t>0=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𝛽_1=𝛽_2=𝛽_3=𝛽_4=𝛽_5=𝛽_6=0, 𝑘=6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4</xdr:col>
      <xdr:colOff>280147</xdr:colOff>
      <xdr:row>194</xdr:row>
      <xdr:rowOff>112059</xdr:rowOff>
    </xdr:from>
    <xdr:ext cx="4616823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4207079D-5111-434E-A754-3CF9686F3154}"/>
                </a:ext>
              </a:extLst>
            </xdr:cNvPr>
            <xdr:cNvSpPr txBox="1"/>
          </xdr:nvSpPr>
          <xdr:spPr>
            <a:xfrm>
              <a:off x="3641912" y="30861000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2=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𝑗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𝑝𝑎𝑟𝑎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𝑎𝑙𝑔𝑢𝑚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𝑗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, 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𝑗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=1,2,3,4,5,6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4207079D-5111-434E-A754-3CF9686F3154}"/>
                </a:ext>
              </a:extLst>
            </xdr:cNvPr>
            <xdr:cNvSpPr txBox="1"/>
          </xdr:nvSpPr>
          <xdr:spPr>
            <a:xfrm>
              <a:off x="3641912" y="30861000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𝐻2=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𝛽_𝑗≠0 𝑝𝑎𝑟𝑎 𝑎𝑙𝑔𝑢𝑚 𝑗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, 𝑗=1,2,3,4,5,6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953559</xdr:colOff>
      <xdr:row>204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9DAEBD0E-DA88-4491-B7E0-D2DA0221D078}"/>
                </a:ext>
              </a:extLst>
            </xdr:cNvPr>
            <xdr:cNvSpPr txBox="1"/>
          </xdr:nvSpPr>
          <xdr:spPr>
            <a:xfrm>
              <a:off x="1563159" y="1271121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3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9DAEBD0E-DA88-4491-B7E0-D2DA0221D078}"/>
                </a:ext>
              </a:extLst>
            </xdr:cNvPr>
            <xdr:cNvSpPr txBox="1"/>
          </xdr:nvSpPr>
          <xdr:spPr>
            <a:xfrm>
              <a:off x="1563159" y="1271121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4</xdr:col>
      <xdr:colOff>459442</xdr:colOff>
      <xdr:row>200</xdr:row>
      <xdr:rowOff>125505</xdr:rowOff>
    </xdr:from>
    <xdr:ext cx="6633882" cy="27404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188B652-0D5B-B3A4-17AE-197469DB31AE}"/>
                </a:ext>
              </a:extLst>
            </xdr:cNvPr>
            <xdr:cNvSpPr txBox="1"/>
          </xdr:nvSpPr>
          <xdr:spPr>
            <a:xfrm>
              <a:off x="3821207" y="31826946"/>
              <a:ext cx="6633882" cy="2740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𝐼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.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𝐶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=]</m:t>
                  </m:r>
                  <m:sSub>
                    <m:sSub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𝐽</m:t>
                      </m:r>
                    </m:sub>
                  </m:sSub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/2[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𝑛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+1</m:t>
                      </m:r>
                    </m:e>
                  </m:d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]</m:t>
                  </m:r>
                  <m:rad>
                    <m:radPr>
                      <m:degHide m:val="on"/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𝜎</m:t>
                          </m:r>
                        </m:e>
                        <m:sup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𝐶𝑗𝑗</m:t>
                      </m:r>
                    </m:e>
                  </m:rad>
                </m:oMath>
              </a14:m>
              <a:r>
                <a:rPr lang="pt-PT" sz="1400"/>
                <a:t>,</a:t>
              </a:r>
              <a14:m>
                <m:oMath xmlns:m="http://schemas.openxmlformats.org/officeDocument/2006/math">
                  <m:sSub>
                    <m:sSub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𝐽</m:t>
                      </m:r>
                    </m:sub>
                  </m:sSub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/2[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𝑛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+1</m:t>
                      </m:r>
                    </m:e>
                  </m:d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]</m:t>
                  </m:r>
                  <m:rad>
                    <m:radPr>
                      <m:degHide m:val="on"/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𝜎</m:t>
                          </m:r>
                        </m:e>
                        <m:sup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𝐶𝑗𝑗</m:t>
                      </m:r>
                    </m:e>
                  </m:rad>
                </m:oMath>
              </a14:m>
              <a:r>
                <a:rPr lang="pt-PT" sz="1400"/>
                <a:t>[</a:t>
              </a:r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188B652-0D5B-B3A4-17AE-197469DB31AE}"/>
                </a:ext>
              </a:extLst>
            </xdr:cNvPr>
            <xdr:cNvSpPr txBox="1"/>
          </xdr:nvSpPr>
          <xdr:spPr>
            <a:xfrm>
              <a:off x="3821207" y="31826946"/>
              <a:ext cx="6633882" cy="2740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𝐼.𝐶=]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𝛽_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𝐽−𝑇1−𝑎/2[𝑛−(𝑘+1)]√(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 𝐶𝑗𝑗)</a:t>
              </a:r>
              <a:r>
                <a:rPr lang="pt-PT" sz="1400"/>
                <a:t>,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𝛽_𝐽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𝑇1−𝑎/2[𝑛−(𝑘+1)]√(𝜎^2 𝐶𝑗𝑗)</a:t>
              </a:r>
              <a:r>
                <a:rPr lang="pt-PT" sz="1400"/>
                <a:t>[</a:t>
              </a:r>
            </a:p>
          </xdr:txBody>
        </xdr:sp>
      </mc:Fallback>
    </mc:AlternateContent>
    <xdr:clientData/>
  </xdr:oneCellAnchor>
  <xdr:oneCellAnchor>
    <xdr:from>
      <xdr:col>2</xdr:col>
      <xdr:colOff>736227</xdr:colOff>
      <xdr:row>207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27271C-AF34-3675-4770-542A9198430C}"/>
                </a:ext>
              </a:extLst>
            </xdr:cNvPr>
            <xdr:cNvSpPr txBox="1"/>
          </xdr:nvSpPr>
          <xdr:spPr>
            <a:xfrm>
              <a:off x="2215403" y="3281306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27271C-AF34-3675-4770-542A9198430C}"/>
                </a:ext>
              </a:extLst>
            </xdr:cNvPr>
            <xdr:cNvSpPr txBox="1"/>
          </xdr:nvSpPr>
          <xdr:spPr>
            <a:xfrm>
              <a:off x="2215403" y="3281306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208</xdr:row>
      <xdr:rowOff>145675</xdr:rowOff>
    </xdr:from>
    <xdr:ext cx="288477" cy="172227"/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FFDAD077-C5B8-4CB7-BB3C-269232A83438}"/>
            </a:ext>
          </a:extLst>
        </xdr:cNvPr>
        <xdr:cNvSpPr txBox="1"/>
      </xdr:nvSpPr>
      <xdr:spPr>
        <a:xfrm>
          <a:off x="2140323" y="33113381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</xdr:col>
      <xdr:colOff>953559</xdr:colOff>
      <xdr:row>214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58303E0-E170-4934-A7F7-F44530AE5F3E}"/>
                </a:ext>
              </a:extLst>
            </xdr:cNvPr>
            <xdr:cNvSpPr txBox="1"/>
          </xdr:nvSpPr>
          <xdr:spPr>
            <a:xfrm>
              <a:off x="1484718" y="3245553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4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58303E0-E170-4934-A7F7-F44530AE5F3E}"/>
                </a:ext>
              </a:extLst>
            </xdr:cNvPr>
            <xdr:cNvSpPr txBox="1"/>
          </xdr:nvSpPr>
          <xdr:spPr>
            <a:xfrm>
              <a:off x="1484718" y="3245553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736227</xdr:colOff>
      <xdr:row>217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0E31BBCC-390B-47D9-BFA9-931CC2CD7D36}"/>
                </a:ext>
              </a:extLst>
            </xdr:cNvPr>
            <xdr:cNvSpPr txBox="1"/>
          </xdr:nvSpPr>
          <xdr:spPr>
            <a:xfrm>
              <a:off x="2215403" y="3281306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0E31BBCC-390B-47D9-BFA9-931CC2CD7D36}"/>
                </a:ext>
              </a:extLst>
            </xdr:cNvPr>
            <xdr:cNvSpPr txBox="1"/>
          </xdr:nvSpPr>
          <xdr:spPr>
            <a:xfrm>
              <a:off x="2215403" y="3281306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218</xdr:row>
      <xdr:rowOff>145675</xdr:rowOff>
    </xdr:from>
    <xdr:ext cx="288477" cy="172227"/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3132BAE2-8A09-4125-8E48-8E41B4F9530C}"/>
            </a:ext>
          </a:extLst>
        </xdr:cNvPr>
        <xdr:cNvSpPr txBox="1"/>
      </xdr:nvSpPr>
      <xdr:spPr>
        <a:xfrm>
          <a:off x="2140323" y="34704616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</xdr:col>
      <xdr:colOff>953559</xdr:colOff>
      <xdr:row>224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BEAFF58-D1C2-4778-A8F8-9A7E498F5D2C}"/>
                </a:ext>
              </a:extLst>
            </xdr:cNvPr>
            <xdr:cNvSpPr txBox="1"/>
          </xdr:nvSpPr>
          <xdr:spPr>
            <a:xfrm>
              <a:off x="1484718" y="3404677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4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BEAFF58-D1C2-4778-A8F8-9A7E498F5D2C}"/>
                </a:ext>
              </a:extLst>
            </xdr:cNvPr>
            <xdr:cNvSpPr txBox="1"/>
          </xdr:nvSpPr>
          <xdr:spPr>
            <a:xfrm>
              <a:off x="1484718" y="3404677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736227</xdr:colOff>
      <xdr:row>227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82BE3B2-E9F2-4C8F-A65D-B431B65E19DB}"/>
                </a:ext>
              </a:extLst>
            </xdr:cNvPr>
            <xdr:cNvSpPr txBox="1"/>
          </xdr:nvSpPr>
          <xdr:spPr>
            <a:xfrm>
              <a:off x="2215403" y="3440430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82BE3B2-E9F2-4C8F-A65D-B431B65E19DB}"/>
                </a:ext>
              </a:extLst>
            </xdr:cNvPr>
            <xdr:cNvSpPr txBox="1"/>
          </xdr:nvSpPr>
          <xdr:spPr>
            <a:xfrm>
              <a:off x="2215403" y="3440430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228</xdr:row>
      <xdr:rowOff>145675</xdr:rowOff>
    </xdr:from>
    <xdr:ext cx="288477" cy="172227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DEA21A72-A784-4692-A17C-FAE98A416ABB}"/>
            </a:ext>
          </a:extLst>
        </xdr:cNvPr>
        <xdr:cNvSpPr txBox="1"/>
      </xdr:nvSpPr>
      <xdr:spPr>
        <a:xfrm>
          <a:off x="2140323" y="36295851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</xdr:col>
      <xdr:colOff>953559</xdr:colOff>
      <xdr:row>234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44E5AD7-ABF4-40B3-B818-718F5EBA2EE9}"/>
                </a:ext>
              </a:extLst>
            </xdr:cNvPr>
            <xdr:cNvSpPr txBox="1"/>
          </xdr:nvSpPr>
          <xdr:spPr>
            <a:xfrm>
              <a:off x="1484718" y="3404677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4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44E5AD7-ABF4-40B3-B818-718F5EBA2EE9}"/>
                </a:ext>
              </a:extLst>
            </xdr:cNvPr>
            <xdr:cNvSpPr txBox="1"/>
          </xdr:nvSpPr>
          <xdr:spPr>
            <a:xfrm>
              <a:off x="1484718" y="3404677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736227</xdr:colOff>
      <xdr:row>237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CC4E2A31-3CC6-4A95-8F3C-0DBB9394A732}"/>
                </a:ext>
              </a:extLst>
            </xdr:cNvPr>
            <xdr:cNvSpPr txBox="1"/>
          </xdr:nvSpPr>
          <xdr:spPr>
            <a:xfrm>
              <a:off x="2215403" y="3440430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CC4E2A31-3CC6-4A95-8F3C-0DBB9394A732}"/>
                </a:ext>
              </a:extLst>
            </xdr:cNvPr>
            <xdr:cNvSpPr txBox="1"/>
          </xdr:nvSpPr>
          <xdr:spPr>
            <a:xfrm>
              <a:off x="2215403" y="3440430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238</xdr:row>
      <xdr:rowOff>145675</xdr:rowOff>
    </xdr:from>
    <xdr:ext cx="288477" cy="172227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C839A394-D914-4ECA-B807-F54C3B269DD2}"/>
            </a:ext>
          </a:extLst>
        </xdr:cNvPr>
        <xdr:cNvSpPr txBox="1"/>
      </xdr:nvSpPr>
      <xdr:spPr>
        <a:xfrm>
          <a:off x="2140323" y="37887087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</xdr:col>
      <xdr:colOff>953559</xdr:colOff>
      <xdr:row>244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AC219D3-9103-4C15-9901-1EE62FAE8158}"/>
                </a:ext>
              </a:extLst>
            </xdr:cNvPr>
            <xdr:cNvSpPr txBox="1"/>
          </xdr:nvSpPr>
          <xdr:spPr>
            <a:xfrm>
              <a:off x="1484718" y="3404677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4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AC219D3-9103-4C15-9901-1EE62FAE8158}"/>
                </a:ext>
              </a:extLst>
            </xdr:cNvPr>
            <xdr:cNvSpPr txBox="1"/>
          </xdr:nvSpPr>
          <xdr:spPr>
            <a:xfrm>
              <a:off x="1484718" y="3404677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736227</xdr:colOff>
      <xdr:row>247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838DF28D-F7E9-4109-B29D-5C086B504FDB}"/>
                </a:ext>
              </a:extLst>
            </xdr:cNvPr>
            <xdr:cNvSpPr txBox="1"/>
          </xdr:nvSpPr>
          <xdr:spPr>
            <a:xfrm>
              <a:off x="2215403" y="3440430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838DF28D-F7E9-4109-B29D-5C086B504FDB}"/>
                </a:ext>
              </a:extLst>
            </xdr:cNvPr>
            <xdr:cNvSpPr txBox="1"/>
          </xdr:nvSpPr>
          <xdr:spPr>
            <a:xfrm>
              <a:off x="2215403" y="3440430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248</xdr:row>
      <xdr:rowOff>145675</xdr:rowOff>
    </xdr:from>
    <xdr:ext cx="288477" cy="172227"/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C18364AE-9283-4E07-A5DC-3BC031F367E5}"/>
            </a:ext>
          </a:extLst>
        </xdr:cNvPr>
        <xdr:cNvSpPr txBox="1"/>
      </xdr:nvSpPr>
      <xdr:spPr>
        <a:xfrm>
          <a:off x="2140323" y="39478322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C44=</a:t>
          </a:r>
        </a:p>
      </xdr:txBody>
    </xdr:sp>
    <xdr:clientData/>
  </xdr:oneCellAnchor>
  <xdr:oneCellAnchor>
    <xdr:from>
      <xdr:col>1</xdr:col>
      <xdr:colOff>953559</xdr:colOff>
      <xdr:row>254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13A9BF9-F230-4BE7-A195-D09DFD80D98F}"/>
                </a:ext>
              </a:extLst>
            </xdr:cNvPr>
            <xdr:cNvSpPr txBox="1"/>
          </xdr:nvSpPr>
          <xdr:spPr>
            <a:xfrm>
              <a:off x="1484718" y="3404677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5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13A9BF9-F230-4BE7-A195-D09DFD80D98F}"/>
                </a:ext>
              </a:extLst>
            </xdr:cNvPr>
            <xdr:cNvSpPr txBox="1"/>
          </xdr:nvSpPr>
          <xdr:spPr>
            <a:xfrm>
              <a:off x="1484718" y="3404677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736227</xdr:colOff>
      <xdr:row>257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4DA9F85C-F9F1-496B-85F7-39AF837901A4}"/>
                </a:ext>
              </a:extLst>
            </xdr:cNvPr>
            <xdr:cNvSpPr txBox="1"/>
          </xdr:nvSpPr>
          <xdr:spPr>
            <a:xfrm>
              <a:off x="2215403" y="3440430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4DA9F85C-F9F1-496B-85F7-39AF837901A4}"/>
                </a:ext>
              </a:extLst>
            </xdr:cNvPr>
            <xdr:cNvSpPr txBox="1"/>
          </xdr:nvSpPr>
          <xdr:spPr>
            <a:xfrm>
              <a:off x="2215403" y="3440430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258</xdr:row>
      <xdr:rowOff>145675</xdr:rowOff>
    </xdr:from>
    <xdr:ext cx="288477" cy="172227"/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C8AB7BDC-512A-43C5-B075-00E4CAA3E105}"/>
            </a:ext>
          </a:extLst>
        </xdr:cNvPr>
        <xdr:cNvSpPr txBox="1"/>
      </xdr:nvSpPr>
      <xdr:spPr>
        <a:xfrm>
          <a:off x="2140323" y="41069557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C55=</a:t>
          </a:r>
        </a:p>
      </xdr:txBody>
    </xdr:sp>
    <xdr:clientData/>
  </xdr:oneCellAnchor>
  <xdr:oneCellAnchor>
    <xdr:from>
      <xdr:col>1</xdr:col>
      <xdr:colOff>953559</xdr:colOff>
      <xdr:row>264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F4A3251-48AB-484E-9F3F-FC40B055BF3A}"/>
                </a:ext>
              </a:extLst>
            </xdr:cNvPr>
            <xdr:cNvSpPr txBox="1"/>
          </xdr:nvSpPr>
          <xdr:spPr>
            <a:xfrm>
              <a:off x="1484718" y="3404677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5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F4A3251-48AB-484E-9F3F-FC40B055BF3A}"/>
                </a:ext>
              </a:extLst>
            </xdr:cNvPr>
            <xdr:cNvSpPr txBox="1"/>
          </xdr:nvSpPr>
          <xdr:spPr>
            <a:xfrm>
              <a:off x="1484718" y="3404677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736227</xdr:colOff>
      <xdr:row>267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145D910-1C96-4968-BF05-4C1C056E810A}"/>
                </a:ext>
              </a:extLst>
            </xdr:cNvPr>
            <xdr:cNvSpPr txBox="1"/>
          </xdr:nvSpPr>
          <xdr:spPr>
            <a:xfrm>
              <a:off x="2215403" y="3440430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145D910-1C96-4968-BF05-4C1C056E810A}"/>
                </a:ext>
              </a:extLst>
            </xdr:cNvPr>
            <xdr:cNvSpPr txBox="1"/>
          </xdr:nvSpPr>
          <xdr:spPr>
            <a:xfrm>
              <a:off x="2215403" y="3440430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268</xdr:row>
      <xdr:rowOff>145675</xdr:rowOff>
    </xdr:from>
    <xdr:ext cx="288477" cy="172227"/>
    <xdr:sp macro="" textlink="">
      <xdr:nvSpPr>
        <xdr:cNvPr id="57" name="CaixaDeTexto 56">
          <a:extLst>
            <a:ext uri="{FF2B5EF4-FFF2-40B4-BE49-F238E27FC236}">
              <a16:creationId xmlns:a16="http://schemas.microsoft.com/office/drawing/2014/main" id="{F1B5DE80-C1E1-476E-9FB2-EB5F72048807}"/>
            </a:ext>
          </a:extLst>
        </xdr:cNvPr>
        <xdr:cNvSpPr txBox="1"/>
      </xdr:nvSpPr>
      <xdr:spPr>
        <a:xfrm>
          <a:off x="2140323" y="42660793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C66=</a:t>
          </a:r>
        </a:p>
      </xdr:txBody>
    </xdr:sp>
    <xdr:clientData/>
  </xdr:oneCellAnchor>
  <xdr:oneCellAnchor>
    <xdr:from>
      <xdr:col>1</xdr:col>
      <xdr:colOff>953559</xdr:colOff>
      <xdr:row>277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35827EE-E077-49ED-BFFD-21BA2A6BF291}"/>
                </a:ext>
              </a:extLst>
            </xdr:cNvPr>
            <xdr:cNvSpPr txBox="1"/>
          </xdr:nvSpPr>
          <xdr:spPr>
            <a:xfrm>
              <a:off x="1401234" y="394631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5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35827EE-E077-49ED-BFFD-21BA2A6BF291}"/>
                </a:ext>
              </a:extLst>
            </xdr:cNvPr>
            <xdr:cNvSpPr txBox="1"/>
          </xdr:nvSpPr>
          <xdr:spPr>
            <a:xfrm>
              <a:off x="1401234" y="394631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456079</xdr:colOff>
      <xdr:row>280</xdr:row>
      <xdr:rowOff>2241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37EA68C-87F8-4C3D-BA45-2EED689A36D9}"/>
                </a:ext>
              </a:extLst>
            </xdr:cNvPr>
            <xdr:cNvSpPr txBox="1"/>
          </xdr:nvSpPr>
          <xdr:spPr>
            <a:xfrm>
              <a:off x="1139638" y="44422359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37EA68C-87F8-4C3D-BA45-2EED689A36D9}"/>
                </a:ext>
              </a:extLst>
            </xdr:cNvPr>
            <xdr:cNvSpPr txBox="1"/>
          </xdr:nvSpPr>
          <xdr:spPr>
            <a:xfrm>
              <a:off x="1139638" y="44422359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672352</xdr:colOff>
      <xdr:row>281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3159196-B807-4413-BA98-03DD199D8F44}"/>
                </a:ext>
              </a:extLst>
            </xdr:cNvPr>
            <xdr:cNvSpPr txBox="1"/>
          </xdr:nvSpPr>
          <xdr:spPr>
            <a:xfrm>
              <a:off x="1281952" y="401299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3159196-B807-4413-BA98-03DD199D8F44}"/>
                </a:ext>
              </a:extLst>
            </xdr:cNvPr>
            <xdr:cNvSpPr txBox="1"/>
          </xdr:nvSpPr>
          <xdr:spPr>
            <a:xfrm>
              <a:off x="1281952" y="401299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25</xdr:col>
      <xdr:colOff>387962</xdr:colOff>
      <xdr:row>277</xdr:row>
      <xdr:rowOff>62312</xdr:rowOff>
    </xdr:from>
    <xdr:to>
      <xdr:col>34</xdr:col>
      <xdr:colOff>73981</xdr:colOff>
      <xdr:row>280</xdr:row>
      <xdr:rowOff>98427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id="{C2898ABB-DBB1-439C-B1C8-A3FE68761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75917" y="44627767"/>
          <a:ext cx="5790678" cy="512365"/>
        </a:xfrm>
        <a:prstGeom prst="rect">
          <a:avLst/>
        </a:prstGeom>
      </xdr:spPr>
    </xdr:pic>
    <xdr:clientData/>
  </xdr:twoCellAnchor>
  <xdr:oneCellAnchor>
    <xdr:from>
      <xdr:col>1</xdr:col>
      <xdr:colOff>694764</xdr:colOff>
      <xdr:row>285</xdr:row>
      <xdr:rowOff>134471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AE31A50F-31CB-4EEF-9E26-B3A58243153F}"/>
                </a:ext>
              </a:extLst>
            </xdr:cNvPr>
            <xdr:cNvSpPr txBox="1"/>
          </xdr:nvSpPr>
          <xdr:spPr>
            <a:xfrm>
              <a:off x="1304364" y="4077764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AE31A50F-31CB-4EEF-9E26-B3A58243153F}"/>
                </a:ext>
              </a:extLst>
            </xdr:cNvPr>
            <xdr:cNvSpPr txBox="1"/>
          </xdr:nvSpPr>
          <xdr:spPr>
            <a:xfrm>
              <a:off x="1304364" y="4077764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616324</xdr:colOff>
      <xdr:row>275</xdr:row>
      <xdr:rowOff>168087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E364ACA-9CEA-48E4-AF87-E4A80FD05C7A}"/>
                </a:ext>
              </a:extLst>
            </xdr:cNvPr>
            <xdr:cNvSpPr txBox="1"/>
          </xdr:nvSpPr>
          <xdr:spPr>
            <a:xfrm>
              <a:off x="8886265" y="4379258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E364ACA-9CEA-48E4-AF87-E4A80FD05C7A}"/>
                </a:ext>
              </a:extLst>
            </xdr:cNvPr>
            <xdr:cNvSpPr txBox="1"/>
          </xdr:nvSpPr>
          <xdr:spPr>
            <a:xfrm>
              <a:off x="8886265" y="4379258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0</xdr:colOff>
      <xdr:row>284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D5307D1C-6745-4C3D-9598-7C2E6856F554}"/>
                </a:ext>
              </a:extLst>
            </xdr:cNvPr>
            <xdr:cNvSpPr txBox="1"/>
          </xdr:nvSpPr>
          <xdr:spPr>
            <a:xfrm>
              <a:off x="1400175" y="4048125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D5307D1C-6745-4C3D-9598-7C2E6856F554}"/>
                </a:ext>
              </a:extLst>
            </xdr:cNvPr>
            <xdr:cNvSpPr txBox="1"/>
          </xdr:nvSpPr>
          <xdr:spPr>
            <a:xfrm>
              <a:off x="1400175" y="4048125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347382</xdr:colOff>
      <xdr:row>279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53DC7485-E7D3-4145-914A-C1B34CFD0A1B}"/>
                </a:ext>
              </a:extLst>
            </xdr:cNvPr>
            <xdr:cNvSpPr txBox="1"/>
          </xdr:nvSpPr>
          <xdr:spPr>
            <a:xfrm>
              <a:off x="8617323" y="4438649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53DC7485-E7D3-4145-914A-C1B34CFD0A1B}"/>
                </a:ext>
              </a:extLst>
            </xdr:cNvPr>
            <xdr:cNvSpPr txBox="1"/>
          </xdr:nvSpPr>
          <xdr:spPr>
            <a:xfrm>
              <a:off x="8617323" y="4438649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953559</xdr:colOff>
      <xdr:row>291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3112A26-F6FF-4D91-AC4B-3067E9D2FF5E}"/>
                </a:ext>
              </a:extLst>
            </xdr:cNvPr>
            <xdr:cNvSpPr txBox="1"/>
          </xdr:nvSpPr>
          <xdr:spPr>
            <a:xfrm>
              <a:off x="1401234" y="417872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6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3112A26-F6FF-4D91-AC4B-3067E9D2FF5E}"/>
                </a:ext>
              </a:extLst>
            </xdr:cNvPr>
            <xdr:cNvSpPr txBox="1"/>
          </xdr:nvSpPr>
          <xdr:spPr>
            <a:xfrm>
              <a:off x="1401234" y="417872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299197</xdr:colOff>
      <xdr:row>294</xdr:row>
      <xdr:rowOff>2242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F37B98E5-1726-4EC4-8DD1-40C1B67CB092}"/>
                </a:ext>
              </a:extLst>
            </xdr:cNvPr>
            <xdr:cNvSpPr txBox="1"/>
          </xdr:nvSpPr>
          <xdr:spPr>
            <a:xfrm>
              <a:off x="982756" y="46685948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F37B98E5-1726-4EC4-8DD1-40C1B67CB092}"/>
                </a:ext>
              </a:extLst>
            </xdr:cNvPr>
            <xdr:cNvSpPr txBox="1"/>
          </xdr:nvSpPr>
          <xdr:spPr>
            <a:xfrm>
              <a:off x="982756" y="46685948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672352</xdr:colOff>
      <xdr:row>295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B30817CF-E787-4A5B-88B1-A9ED42A08509}"/>
                </a:ext>
              </a:extLst>
            </xdr:cNvPr>
            <xdr:cNvSpPr txBox="1"/>
          </xdr:nvSpPr>
          <xdr:spPr>
            <a:xfrm>
              <a:off x="1281952" y="424540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B30817CF-E787-4A5B-88B1-A9ED42A08509}"/>
                </a:ext>
              </a:extLst>
            </xdr:cNvPr>
            <xdr:cNvSpPr txBox="1"/>
          </xdr:nvSpPr>
          <xdr:spPr>
            <a:xfrm>
              <a:off x="1281952" y="424540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369794</xdr:colOff>
      <xdr:row>300</xdr:row>
      <xdr:rowOff>11206</xdr:rowOff>
    </xdr:from>
    <xdr:ext cx="1389529" cy="235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3BE079A5-C12E-4652-90D6-F94E6E3263EF}"/>
                </a:ext>
              </a:extLst>
            </xdr:cNvPr>
            <xdr:cNvSpPr txBox="1"/>
          </xdr:nvSpPr>
          <xdr:spPr>
            <a:xfrm>
              <a:off x="979394" y="43140406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∗(1+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0)=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3BE079A5-C12E-4652-90D6-F94E6E3263EF}"/>
                </a:ext>
              </a:extLst>
            </xdr:cNvPr>
            <xdr:cNvSpPr txBox="1"/>
          </xdr:nvSpPr>
          <xdr:spPr>
            <a:xfrm>
              <a:off x="979394" y="43140406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2∗(1+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302560</xdr:colOff>
      <xdr:row>289</xdr:row>
      <xdr:rowOff>156881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B4A415E-D0F8-4EB5-8761-47221380DCCD}"/>
                </a:ext>
              </a:extLst>
            </xdr:cNvPr>
            <xdr:cNvSpPr txBox="1"/>
          </xdr:nvSpPr>
          <xdr:spPr>
            <a:xfrm>
              <a:off x="8572501" y="46044969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B4A415E-D0F8-4EB5-8761-47221380DCCD}"/>
                </a:ext>
              </a:extLst>
            </xdr:cNvPr>
            <xdr:cNvSpPr txBox="1"/>
          </xdr:nvSpPr>
          <xdr:spPr>
            <a:xfrm>
              <a:off x="8572501" y="46044969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0</xdr:colOff>
      <xdr:row>298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65097B04-9490-43C1-AF7D-A506B109C9F7}"/>
                </a:ext>
              </a:extLst>
            </xdr:cNvPr>
            <xdr:cNvSpPr txBox="1"/>
          </xdr:nvSpPr>
          <xdr:spPr>
            <a:xfrm>
              <a:off x="1400175" y="4280535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65097B04-9490-43C1-AF7D-A506B109C9F7}"/>
                </a:ext>
              </a:extLst>
            </xdr:cNvPr>
            <xdr:cNvSpPr txBox="1"/>
          </xdr:nvSpPr>
          <xdr:spPr>
            <a:xfrm>
              <a:off x="1400175" y="4280535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358588</xdr:colOff>
      <xdr:row>293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B35FF1E1-F40D-42D0-B1CB-1F45EB4635DD}"/>
                </a:ext>
              </a:extLst>
            </xdr:cNvPr>
            <xdr:cNvSpPr txBox="1"/>
          </xdr:nvSpPr>
          <xdr:spPr>
            <a:xfrm>
              <a:off x="8628529" y="46650088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B35FF1E1-F40D-42D0-B1CB-1F45EB4635DD}"/>
                </a:ext>
              </a:extLst>
            </xdr:cNvPr>
            <xdr:cNvSpPr txBox="1"/>
          </xdr:nvSpPr>
          <xdr:spPr>
            <a:xfrm>
              <a:off x="8628529" y="46650088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25</xdr:col>
      <xdr:colOff>419711</xdr:colOff>
      <xdr:row>291</xdr:row>
      <xdr:rowOff>105776</xdr:rowOff>
    </xdr:from>
    <xdr:to>
      <xdr:col>34</xdr:col>
      <xdr:colOff>164472</xdr:colOff>
      <xdr:row>294</xdr:row>
      <xdr:rowOff>92393</xdr:rowOff>
    </xdr:to>
    <xdr:pic>
      <xdr:nvPicPr>
        <xdr:cNvPr id="73" name="Imagem 72">
          <a:extLst>
            <a:ext uri="{FF2B5EF4-FFF2-40B4-BE49-F238E27FC236}">
              <a16:creationId xmlns:a16="http://schemas.microsoft.com/office/drawing/2014/main" id="{7DF806A4-ABC2-4C03-8EA2-3F04893A9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807666" y="47023617"/>
          <a:ext cx="5849420" cy="462867"/>
        </a:xfrm>
        <a:prstGeom prst="rect">
          <a:avLst/>
        </a:prstGeom>
      </xdr:spPr>
    </xdr:pic>
    <xdr:clientData/>
  </xdr:twoCellAnchor>
  <xdr:twoCellAnchor editAs="oneCell">
    <xdr:from>
      <xdr:col>26</xdr:col>
      <xdr:colOff>776092</xdr:colOff>
      <xdr:row>299</xdr:row>
      <xdr:rowOff>60783</xdr:rowOff>
    </xdr:from>
    <xdr:to>
      <xdr:col>35</xdr:col>
      <xdr:colOff>350352</xdr:colOff>
      <xdr:row>314</xdr:row>
      <xdr:rowOff>37322</xdr:rowOff>
    </xdr:to>
    <xdr:pic>
      <xdr:nvPicPr>
        <xdr:cNvPr id="74" name="Imagem 73">
          <a:extLst>
            <a:ext uri="{FF2B5EF4-FFF2-40B4-BE49-F238E27FC236}">
              <a16:creationId xmlns:a16="http://schemas.microsoft.com/office/drawing/2014/main" id="{D7A7E64E-1365-4680-99E7-8F4365C0D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6660" y="48248624"/>
          <a:ext cx="5462442" cy="2487675"/>
        </a:xfrm>
        <a:prstGeom prst="rect">
          <a:avLst/>
        </a:prstGeom>
      </xdr:spPr>
    </xdr:pic>
    <xdr:clientData/>
  </xdr:twoCellAnchor>
  <xdr:oneCellAnchor>
    <xdr:from>
      <xdr:col>1</xdr:col>
      <xdr:colOff>212913</xdr:colOff>
      <xdr:row>304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A5AEC769-1BA0-4312-99AD-9596B1810690}"/>
                </a:ext>
              </a:extLst>
            </xdr:cNvPr>
            <xdr:cNvSpPr txBox="1"/>
          </xdr:nvSpPr>
          <xdr:spPr>
            <a:xfrm>
              <a:off x="822513" y="439349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A5AEC769-1BA0-4312-99AD-9596B1810690}"/>
                </a:ext>
              </a:extLst>
            </xdr:cNvPr>
            <xdr:cNvSpPr txBox="1"/>
          </xdr:nvSpPr>
          <xdr:spPr>
            <a:xfrm>
              <a:off x="822513" y="439349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𝐻0:𝐵_0=0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306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CDDC9ADF-66F9-4DB8-8C81-B057BF57BE04}"/>
                </a:ext>
              </a:extLst>
            </xdr:cNvPr>
            <xdr:cNvSpPr txBox="1"/>
          </xdr:nvSpPr>
          <xdr:spPr>
            <a:xfrm>
              <a:off x="833717" y="442811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CDDC9ADF-66F9-4DB8-8C81-B057BF57BE04}"/>
                </a:ext>
              </a:extLst>
            </xdr:cNvPr>
            <xdr:cNvSpPr txBox="1"/>
          </xdr:nvSpPr>
          <xdr:spPr>
            <a:xfrm>
              <a:off x="833717" y="442811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𝐻1:𝐵_0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309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F97F34ED-17D2-467B-BB10-5A48E6E5C744}"/>
                </a:ext>
              </a:extLst>
            </xdr:cNvPr>
            <xdr:cNvSpPr txBox="1"/>
          </xdr:nvSpPr>
          <xdr:spPr>
            <a:xfrm>
              <a:off x="1057836" y="447781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F97F34ED-17D2-467B-BB10-5A48E6E5C744}"/>
                </a:ext>
              </a:extLst>
            </xdr:cNvPr>
            <xdr:cNvSpPr txBox="1"/>
          </xdr:nvSpPr>
          <xdr:spPr>
            <a:xfrm>
              <a:off x="1057836" y="447781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304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A61831EF-AC42-4507-A15E-F7996F85A101}"/>
                </a:ext>
              </a:extLst>
            </xdr:cNvPr>
            <xdr:cNvSpPr txBox="1"/>
          </xdr:nvSpPr>
          <xdr:spPr>
            <a:xfrm>
              <a:off x="2436158" y="439259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00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A61831EF-AC42-4507-A15E-F7996F85A101}"/>
                </a:ext>
              </a:extLst>
            </xdr:cNvPr>
            <xdr:cNvSpPr txBox="1"/>
          </xdr:nvSpPr>
          <xdr:spPr>
            <a:xfrm>
              <a:off x="2436158" y="439259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400" b="0" i="0">
                  <a:latin typeface="Cambria Math" panose="02040503050406030204" pitchFamily="18" charset="0"/>
                </a:rPr>
                <a:t>0 ) ̂/√(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400" b="0" i="0">
                  <a:latin typeface="Cambria Math" panose="02040503050406030204" pitchFamily="18" charset="0"/>
                </a:rPr>
                <a:t>2∗𝐶_00 )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306</xdr:row>
      <xdr:rowOff>145675</xdr:rowOff>
    </xdr:from>
    <xdr:ext cx="288477" cy="172227"/>
    <xdr:sp macro="" textlink="">
      <xdr:nvSpPr>
        <xdr:cNvPr id="79" name="CaixaDeTexto 78">
          <a:extLst>
            <a:ext uri="{FF2B5EF4-FFF2-40B4-BE49-F238E27FC236}">
              <a16:creationId xmlns:a16="http://schemas.microsoft.com/office/drawing/2014/main" id="{E5291021-C8CC-44DF-9114-40AF20A46E0F}"/>
            </a:ext>
          </a:extLst>
        </xdr:cNvPr>
        <xdr:cNvSpPr txBox="1"/>
      </xdr:nvSpPr>
      <xdr:spPr>
        <a:xfrm>
          <a:off x="5410200" y="4430357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</xdr:col>
      <xdr:colOff>953559</xdr:colOff>
      <xdr:row>313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BDEF477-7D18-49BF-9BB6-529F32E83DF1}"/>
                </a:ext>
              </a:extLst>
            </xdr:cNvPr>
            <xdr:cNvSpPr txBox="1"/>
          </xdr:nvSpPr>
          <xdr:spPr>
            <a:xfrm>
              <a:off x="1401234" y="454067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8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BDEF477-7D18-49BF-9BB6-529F32E83DF1}"/>
                </a:ext>
              </a:extLst>
            </xdr:cNvPr>
            <xdr:cNvSpPr txBox="1"/>
          </xdr:nvSpPr>
          <xdr:spPr>
            <a:xfrm>
              <a:off x="1401234" y="454067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212913</xdr:colOff>
      <xdr:row>322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EBA8EF8C-70EF-41F4-A4B8-1CD8ABDC7947}"/>
                </a:ext>
              </a:extLst>
            </xdr:cNvPr>
            <xdr:cNvSpPr txBox="1"/>
          </xdr:nvSpPr>
          <xdr:spPr>
            <a:xfrm>
              <a:off x="822513" y="468686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EBA8EF8C-70EF-41F4-A4B8-1CD8ABDC7947}"/>
                </a:ext>
              </a:extLst>
            </xdr:cNvPr>
            <xdr:cNvSpPr txBox="1"/>
          </xdr:nvSpPr>
          <xdr:spPr>
            <a:xfrm>
              <a:off x="822513" y="468686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𝐻0:𝐵_1=0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324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88DE1669-6B02-4078-BA2B-8D37D7FFAD03}"/>
                </a:ext>
              </a:extLst>
            </xdr:cNvPr>
            <xdr:cNvSpPr txBox="1"/>
          </xdr:nvSpPr>
          <xdr:spPr>
            <a:xfrm>
              <a:off x="833717" y="472148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88DE1669-6B02-4078-BA2B-8D37D7FFAD03}"/>
                </a:ext>
              </a:extLst>
            </xdr:cNvPr>
            <xdr:cNvSpPr txBox="1"/>
          </xdr:nvSpPr>
          <xdr:spPr>
            <a:xfrm>
              <a:off x="833717" y="472148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𝐻1:𝐵_1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327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1391612-CE04-472B-8942-0E654B345DB3}"/>
                </a:ext>
              </a:extLst>
            </xdr:cNvPr>
            <xdr:cNvSpPr txBox="1"/>
          </xdr:nvSpPr>
          <xdr:spPr>
            <a:xfrm>
              <a:off x="1057836" y="477118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1391612-CE04-472B-8942-0E654B345DB3}"/>
                </a:ext>
              </a:extLst>
            </xdr:cNvPr>
            <xdr:cNvSpPr txBox="1"/>
          </xdr:nvSpPr>
          <xdr:spPr>
            <a:xfrm>
              <a:off x="1057836" y="477118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322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2987E566-8EA4-4693-BD89-873F5DE01478}"/>
                </a:ext>
              </a:extLst>
            </xdr:cNvPr>
            <xdr:cNvSpPr txBox="1"/>
          </xdr:nvSpPr>
          <xdr:spPr>
            <a:xfrm>
              <a:off x="2436158" y="468596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2987E566-8EA4-4693-BD89-873F5DE01478}"/>
                </a:ext>
              </a:extLst>
            </xdr:cNvPr>
            <xdr:cNvSpPr txBox="1"/>
          </xdr:nvSpPr>
          <xdr:spPr>
            <a:xfrm>
              <a:off x="2436158" y="468596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𝛽_1 )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2∗𝐶_11 )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324</xdr:row>
      <xdr:rowOff>145675</xdr:rowOff>
    </xdr:from>
    <xdr:ext cx="288477" cy="172227"/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413D9B4B-32B5-475A-B943-EC656306F62F}"/>
            </a:ext>
          </a:extLst>
        </xdr:cNvPr>
        <xdr:cNvSpPr txBox="1"/>
      </xdr:nvSpPr>
      <xdr:spPr>
        <a:xfrm>
          <a:off x="5410200" y="4723727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</xdr:col>
      <xdr:colOff>953559</xdr:colOff>
      <xdr:row>331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CB69B0A-F4C4-43FB-BBD9-7B7C46199966}"/>
                </a:ext>
              </a:extLst>
            </xdr:cNvPr>
            <xdr:cNvSpPr txBox="1"/>
          </xdr:nvSpPr>
          <xdr:spPr>
            <a:xfrm>
              <a:off x="1401234" y="483404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8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CB69B0A-F4C4-43FB-BBD9-7B7C46199966}"/>
                </a:ext>
              </a:extLst>
            </xdr:cNvPr>
            <xdr:cNvSpPr txBox="1"/>
          </xdr:nvSpPr>
          <xdr:spPr>
            <a:xfrm>
              <a:off x="1401234" y="483404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212913</xdr:colOff>
      <xdr:row>340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4403B2AA-0DE7-4225-B556-CA3F24823AF2}"/>
                </a:ext>
              </a:extLst>
            </xdr:cNvPr>
            <xdr:cNvSpPr txBox="1"/>
          </xdr:nvSpPr>
          <xdr:spPr>
            <a:xfrm>
              <a:off x="822513" y="498023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4403B2AA-0DE7-4225-B556-CA3F24823AF2}"/>
                </a:ext>
              </a:extLst>
            </xdr:cNvPr>
            <xdr:cNvSpPr txBox="1"/>
          </xdr:nvSpPr>
          <xdr:spPr>
            <a:xfrm>
              <a:off x="822513" y="498023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𝐻0:𝐵_2=0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342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5C49B9B1-99B7-4FDB-9709-2024770E29CE}"/>
                </a:ext>
              </a:extLst>
            </xdr:cNvPr>
            <xdr:cNvSpPr txBox="1"/>
          </xdr:nvSpPr>
          <xdr:spPr>
            <a:xfrm>
              <a:off x="833717" y="501485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5C49B9B1-99B7-4FDB-9709-2024770E29CE}"/>
                </a:ext>
              </a:extLst>
            </xdr:cNvPr>
            <xdr:cNvSpPr txBox="1"/>
          </xdr:nvSpPr>
          <xdr:spPr>
            <a:xfrm>
              <a:off x="833717" y="501485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𝐻1:𝐵_2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345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BD5185AA-5AA4-45EA-A8B4-F53E59167165}"/>
                </a:ext>
              </a:extLst>
            </xdr:cNvPr>
            <xdr:cNvSpPr txBox="1"/>
          </xdr:nvSpPr>
          <xdr:spPr>
            <a:xfrm>
              <a:off x="1057836" y="506455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BD5185AA-5AA4-45EA-A8B4-F53E59167165}"/>
                </a:ext>
              </a:extLst>
            </xdr:cNvPr>
            <xdr:cNvSpPr txBox="1"/>
          </xdr:nvSpPr>
          <xdr:spPr>
            <a:xfrm>
              <a:off x="1057836" y="506455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340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E29822CA-8462-4CE6-B4A6-B07FEED94621}"/>
                </a:ext>
              </a:extLst>
            </xdr:cNvPr>
            <xdr:cNvSpPr txBox="1"/>
          </xdr:nvSpPr>
          <xdr:spPr>
            <a:xfrm>
              <a:off x="2436158" y="497933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22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E29822CA-8462-4CE6-B4A6-B07FEED94621}"/>
                </a:ext>
              </a:extLst>
            </xdr:cNvPr>
            <xdr:cNvSpPr txBox="1"/>
          </xdr:nvSpPr>
          <xdr:spPr>
            <a:xfrm>
              <a:off x="2436158" y="497933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𝛽_2 )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2∗𝐶_22 )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342</xdr:row>
      <xdr:rowOff>145675</xdr:rowOff>
    </xdr:from>
    <xdr:ext cx="288477" cy="172227"/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331A2512-2DBE-4C07-83DA-DCC7165A758B}"/>
            </a:ext>
          </a:extLst>
        </xdr:cNvPr>
        <xdr:cNvSpPr txBox="1"/>
      </xdr:nvSpPr>
      <xdr:spPr>
        <a:xfrm>
          <a:off x="5410200" y="5017097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</xdr:col>
      <xdr:colOff>953559</xdr:colOff>
      <xdr:row>349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B8D7D22-6C64-43B2-A4DE-27BC3C32E6CB}"/>
                </a:ext>
              </a:extLst>
            </xdr:cNvPr>
            <xdr:cNvSpPr txBox="1"/>
          </xdr:nvSpPr>
          <xdr:spPr>
            <a:xfrm>
              <a:off x="1401234" y="512741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9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B8D7D22-6C64-43B2-A4DE-27BC3C32E6CB}"/>
                </a:ext>
              </a:extLst>
            </xdr:cNvPr>
            <xdr:cNvSpPr txBox="1"/>
          </xdr:nvSpPr>
          <xdr:spPr>
            <a:xfrm>
              <a:off x="1401234" y="512741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212913</xdr:colOff>
      <xdr:row>358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2ED6DB07-5D01-4873-852A-742FD0088025}"/>
                </a:ext>
              </a:extLst>
            </xdr:cNvPr>
            <xdr:cNvSpPr txBox="1"/>
          </xdr:nvSpPr>
          <xdr:spPr>
            <a:xfrm>
              <a:off x="822513" y="527360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2ED6DB07-5D01-4873-852A-742FD0088025}"/>
                </a:ext>
              </a:extLst>
            </xdr:cNvPr>
            <xdr:cNvSpPr txBox="1"/>
          </xdr:nvSpPr>
          <xdr:spPr>
            <a:xfrm>
              <a:off x="822513" y="527360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𝐻0:𝐵_3=0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360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D7A16A5D-D6FE-4BDF-9F89-53E175E6CD0F}"/>
                </a:ext>
              </a:extLst>
            </xdr:cNvPr>
            <xdr:cNvSpPr txBox="1"/>
          </xdr:nvSpPr>
          <xdr:spPr>
            <a:xfrm>
              <a:off x="833717" y="53082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D7A16A5D-D6FE-4BDF-9F89-53E175E6CD0F}"/>
                </a:ext>
              </a:extLst>
            </xdr:cNvPr>
            <xdr:cNvSpPr txBox="1"/>
          </xdr:nvSpPr>
          <xdr:spPr>
            <a:xfrm>
              <a:off x="833717" y="53082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𝐻1:𝐵_3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363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E2DE9BC4-31A7-4342-85EA-9DEB816E7D26}"/>
                </a:ext>
              </a:extLst>
            </xdr:cNvPr>
            <xdr:cNvSpPr txBox="1"/>
          </xdr:nvSpPr>
          <xdr:spPr>
            <a:xfrm>
              <a:off x="1057836" y="535792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E2DE9BC4-31A7-4342-85EA-9DEB816E7D26}"/>
                </a:ext>
              </a:extLst>
            </xdr:cNvPr>
            <xdr:cNvSpPr txBox="1"/>
          </xdr:nvSpPr>
          <xdr:spPr>
            <a:xfrm>
              <a:off x="1057836" y="535792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358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3BCE75F1-04EE-4410-8E59-E90D14662DDB}"/>
                </a:ext>
              </a:extLst>
            </xdr:cNvPr>
            <xdr:cNvSpPr txBox="1"/>
          </xdr:nvSpPr>
          <xdr:spPr>
            <a:xfrm>
              <a:off x="2436158" y="527270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33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3BCE75F1-04EE-4410-8E59-E90D14662DDB}"/>
                </a:ext>
              </a:extLst>
            </xdr:cNvPr>
            <xdr:cNvSpPr txBox="1"/>
          </xdr:nvSpPr>
          <xdr:spPr>
            <a:xfrm>
              <a:off x="2436158" y="527270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𝛽_3 )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2∗𝐶_33 )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360</xdr:row>
      <xdr:rowOff>145675</xdr:rowOff>
    </xdr:from>
    <xdr:ext cx="288477" cy="172227"/>
    <xdr:sp macro="" textlink="">
      <xdr:nvSpPr>
        <xdr:cNvPr id="97" name="CaixaDeTexto 96">
          <a:extLst>
            <a:ext uri="{FF2B5EF4-FFF2-40B4-BE49-F238E27FC236}">
              <a16:creationId xmlns:a16="http://schemas.microsoft.com/office/drawing/2014/main" id="{3EBB303E-BFE2-400B-A5AF-F2E27CCBA85D}"/>
            </a:ext>
          </a:extLst>
        </xdr:cNvPr>
        <xdr:cNvSpPr txBox="1"/>
      </xdr:nvSpPr>
      <xdr:spPr>
        <a:xfrm>
          <a:off x="5410200" y="5310467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</xdr:col>
      <xdr:colOff>953559</xdr:colOff>
      <xdr:row>367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43B7609-9933-4055-9725-D7DBD4E2A857}"/>
                </a:ext>
              </a:extLst>
            </xdr:cNvPr>
            <xdr:cNvSpPr txBox="1"/>
          </xdr:nvSpPr>
          <xdr:spPr>
            <a:xfrm>
              <a:off x="1401234" y="542078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9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43B7609-9933-4055-9725-D7DBD4E2A857}"/>
                </a:ext>
              </a:extLst>
            </xdr:cNvPr>
            <xdr:cNvSpPr txBox="1"/>
          </xdr:nvSpPr>
          <xdr:spPr>
            <a:xfrm>
              <a:off x="1401234" y="542078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212913</xdr:colOff>
      <xdr:row>376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B354B0E7-A821-4ED5-9357-6602F76442DC}"/>
                </a:ext>
              </a:extLst>
            </xdr:cNvPr>
            <xdr:cNvSpPr txBox="1"/>
          </xdr:nvSpPr>
          <xdr:spPr>
            <a:xfrm>
              <a:off x="896472" y="56959501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B354B0E7-A821-4ED5-9357-6602F76442DC}"/>
                </a:ext>
              </a:extLst>
            </xdr:cNvPr>
            <xdr:cNvSpPr txBox="1"/>
          </xdr:nvSpPr>
          <xdr:spPr>
            <a:xfrm>
              <a:off x="896472" y="56959501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𝐻0:𝐵_4=0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378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7D145241-4D55-4F81-9137-FF963DF9A90B}"/>
                </a:ext>
              </a:extLst>
            </xdr:cNvPr>
            <xdr:cNvSpPr txBox="1"/>
          </xdr:nvSpPr>
          <xdr:spPr>
            <a:xfrm>
              <a:off x="907676" y="57295676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7D145241-4D55-4F81-9137-FF963DF9A90B}"/>
                </a:ext>
              </a:extLst>
            </xdr:cNvPr>
            <xdr:cNvSpPr txBox="1"/>
          </xdr:nvSpPr>
          <xdr:spPr>
            <a:xfrm>
              <a:off x="907676" y="57295676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𝐻1:𝐵_4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381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325F4E35-6284-49D9-8D06-CA16813F626F}"/>
                </a:ext>
              </a:extLst>
            </xdr:cNvPr>
            <xdr:cNvSpPr txBox="1"/>
          </xdr:nvSpPr>
          <xdr:spPr>
            <a:xfrm>
              <a:off x="1131795" y="57777529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325F4E35-6284-49D9-8D06-CA16813F626F}"/>
                </a:ext>
              </a:extLst>
            </xdr:cNvPr>
            <xdr:cNvSpPr txBox="1"/>
          </xdr:nvSpPr>
          <xdr:spPr>
            <a:xfrm>
              <a:off x="1131795" y="57777529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376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29EFB150-1417-4F64-850E-00838B873CE3}"/>
                </a:ext>
              </a:extLst>
            </xdr:cNvPr>
            <xdr:cNvSpPr txBox="1"/>
          </xdr:nvSpPr>
          <xdr:spPr>
            <a:xfrm>
              <a:off x="2622176" y="56950536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4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44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29EFB150-1417-4F64-850E-00838B873CE3}"/>
                </a:ext>
              </a:extLst>
            </xdr:cNvPr>
            <xdr:cNvSpPr txBox="1"/>
          </xdr:nvSpPr>
          <xdr:spPr>
            <a:xfrm>
              <a:off x="2622176" y="56950536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𝛽_4 )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2∗𝐶_44 )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378</xdr:row>
      <xdr:rowOff>145675</xdr:rowOff>
    </xdr:from>
    <xdr:ext cx="288477" cy="172227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E91324D1-E74A-42FF-A7AF-FA08DE5EC7D6}"/>
            </a:ext>
          </a:extLst>
        </xdr:cNvPr>
        <xdr:cNvSpPr txBox="1"/>
      </xdr:nvSpPr>
      <xdr:spPr>
        <a:xfrm>
          <a:off x="5927912" y="60164381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C44=</a:t>
          </a:r>
        </a:p>
      </xdr:txBody>
    </xdr:sp>
    <xdr:clientData/>
  </xdr:oneCellAnchor>
  <xdr:oneCellAnchor>
    <xdr:from>
      <xdr:col>1</xdr:col>
      <xdr:colOff>953559</xdr:colOff>
      <xdr:row>385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808D2FF-FC3E-4BFB-8F2A-752C090D12CF}"/>
                </a:ext>
              </a:extLst>
            </xdr:cNvPr>
            <xdr:cNvSpPr txBox="1"/>
          </xdr:nvSpPr>
          <xdr:spPr>
            <a:xfrm>
              <a:off x="1484718" y="5838594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0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3808D2FF-FC3E-4BFB-8F2A-752C090D12CF}"/>
                </a:ext>
              </a:extLst>
            </xdr:cNvPr>
            <xdr:cNvSpPr txBox="1"/>
          </xdr:nvSpPr>
          <xdr:spPr>
            <a:xfrm>
              <a:off x="1484718" y="5838594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212913</xdr:colOff>
      <xdr:row>394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F1EBA10-40A2-4941-BB2F-F0160AB87C1E}"/>
                </a:ext>
              </a:extLst>
            </xdr:cNvPr>
            <xdr:cNvSpPr txBox="1"/>
          </xdr:nvSpPr>
          <xdr:spPr>
            <a:xfrm>
              <a:off x="896472" y="5980579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F1EBA10-40A2-4941-BB2F-F0160AB87C1E}"/>
                </a:ext>
              </a:extLst>
            </xdr:cNvPr>
            <xdr:cNvSpPr txBox="1"/>
          </xdr:nvSpPr>
          <xdr:spPr>
            <a:xfrm>
              <a:off x="896472" y="5980579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𝐻0:𝐵_5=0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396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69C88373-A116-45EB-AC66-1C01040D7FD9}"/>
                </a:ext>
              </a:extLst>
            </xdr:cNvPr>
            <xdr:cNvSpPr txBox="1"/>
          </xdr:nvSpPr>
          <xdr:spPr>
            <a:xfrm>
              <a:off x="907676" y="60141970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69C88373-A116-45EB-AC66-1C01040D7FD9}"/>
                </a:ext>
              </a:extLst>
            </xdr:cNvPr>
            <xdr:cNvSpPr txBox="1"/>
          </xdr:nvSpPr>
          <xdr:spPr>
            <a:xfrm>
              <a:off x="907676" y="60141970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𝐻1:𝐵_5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399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0E1C5FB9-E5E4-4BB5-83CC-D55B1D254D1F}"/>
                </a:ext>
              </a:extLst>
            </xdr:cNvPr>
            <xdr:cNvSpPr txBox="1"/>
          </xdr:nvSpPr>
          <xdr:spPr>
            <a:xfrm>
              <a:off x="1131795" y="60623823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0E1C5FB9-E5E4-4BB5-83CC-D55B1D254D1F}"/>
                </a:ext>
              </a:extLst>
            </xdr:cNvPr>
            <xdr:cNvSpPr txBox="1"/>
          </xdr:nvSpPr>
          <xdr:spPr>
            <a:xfrm>
              <a:off x="1131795" y="60623823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394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7C9990C4-0414-40B6-ADC9-9673FF6854A5}"/>
                </a:ext>
              </a:extLst>
            </xdr:cNvPr>
            <xdr:cNvSpPr txBox="1"/>
          </xdr:nvSpPr>
          <xdr:spPr>
            <a:xfrm>
              <a:off x="2622176" y="59796830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5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55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7C9990C4-0414-40B6-ADC9-9673FF6854A5}"/>
                </a:ext>
              </a:extLst>
            </xdr:cNvPr>
            <xdr:cNvSpPr txBox="1"/>
          </xdr:nvSpPr>
          <xdr:spPr>
            <a:xfrm>
              <a:off x="2622176" y="59796830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𝛽_5 )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2∗𝐶_55 )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396</xdr:row>
      <xdr:rowOff>145675</xdr:rowOff>
    </xdr:from>
    <xdr:ext cx="288477" cy="172227"/>
    <xdr:sp macro="" textlink="">
      <xdr:nvSpPr>
        <xdr:cNvPr id="109" name="CaixaDeTexto 108">
          <a:extLst>
            <a:ext uri="{FF2B5EF4-FFF2-40B4-BE49-F238E27FC236}">
              <a16:creationId xmlns:a16="http://schemas.microsoft.com/office/drawing/2014/main" id="{265EE0B4-6E9D-4529-BA07-39EC7BB032E6}"/>
            </a:ext>
          </a:extLst>
        </xdr:cNvPr>
        <xdr:cNvSpPr txBox="1"/>
      </xdr:nvSpPr>
      <xdr:spPr>
        <a:xfrm>
          <a:off x="5927912" y="6301067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C55=</a:t>
          </a:r>
        </a:p>
      </xdr:txBody>
    </xdr:sp>
    <xdr:clientData/>
  </xdr:oneCellAnchor>
  <xdr:oneCellAnchor>
    <xdr:from>
      <xdr:col>1</xdr:col>
      <xdr:colOff>953559</xdr:colOff>
      <xdr:row>403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36005DA-9FF7-4285-9977-1E5C275D1511}"/>
                </a:ext>
              </a:extLst>
            </xdr:cNvPr>
            <xdr:cNvSpPr txBox="1"/>
          </xdr:nvSpPr>
          <xdr:spPr>
            <a:xfrm>
              <a:off x="1484718" y="6123224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1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36005DA-9FF7-4285-9977-1E5C275D1511}"/>
                </a:ext>
              </a:extLst>
            </xdr:cNvPr>
            <xdr:cNvSpPr txBox="1"/>
          </xdr:nvSpPr>
          <xdr:spPr>
            <a:xfrm>
              <a:off x="1484718" y="6123224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212913</xdr:colOff>
      <xdr:row>412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9CA2EECD-BBE0-49CC-9864-8C61C891DC1B}"/>
                </a:ext>
              </a:extLst>
            </xdr:cNvPr>
            <xdr:cNvSpPr txBox="1"/>
          </xdr:nvSpPr>
          <xdr:spPr>
            <a:xfrm>
              <a:off x="896472" y="626520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9CA2EECD-BBE0-49CC-9864-8C61C891DC1B}"/>
                </a:ext>
              </a:extLst>
            </xdr:cNvPr>
            <xdr:cNvSpPr txBox="1"/>
          </xdr:nvSpPr>
          <xdr:spPr>
            <a:xfrm>
              <a:off x="896472" y="626520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𝐻0:𝐵_6=0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414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714738FF-A088-44BD-AACB-5BD582444152}"/>
                </a:ext>
              </a:extLst>
            </xdr:cNvPr>
            <xdr:cNvSpPr txBox="1"/>
          </xdr:nvSpPr>
          <xdr:spPr>
            <a:xfrm>
              <a:off x="907676" y="62988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714738FF-A088-44BD-AACB-5BD582444152}"/>
                </a:ext>
              </a:extLst>
            </xdr:cNvPr>
            <xdr:cNvSpPr txBox="1"/>
          </xdr:nvSpPr>
          <xdr:spPr>
            <a:xfrm>
              <a:off x="907676" y="62988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𝐻1:𝐵_6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417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59723161-57B9-45BD-BE69-4897D3F796FB}"/>
                </a:ext>
              </a:extLst>
            </xdr:cNvPr>
            <xdr:cNvSpPr txBox="1"/>
          </xdr:nvSpPr>
          <xdr:spPr>
            <a:xfrm>
              <a:off x="1131795" y="6347011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59723161-57B9-45BD-BE69-4897D3F796FB}"/>
                </a:ext>
              </a:extLst>
            </xdr:cNvPr>
            <xdr:cNvSpPr txBox="1"/>
          </xdr:nvSpPr>
          <xdr:spPr>
            <a:xfrm>
              <a:off x="1131795" y="6347011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412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CA3223D1-E290-445A-ABFD-12D94B8B4D58}"/>
                </a:ext>
              </a:extLst>
            </xdr:cNvPr>
            <xdr:cNvSpPr txBox="1"/>
          </xdr:nvSpPr>
          <xdr:spPr>
            <a:xfrm>
              <a:off x="2622176" y="6264312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6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66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CA3223D1-E290-445A-ABFD-12D94B8B4D58}"/>
                </a:ext>
              </a:extLst>
            </xdr:cNvPr>
            <xdr:cNvSpPr txBox="1"/>
          </xdr:nvSpPr>
          <xdr:spPr>
            <a:xfrm>
              <a:off x="2622176" y="6264312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𝛽_6 )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2∗𝐶_66 )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414</xdr:row>
      <xdr:rowOff>145675</xdr:rowOff>
    </xdr:from>
    <xdr:ext cx="288477" cy="172227"/>
    <xdr:sp macro="" textlink="">
      <xdr:nvSpPr>
        <xdr:cNvPr id="115" name="CaixaDeTexto 114">
          <a:extLst>
            <a:ext uri="{FF2B5EF4-FFF2-40B4-BE49-F238E27FC236}">
              <a16:creationId xmlns:a16="http://schemas.microsoft.com/office/drawing/2014/main" id="{D9CE71B3-21A9-43FC-8291-3AA383B1BAFA}"/>
            </a:ext>
          </a:extLst>
        </xdr:cNvPr>
        <xdr:cNvSpPr txBox="1"/>
      </xdr:nvSpPr>
      <xdr:spPr>
        <a:xfrm>
          <a:off x="5927912" y="65856969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C66=</a:t>
          </a:r>
        </a:p>
      </xdr:txBody>
    </xdr:sp>
    <xdr:clientData/>
  </xdr:oneCellAnchor>
  <xdr:oneCellAnchor>
    <xdr:from>
      <xdr:col>1</xdr:col>
      <xdr:colOff>953559</xdr:colOff>
      <xdr:row>421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5622F19-B196-4090-BA08-92EEF82B02A1}"/>
                </a:ext>
              </a:extLst>
            </xdr:cNvPr>
            <xdr:cNvSpPr txBox="1"/>
          </xdr:nvSpPr>
          <xdr:spPr>
            <a:xfrm>
              <a:off x="1484718" y="6407853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1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5622F19-B196-4090-BA08-92EEF82B02A1}"/>
                </a:ext>
              </a:extLst>
            </xdr:cNvPr>
            <xdr:cNvSpPr txBox="1"/>
          </xdr:nvSpPr>
          <xdr:spPr>
            <a:xfrm>
              <a:off x="1484718" y="6407853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16</xdr:col>
      <xdr:colOff>736227</xdr:colOff>
      <xdr:row>207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D30F502C-0075-4B5B-B186-6B9330079D25}"/>
                </a:ext>
              </a:extLst>
            </xdr:cNvPr>
            <xdr:cNvSpPr txBox="1"/>
          </xdr:nvSpPr>
          <xdr:spPr>
            <a:xfrm>
              <a:off x="2215403" y="3281306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D30F502C-0075-4B5B-B186-6B9330079D25}"/>
                </a:ext>
              </a:extLst>
            </xdr:cNvPr>
            <xdr:cNvSpPr txBox="1"/>
          </xdr:nvSpPr>
          <xdr:spPr>
            <a:xfrm>
              <a:off x="2215403" y="3281306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661147</xdr:colOff>
      <xdr:row>208</xdr:row>
      <xdr:rowOff>145675</xdr:rowOff>
    </xdr:from>
    <xdr:ext cx="288477" cy="172227"/>
    <xdr:sp macro="" textlink="">
      <xdr:nvSpPr>
        <xdr:cNvPr id="119" name="CaixaDeTexto 118">
          <a:extLst>
            <a:ext uri="{FF2B5EF4-FFF2-40B4-BE49-F238E27FC236}">
              <a16:creationId xmlns:a16="http://schemas.microsoft.com/office/drawing/2014/main" id="{F5A6D7FB-6DD2-48A8-B44D-52D4D61DB33D}"/>
            </a:ext>
          </a:extLst>
        </xdr:cNvPr>
        <xdr:cNvSpPr txBox="1"/>
      </xdr:nvSpPr>
      <xdr:spPr>
        <a:xfrm>
          <a:off x="2140323" y="33113381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16</xdr:col>
      <xdr:colOff>736227</xdr:colOff>
      <xdr:row>217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4098B489-B0E3-48D6-A31D-BC0A1E693871}"/>
                </a:ext>
              </a:extLst>
            </xdr:cNvPr>
            <xdr:cNvSpPr txBox="1"/>
          </xdr:nvSpPr>
          <xdr:spPr>
            <a:xfrm>
              <a:off x="2215403" y="3440430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4098B489-B0E3-48D6-A31D-BC0A1E693871}"/>
                </a:ext>
              </a:extLst>
            </xdr:cNvPr>
            <xdr:cNvSpPr txBox="1"/>
          </xdr:nvSpPr>
          <xdr:spPr>
            <a:xfrm>
              <a:off x="2215403" y="3440430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661147</xdr:colOff>
      <xdr:row>218</xdr:row>
      <xdr:rowOff>145675</xdr:rowOff>
    </xdr:from>
    <xdr:ext cx="288477" cy="172227"/>
    <xdr:sp macro="" textlink="">
      <xdr:nvSpPr>
        <xdr:cNvPr id="122" name="CaixaDeTexto 121">
          <a:extLst>
            <a:ext uri="{FF2B5EF4-FFF2-40B4-BE49-F238E27FC236}">
              <a16:creationId xmlns:a16="http://schemas.microsoft.com/office/drawing/2014/main" id="{35210986-3674-466B-8E5E-E8C83AADD5A4}"/>
            </a:ext>
          </a:extLst>
        </xdr:cNvPr>
        <xdr:cNvSpPr txBox="1"/>
      </xdr:nvSpPr>
      <xdr:spPr>
        <a:xfrm>
          <a:off x="2140323" y="34704616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16</xdr:col>
      <xdr:colOff>736227</xdr:colOff>
      <xdr:row>227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00558724-B8A0-481F-8006-1B98C55133B4}"/>
                </a:ext>
              </a:extLst>
            </xdr:cNvPr>
            <xdr:cNvSpPr txBox="1"/>
          </xdr:nvSpPr>
          <xdr:spPr>
            <a:xfrm>
              <a:off x="2215403" y="3599553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00558724-B8A0-481F-8006-1B98C55133B4}"/>
                </a:ext>
              </a:extLst>
            </xdr:cNvPr>
            <xdr:cNvSpPr txBox="1"/>
          </xdr:nvSpPr>
          <xdr:spPr>
            <a:xfrm>
              <a:off x="2215403" y="3599553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661147</xdr:colOff>
      <xdr:row>228</xdr:row>
      <xdr:rowOff>145675</xdr:rowOff>
    </xdr:from>
    <xdr:ext cx="288477" cy="172227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131B33FB-18B9-4E4D-8D6C-40391409A922}"/>
            </a:ext>
          </a:extLst>
        </xdr:cNvPr>
        <xdr:cNvSpPr txBox="1"/>
      </xdr:nvSpPr>
      <xdr:spPr>
        <a:xfrm>
          <a:off x="2140323" y="36295851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16</xdr:col>
      <xdr:colOff>736227</xdr:colOff>
      <xdr:row>237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621E95BE-05BA-4EDF-BCE3-ED9A2DF77DE7}"/>
                </a:ext>
              </a:extLst>
            </xdr:cNvPr>
            <xdr:cNvSpPr txBox="1"/>
          </xdr:nvSpPr>
          <xdr:spPr>
            <a:xfrm>
              <a:off x="2215403" y="375867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621E95BE-05BA-4EDF-BCE3-ED9A2DF77DE7}"/>
                </a:ext>
              </a:extLst>
            </xdr:cNvPr>
            <xdr:cNvSpPr txBox="1"/>
          </xdr:nvSpPr>
          <xdr:spPr>
            <a:xfrm>
              <a:off x="2215403" y="375867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661147</xdr:colOff>
      <xdr:row>238</xdr:row>
      <xdr:rowOff>145675</xdr:rowOff>
    </xdr:from>
    <xdr:ext cx="288477" cy="172227"/>
    <xdr:sp macro="" textlink="">
      <xdr:nvSpPr>
        <xdr:cNvPr id="128" name="CaixaDeTexto 127">
          <a:extLst>
            <a:ext uri="{FF2B5EF4-FFF2-40B4-BE49-F238E27FC236}">
              <a16:creationId xmlns:a16="http://schemas.microsoft.com/office/drawing/2014/main" id="{547899F7-E2B7-4555-AB9E-02079FE66ED0}"/>
            </a:ext>
          </a:extLst>
        </xdr:cNvPr>
        <xdr:cNvSpPr txBox="1"/>
      </xdr:nvSpPr>
      <xdr:spPr>
        <a:xfrm>
          <a:off x="2140323" y="37887087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16</xdr:col>
      <xdr:colOff>736227</xdr:colOff>
      <xdr:row>247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775BC204-86EF-402D-B4AF-46F4644F9C4B}"/>
                </a:ext>
              </a:extLst>
            </xdr:cNvPr>
            <xdr:cNvSpPr txBox="1"/>
          </xdr:nvSpPr>
          <xdr:spPr>
            <a:xfrm>
              <a:off x="2215403" y="3917800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775BC204-86EF-402D-B4AF-46F4644F9C4B}"/>
                </a:ext>
              </a:extLst>
            </xdr:cNvPr>
            <xdr:cNvSpPr txBox="1"/>
          </xdr:nvSpPr>
          <xdr:spPr>
            <a:xfrm>
              <a:off x="2215403" y="3917800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661147</xdr:colOff>
      <xdr:row>248</xdr:row>
      <xdr:rowOff>145675</xdr:rowOff>
    </xdr:from>
    <xdr:ext cx="288477" cy="172227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C4674138-EEFE-4F28-9EAA-D758AE22EE86}"/>
            </a:ext>
          </a:extLst>
        </xdr:cNvPr>
        <xdr:cNvSpPr txBox="1"/>
      </xdr:nvSpPr>
      <xdr:spPr>
        <a:xfrm>
          <a:off x="2140323" y="39478322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C44=</a:t>
          </a:r>
        </a:p>
      </xdr:txBody>
    </xdr:sp>
    <xdr:clientData/>
  </xdr:oneCellAnchor>
  <xdr:oneCellAnchor>
    <xdr:from>
      <xdr:col>16</xdr:col>
      <xdr:colOff>736227</xdr:colOff>
      <xdr:row>257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C125D820-4424-44DA-A233-7F8B79ECDBCC}"/>
                </a:ext>
              </a:extLst>
            </xdr:cNvPr>
            <xdr:cNvSpPr txBox="1"/>
          </xdr:nvSpPr>
          <xdr:spPr>
            <a:xfrm>
              <a:off x="2215403" y="407692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C125D820-4424-44DA-A233-7F8B79ECDBCC}"/>
                </a:ext>
              </a:extLst>
            </xdr:cNvPr>
            <xdr:cNvSpPr txBox="1"/>
          </xdr:nvSpPr>
          <xdr:spPr>
            <a:xfrm>
              <a:off x="2215403" y="407692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661147</xdr:colOff>
      <xdr:row>258</xdr:row>
      <xdr:rowOff>145675</xdr:rowOff>
    </xdr:from>
    <xdr:ext cx="288477" cy="172227"/>
    <xdr:sp macro="" textlink="">
      <xdr:nvSpPr>
        <xdr:cNvPr id="134" name="CaixaDeTexto 133">
          <a:extLst>
            <a:ext uri="{FF2B5EF4-FFF2-40B4-BE49-F238E27FC236}">
              <a16:creationId xmlns:a16="http://schemas.microsoft.com/office/drawing/2014/main" id="{F6A8D337-0782-411B-891D-4E9DA0B44463}"/>
            </a:ext>
          </a:extLst>
        </xdr:cNvPr>
        <xdr:cNvSpPr txBox="1"/>
      </xdr:nvSpPr>
      <xdr:spPr>
        <a:xfrm>
          <a:off x="2140323" y="41069557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C55=</a:t>
          </a:r>
        </a:p>
      </xdr:txBody>
    </xdr:sp>
    <xdr:clientData/>
  </xdr:oneCellAnchor>
  <xdr:oneCellAnchor>
    <xdr:from>
      <xdr:col>16</xdr:col>
      <xdr:colOff>736227</xdr:colOff>
      <xdr:row>267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D0BF01E6-7D79-4318-8553-B0E70D19EECC}"/>
                </a:ext>
              </a:extLst>
            </xdr:cNvPr>
            <xdr:cNvSpPr txBox="1"/>
          </xdr:nvSpPr>
          <xdr:spPr>
            <a:xfrm>
              <a:off x="2215403" y="4236047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D0BF01E6-7D79-4318-8553-B0E70D19EECC}"/>
                </a:ext>
              </a:extLst>
            </xdr:cNvPr>
            <xdr:cNvSpPr txBox="1"/>
          </xdr:nvSpPr>
          <xdr:spPr>
            <a:xfrm>
              <a:off x="2215403" y="4236047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661147</xdr:colOff>
      <xdr:row>268</xdr:row>
      <xdr:rowOff>145675</xdr:rowOff>
    </xdr:from>
    <xdr:ext cx="288477" cy="172227"/>
    <xdr:sp macro="" textlink="">
      <xdr:nvSpPr>
        <xdr:cNvPr id="137" name="CaixaDeTexto 136">
          <a:extLst>
            <a:ext uri="{FF2B5EF4-FFF2-40B4-BE49-F238E27FC236}">
              <a16:creationId xmlns:a16="http://schemas.microsoft.com/office/drawing/2014/main" id="{6BBB10DB-4720-4011-BABB-1F9F31FD3453}"/>
            </a:ext>
          </a:extLst>
        </xdr:cNvPr>
        <xdr:cNvSpPr txBox="1"/>
      </xdr:nvSpPr>
      <xdr:spPr>
        <a:xfrm>
          <a:off x="2140323" y="42660793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C66=</a:t>
          </a:r>
        </a:p>
      </xdr:txBody>
    </xdr:sp>
    <xdr:clientData/>
  </xdr:oneCellAnchor>
  <xdr:oneCellAnchor>
    <xdr:from>
      <xdr:col>15</xdr:col>
      <xdr:colOff>456079</xdr:colOff>
      <xdr:row>279</xdr:row>
      <xdr:rowOff>2241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11237803-002F-49D5-9C9C-1D4BE8C08377}"/>
                </a:ext>
              </a:extLst>
            </xdr:cNvPr>
            <xdr:cNvSpPr txBox="1"/>
          </xdr:nvSpPr>
          <xdr:spPr>
            <a:xfrm>
              <a:off x="1148806" y="45029514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11237803-002F-49D5-9C9C-1D4BE8C08377}"/>
                </a:ext>
              </a:extLst>
            </xdr:cNvPr>
            <xdr:cNvSpPr txBox="1"/>
          </xdr:nvSpPr>
          <xdr:spPr>
            <a:xfrm>
              <a:off x="1148806" y="45029514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15</xdr:col>
      <xdr:colOff>672352</xdr:colOff>
      <xdr:row>280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EE5AA8D9-2C64-4F65-AAE2-D8F1FE8C2165}"/>
                </a:ext>
              </a:extLst>
            </xdr:cNvPr>
            <xdr:cNvSpPr txBox="1"/>
          </xdr:nvSpPr>
          <xdr:spPr>
            <a:xfrm>
              <a:off x="1365079" y="45320492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EE5AA8D9-2C64-4F65-AAE2-D8F1FE8C2165}"/>
                </a:ext>
              </a:extLst>
            </xdr:cNvPr>
            <xdr:cNvSpPr txBox="1"/>
          </xdr:nvSpPr>
          <xdr:spPr>
            <a:xfrm>
              <a:off x="1365079" y="45320492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15</xdr:col>
      <xdr:colOff>694764</xdr:colOff>
      <xdr:row>284</xdr:row>
      <xdr:rowOff>134471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DB4E1A88-408B-4DBC-BF0C-ACF39DAD8559}"/>
                </a:ext>
              </a:extLst>
            </xdr:cNvPr>
            <xdr:cNvSpPr txBox="1"/>
          </xdr:nvSpPr>
          <xdr:spPr>
            <a:xfrm>
              <a:off x="1387491" y="4595549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DB4E1A88-408B-4DBC-BF0C-ACF39DAD8559}"/>
                </a:ext>
              </a:extLst>
            </xdr:cNvPr>
            <xdr:cNvSpPr txBox="1"/>
          </xdr:nvSpPr>
          <xdr:spPr>
            <a:xfrm>
              <a:off x="1387491" y="4595549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23</xdr:col>
      <xdr:colOff>616324</xdr:colOff>
      <xdr:row>274</xdr:row>
      <xdr:rowOff>168087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1321C862-9C80-42DA-B9BC-6CF234111472}"/>
                </a:ext>
              </a:extLst>
            </xdr:cNvPr>
            <xdr:cNvSpPr txBox="1"/>
          </xdr:nvSpPr>
          <xdr:spPr>
            <a:xfrm>
              <a:off x="8885756" y="44387178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1321C862-9C80-42DA-B9BC-6CF234111472}"/>
                </a:ext>
              </a:extLst>
            </xdr:cNvPr>
            <xdr:cNvSpPr txBox="1"/>
          </xdr:nvSpPr>
          <xdr:spPr>
            <a:xfrm>
              <a:off x="8885756" y="44387178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0</xdr:colOff>
      <xdr:row>283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BEBD309B-6D62-47F8-A9A0-140BA2E69094}"/>
                </a:ext>
              </a:extLst>
            </xdr:cNvPr>
            <xdr:cNvSpPr txBox="1"/>
          </xdr:nvSpPr>
          <xdr:spPr>
            <a:xfrm>
              <a:off x="1486477" y="45662273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BEBD309B-6D62-47F8-A9A0-140BA2E69094}"/>
                </a:ext>
              </a:extLst>
            </xdr:cNvPr>
            <xdr:cNvSpPr txBox="1"/>
          </xdr:nvSpPr>
          <xdr:spPr>
            <a:xfrm>
              <a:off x="1486477" y="45662273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23</xdr:col>
      <xdr:colOff>347382</xdr:colOff>
      <xdr:row>278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AE2B9A6E-FB99-4E53-89B5-DC2BC674CE22}"/>
                </a:ext>
              </a:extLst>
            </xdr:cNvPr>
            <xdr:cNvSpPr txBox="1"/>
          </xdr:nvSpPr>
          <xdr:spPr>
            <a:xfrm>
              <a:off x="8616814" y="44991787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AE2B9A6E-FB99-4E53-89B5-DC2BC674CE22}"/>
                </a:ext>
              </a:extLst>
            </xdr:cNvPr>
            <xdr:cNvSpPr txBox="1"/>
          </xdr:nvSpPr>
          <xdr:spPr>
            <a:xfrm>
              <a:off x="8616814" y="44991787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15</xdr:col>
      <xdr:colOff>299197</xdr:colOff>
      <xdr:row>293</xdr:row>
      <xdr:rowOff>2242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B42AD81F-6692-4065-AEDE-CF3E6970DCDD}"/>
                </a:ext>
              </a:extLst>
            </xdr:cNvPr>
            <xdr:cNvSpPr txBox="1"/>
          </xdr:nvSpPr>
          <xdr:spPr>
            <a:xfrm>
              <a:off x="991924" y="47324174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B42AD81F-6692-4065-AEDE-CF3E6970DCDD}"/>
                </a:ext>
              </a:extLst>
            </xdr:cNvPr>
            <xdr:cNvSpPr txBox="1"/>
          </xdr:nvSpPr>
          <xdr:spPr>
            <a:xfrm>
              <a:off x="991924" y="47324174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15</xdr:col>
      <xdr:colOff>672352</xdr:colOff>
      <xdr:row>294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2FF76694-C504-4B17-8701-14492ACAA5A1}"/>
                </a:ext>
              </a:extLst>
            </xdr:cNvPr>
            <xdr:cNvSpPr txBox="1"/>
          </xdr:nvSpPr>
          <xdr:spPr>
            <a:xfrm>
              <a:off x="1365079" y="47615151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2FF76694-C504-4B17-8701-14492ACAA5A1}"/>
                </a:ext>
              </a:extLst>
            </xdr:cNvPr>
            <xdr:cNvSpPr txBox="1"/>
          </xdr:nvSpPr>
          <xdr:spPr>
            <a:xfrm>
              <a:off x="1365079" y="47615151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15</xdr:col>
      <xdr:colOff>369794</xdr:colOff>
      <xdr:row>299</xdr:row>
      <xdr:rowOff>11206</xdr:rowOff>
    </xdr:from>
    <xdr:ext cx="1389529" cy="235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28FCA89B-B297-4643-9289-1700C4F0B662}"/>
                </a:ext>
              </a:extLst>
            </xdr:cNvPr>
            <xdr:cNvSpPr txBox="1"/>
          </xdr:nvSpPr>
          <xdr:spPr>
            <a:xfrm>
              <a:off x="1062521" y="48285638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∗(1+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0)=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28FCA89B-B297-4643-9289-1700C4F0B662}"/>
                </a:ext>
              </a:extLst>
            </xdr:cNvPr>
            <xdr:cNvSpPr txBox="1"/>
          </xdr:nvSpPr>
          <xdr:spPr>
            <a:xfrm>
              <a:off x="1062521" y="48285638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2∗(1+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23</xdr:col>
      <xdr:colOff>302560</xdr:colOff>
      <xdr:row>288</xdr:row>
      <xdr:rowOff>156881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4D88F8C3-46D6-40B3-8E64-C4D2D2811312}"/>
                </a:ext>
              </a:extLst>
            </xdr:cNvPr>
            <xdr:cNvSpPr txBox="1"/>
          </xdr:nvSpPr>
          <xdr:spPr>
            <a:xfrm>
              <a:off x="8571992" y="4667063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4D88F8C3-46D6-40B3-8E64-C4D2D2811312}"/>
                </a:ext>
              </a:extLst>
            </xdr:cNvPr>
            <xdr:cNvSpPr txBox="1"/>
          </xdr:nvSpPr>
          <xdr:spPr>
            <a:xfrm>
              <a:off x="8571992" y="4667063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0</xdr:colOff>
      <xdr:row>297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4F1FADA2-77E4-46DE-B7E5-226D636F856A}"/>
                </a:ext>
              </a:extLst>
            </xdr:cNvPr>
            <xdr:cNvSpPr txBox="1"/>
          </xdr:nvSpPr>
          <xdr:spPr>
            <a:xfrm>
              <a:off x="1486477" y="47956932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4F1FADA2-77E4-46DE-B7E5-226D636F856A}"/>
                </a:ext>
              </a:extLst>
            </xdr:cNvPr>
            <xdr:cNvSpPr txBox="1"/>
          </xdr:nvSpPr>
          <xdr:spPr>
            <a:xfrm>
              <a:off x="1486477" y="47956932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23</xdr:col>
      <xdr:colOff>358588</xdr:colOff>
      <xdr:row>292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797767E8-E0BC-498F-948D-AC12E7CC6313}"/>
                </a:ext>
              </a:extLst>
            </xdr:cNvPr>
            <xdr:cNvSpPr txBox="1"/>
          </xdr:nvSpPr>
          <xdr:spPr>
            <a:xfrm>
              <a:off x="8628020" y="47286446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797767E8-E0BC-498F-948D-AC12E7CC6313}"/>
                </a:ext>
              </a:extLst>
            </xdr:cNvPr>
            <xdr:cNvSpPr txBox="1"/>
          </xdr:nvSpPr>
          <xdr:spPr>
            <a:xfrm>
              <a:off x="8628020" y="47286446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15</xdr:col>
      <xdr:colOff>212913</xdr:colOff>
      <xdr:row>304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CC417F0B-43C6-4F8C-BBF9-B55DFF3C7516}"/>
                </a:ext>
              </a:extLst>
            </xdr:cNvPr>
            <xdr:cNvSpPr txBox="1"/>
          </xdr:nvSpPr>
          <xdr:spPr>
            <a:xfrm>
              <a:off x="905640" y="49212331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CC417F0B-43C6-4F8C-BBF9-B55DFF3C7516}"/>
                </a:ext>
              </a:extLst>
            </xdr:cNvPr>
            <xdr:cNvSpPr txBox="1"/>
          </xdr:nvSpPr>
          <xdr:spPr>
            <a:xfrm>
              <a:off x="905640" y="49212331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𝐻0:𝐵_0=0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224117</xdr:colOff>
      <xdr:row>306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5B351E8F-24E7-4CF0-AFFB-B3E6529BAAF0}"/>
                </a:ext>
              </a:extLst>
            </xdr:cNvPr>
            <xdr:cNvSpPr txBox="1"/>
          </xdr:nvSpPr>
          <xdr:spPr>
            <a:xfrm>
              <a:off x="916844" y="49552241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5B351E8F-24E7-4CF0-AFFB-B3E6529BAAF0}"/>
                </a:ext>
              </a:extLst>
            </xdr:cNvPr>
            <xdr:cNvSpPr txBox="1"/>
          </xdr:nvSpPr>
          <xdr:spPr>
            <a:xfrm>
              <a:off x="916844" y="49552241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𝐻1:𝐵_0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448236</xdr:colOff>
      <xdr:row>309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02DA6E81-E0F9-4DD6-AACC-E5842DD89864}"/>
                </a:ext>
              </a:extLst>
            </xdr:cNvPr>
            <xdr:cNvSpPr txBox="1"/>
          </xdr:nvSpPr>
          <xdr:spPr>
            <a:xfrm>
              <a:off x="1140963" y="5003969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02DA6E81-E0F9-4DD6-AACC-E5842DD89864}"/>
                </a:ext>
              </a:extLst>
            </xdr:cNvPr>
            <xdr:cNvSpPr txBox="1"/>
          </xdr:nvSpPr>
          <xdr:spPr>
            <a:xfrm>
              <a:off x="1140963" y="5003969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17</xdr:col>
      <xdr:colOff>112058</xdr:colOff>
      <xdr:row>304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A5AF7D6E-2220-4674-BD36-82C0BA64A132}"/>
                </a:ext>
              </a:extLst>
            </xdr:cNvPr>
            <xdr:cNvSpPr txBox="1"/>
          </xdr:nvSpPr>
          <xdr:spPr>
            <a:xfrm>
              <a:off x="2623194" y="49203366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00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A5AF7D6E-2220-4674-BD36-82C0BA64A132}"/>
                </a:ext>
              </a:extLst>
            </xdr:cNvPr>
            <xdr:cNvSpPr txBox="1"/>
          </xdr:nvSpPr>
          <xdr:spPr>
            <a:xfrm>
              <a:off x="2623194" y="49203366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400" b="0" i="0">
                  <a:latin typeface="Cambria Math" panose="02040503050406030204" pitchFamily="18" charset="0"/>
                </a:rPr>
                <a:t>0 ) ̂/√(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400" b="0" i="0">
                  <a:latin typeface="Cambria Math" panose="02040503050406030204" pitchFamily="18" charset="0"/>
                </a:rPr>
                <a:t>2∗𝐶_00 )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571500</xdr:colOff>
      <xdr:row>306</xdr:row>
      <xdr:rowOff>145675</xdr:rowOff>
    </xdr:from>
    <xdr:ext cx="288477" cy="172227"/>
    <xdr:sp macro="" textlink="">
      <xdr:nvSpPr>
        <xdr:cNvPr id="156" name="CaixaDeTexto 155">
          <a:extLst>
            <a:ext uri="{FF2B5EF4-FFF2-40B4-BE49-F238E27FC236}">
              <a16:creationId xmlns:a16="http://schemas.microsoft.com/office/drawing/2014/main" id="{428D0CFB-A6BD-4A44-934C-B32C40887C06}"/>
            </a:ext>
          </a:extLst>
        </xdr:cNvPr>
        <xdr:cNvSpPr txBox="1"/>
      </xdr:nvSpPr>
      <xdr:spPr>
        <a:xfrm>
          <a:off x="5925705" y="49574652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15</xdr:col>
      <xdr:colOff>212913</xdr:colOff>
      <xdr:row>322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DAA68FA7-AF17-406B-BC37-0E1AA15C8DC8}"/>
                </a:ext>
              </a:extLst>
            </xdr:cNvPr>
            <xdr:cNvSpPr txBox="1"/>
          </xdr:nvSpPr>
          <xdr:spPr>
            <a:xfrm>
              <a:off x="905640" y="5209869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DAA68FA7-AF17-406B-BC37-0E1AA15C8DC8}"/>
                </a:ext>
              </a:extLst>
            </xdr:cNvPr>
            <xdr:cNvSpPr txBox="1"/>
          </xdr:nvSpPr>
          <xdr:spPr>
            <a:xfrm>
              <a:off x="905640" y="5209869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𝐻0:𝐵_1=0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224117</xdr:colOff>
      <xdr:row>324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4903CEEA-44B1-4801-B114-AF464FA0BDEB}"/>
                </a:ext>
              </a:extLst>
            </xdr:cNvPr>
            <xdr:cNvSpPr txBox="1"/>
          </xdr:nvSpPr>
          <xdr:spPr>
            <a:xfrm>
              <a:off x="916844" y="5243860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4903CEEA-44B1-4801-B114-AF464FA0BDEB}"/>
                </a:ext>
              </a:extLst>
            </xdr:cNvPr>
            <xdr:cNvSpPr txBox="1"/>
          </xdr:nvSpPr>
          <xdr:spPr>
            <a:xfrm>
              <a:off x="916844" y="5243860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𝐻1:𝐵_1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448236</xdr:colOff>
      <xdr:row>327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87552FE9-476F-4394-B436-1D92D9FAD322}"/>
                </a:ext>
              </a:extLst>
            </xdr:cNvPr>
            <xdr:cNvSpPr txBox="1"/>
          </xdr:nvSpPr>
          <xdr:spPr>
            <a:xfrm>
              <a:off x="1140963" y="5292606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87552FE9-476F-4394-B436-1D92D9FAD322}"/>
                </a:ext>
              </a:extLst>
            </xdr:cNvPr>
            <xdr:cNvSpPr txBox="1"/>
          </xdr:nvSpPr>
          <xdr:spPr>
            <a:xfrm>
              <a:off x="1140963" y="5292606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17</xdr:col>
      <xdr:colOff>112058</xdr:colOff>
      <xdr:row>322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BFD7EDCC-8F33-4744-B88F-B293F84092B2}"/>
                </a:ext>
              </a:extLst>
            </xdr:cNvPr>
            <xdr:cNvSpPr txBox="1"/>
          </xdr:nvSpPr>
          <xdr:spPr>
            <a:xfrm>
              <a:off x="2623194" y="52089730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BFD7EDCC-8F33-4744-B88F-B293F84092B2}"/>
                </a:ext>
              </a:extLst>
            </xdr:cNvPr>
            <xdr:cNvSpPr txBox="1"/>
          </xdr:nvSpPr>
          <xdr:spPr>
            <a:xfrm>
              <a:off x="2623194" y="52089730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𝛽_1 )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2∗𝐶_11 )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571500</xdr:colOff>
      <xdr:row>324</xdr:row>
      <xdr:rowOff>145675</xdr:rowOff>
    </xdr:from>
    <xdr:ext cx="288477" cy="172227"/>
    <xdr:sp macro="" textlink="">
      <xdr:nvSpPr>
        <xdr:cNvPr id="162" name="CaixaDeTexto 161">
          <a:extLst>
            <a:ext uri="{FF2B5EF4-FFF2-40B4-BE49-F238E27FC236}">
              <a16:creationId xmlns:a16="http://schemas.microsoft.com/office/drawing/2014/main" id="{082EBA7F-30E8-4F5B-8458-4D803E81E033}"/>
            </a:ext>
          </a:extLst>
        </xdr:cNvPr>
        <xdr:cNvSpPr txBox="1"/>
      </xdr:nvSpPr>
      <xdr:spPr>
        <a:xfrm>
          <a:off x="5925705" y="52461016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15</xdr:col>
      <xdr:colOff>953559</xdr:colOff>
      <xdr:row>331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C7937FE-A2C0-4440-8071-FA6B5321690C}"/>
                </a:ext>
              </a:extLst>
            </xdr:cNvPr>
            <xdr:cNvSpPr txBox="1"/>
          </xdr:nvSpPr>
          <xdr:spPr>
            <a:xfrm>
              <a:off x="1493886" y="53541951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C7937FE-A2C0-4440-8071-FA6B5321690C}"/>
                </a:ext>
              </a:extLst>
            </xdr:cNvPr>
            <xdr:cNvSpPr txBox="1"/>
          </xdr:nvSpPr>
          <xdr:spPr>
            <a:xfrm>
              <a:off x="1493886" y="53541951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212913</xdr:colOff>
      <xdr:row>340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AFE10000-880E-412B-A9B8-19402207504A}"/>
                </a:ext>
              </a:extLst>
            </xdr:cNvPr>
            <xdr:cNvSpPr txBox="1"/>
          </xdr:nvSpPr>
          <xdr:spPr>
            <a:xfrm>
              <a:off x="905640" y="5498505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AFE10000-880E-412B-A9B8-19402207504A}"/>
                </a:ext>
              </a:extLst>
            </xdr:cNvPr>
            <xdr:cNvSpPr txBox="1"/>
          </xdr:nvSpPr>
          <xdr:spPr>
            <a:xfrm>
              <a:off x="905640" y="5498505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𝐻0:𝐵_2=0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224117</xdr:colOff>
      <xdr:row>342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25E9916F-C68D-43E2-9345-F6BBFE551D36}"/>
                </a:ext>
              </a:extLst>
            </xdr:cNvPr>
            <xdr:cNvSpPr txBox="1"/>
          </xdr:nvSpPr>
          <xdr:spPr>
            <a:xfrm>
              <a:off x="916844" y="5532496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25E9916F-C68D-43E2-9345-F6BBFE551D36}"/>
                </a:ext>
              </a:extLst>
            </xdr:cNvPr>
            <xdr:cNvSpPr txBox="1"/>
          </xdr:nvSpPr>
          <xdr:spPr>
            <a:xfrm>
              <a:off x="916844" y="5532496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𝐻1:𝐵_2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448236</xdr:colOff>
      <xdr:row>345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E5EB41EA-32E9-44E5-BDD5-31A23D75B741}"/>
                </a:ext>
              </a:extLst>
            </xdr:cNvPr>
            <xdr:cNvSpPr txBox="1"/>
          </xdr:nvSpPr>
          <xdr:spPr>
            <a:xfrm>
              <a:off x="1140963" y="5581242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E5EB41EA-32E9-44E5-BDD5-31A23D75B741}"/>
                </a:ext>
              </a:extLst>
            </xdr:cNvPr>
            <xdr:cNvSpPr txBox="1"/>
          </xdr:nvSpPr>
          <xdr:spPr>
            <a:xfrm>
              <a:off x="1140963" y="5581242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17</xdr:col>
      <xdr:colOff>112058</xdr:colOff>
      <xdr:row>340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AA1D1DD3-01CD-41C3-B08E-CE083BCA8F3D}"/>
                </a:ext>
              </a:extLst>
            </xdr:cNvPr>
            <xdr:cNvSpPr txBox="1"/>
          </xdr:nvSpPr>
          <xdr:spPr>
            <a:xfrm>
              <a:off x="2623194" y="5497609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22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AA1D1DD3-01CD-41C3-B08E-CE083BCA8F3D}"/>
                </a:ext>
              </a:extLst>
            </xdr:cNvPr>
            <xdr:cNvSpPr txBox="1"/>
          </xdr:nvSpPr>
          <xdr:spPr>
            <a:xfrm>
              <a:off x="2623194" y="5497609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𝛽_2 )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2∗𝐶_22 )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571500</xdr:colOff>
      <xdr:row>342</xdr:row>
      <xdr:rowOff>145675</xdr:rowOff>
    </xdr:from>
    <xdr:ext cx="288477" cy="172227"/>
    <xdr:sp macro="" textlink="">
      <xdr:nvSpPr>
        <xdr:cNvPr id="168" name="CaixaDeTexto 167">
          <a:extLst>
            <a:ext uri="{FF2B5EF4-FFF2-40B4-BE49-F238E27FC236}">
              <a16:creationId xmlns:a16="http://schemas.microsoft.com/office/drawing/2014/main" id="{ED3F0AA0-9A22-4E09-B28C-232A8F9427E9}"/>
            </a:ext>
          </a:extLst>
        </xdr:cNvPr>
        <xdr:cNvSpPr txBox="1"/>
      </xdr:nvSpPr>
      <xdr:spPr>
        <a:xfrm>
          <a:off x="5925705" y="5534738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15</xdr:col>
      <xdr:colOff>953559</xdr:colOff>
      <xdr:row>349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6616C23-2A2F-43DE-B7E9-FC6DEAEA67EF}"/>
                </a:ext>
              </a:extLst>
            </xdr:cNvPr>
            <xdr:cNvSpPr txBox="1"/>
          </xdr:nvSpPr>
          <xdr:spPr>
            <a:xfrm>
              <a:off x="1493886" y="5642831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6616C23-2A2F-43DE-B7E9-FC6DEAEA67EF}"/>
                </a:ext>
              </a:extLst>
            </xdr:cNvPr>
            <xdr:cNvSpPr txBox="1"/>
          </xdr:nvSpPr>
          <xdr:spPr>
            <a:xfrm>
              <a:off x="1493886" y="5642831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212913</xdr:colOff>
      <xdr:row>358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E58CDFCE-CBC1-4768-9E18-6B58E41EFFE3}"/>
                </a:ext>
              </a:extLst>
            </xdr:cNvPr>
            <xdr:cNvSpPr txBox="1"/>
          </xdr:nvSpPr>
          <xdr:spPr>
            <a:xfrm>
              <a:off x="905640" y="57871422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E58CDFCE-CBC1-4768-9E18-6B58E41EFFE3}"/>
                </a:ext>
              </a:extLst>
            </xdr:cNvPr>
            <xdr:cNvSpPr txBox="1"/>
          </xdr:nvSpPr>
          <xdr:spPr>
            <a:xfrm>
              <a:off x="905640" y="57871422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𝐻0:𝐵_3=0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224117</xdr:colOff>
      <xdr:row>360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DA8DFB07-95F7-41CE-BA3C-1D160A1F7DF8}"/>
                </a:ext>
              </a:extLst>
            </xdr:cNvPr>
            <xdr:cNvSpPr txBox="1"/>
          </xdr:nvSpPr>
          <xdr:spPr>
            <a:xfrm>
              <a:off x="916844" y="58211332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DA8DFB07-95F7-41CE-BA3C-1D160A1F7DF8}"/>
                </a:ext>
              </a:extLst>
            </xdr:cNvPr>
            <xdr:cNvSpPr txBox="1"/>
          </xdr:nvSpPr>
          <xdr:spPr>
            <a:xfrm>
              <a:off x="916844" y="58211332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𝐻1:𝐵_3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448236</xdr:colOff>
      <xdr:row>363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27CB3C5D-B3EC-4A14-8FAB-62E2476A8C82}"/>
                </a:ext>
              </a:extLst>
            </xdr:cNvPr>
            <xdr:cNvSpPr txBox="1"/>
          </xdr:nvSpPr>
          <xdr:spPr>
            <a:xfrm>
              <a:off x="1140963" y="58698788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27CB3C5D-B3EC-4A14-8FAB-62E2476A8C82}"/>
                </a:ext>
              </a:extLst>
            </xdr:cNvPr>
            <xdr:cNvSpPr txBox="1"/>
          </xdr:nvSpPr>
          <xdr:spPr>
            <a:xfrm>
              <a:off x="1140963" y="58698788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17</xdr:col>
      <xdr:colOff>112058</xdr:colOff>
      <xdr:row>358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A2BF0651-34B3-4047-AAF6-24AEB7A6B1FE}"/>
                </a:ext>
              </a:extLst>
            </xdr:cNvPr>
            <xdr:cNvSpPr txBox="1"/>
          </xdr:nvSpPr>
          <xdr:spPr>
            <a:xfrm>
              <a:off x="2623194" y="57862457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33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A2BF0651-34B3-4047-AAF6-24AEB7A6B1FE}"/>
                </a:ext>
              </a:extLst>
            </xdr:cNvPr>
            <xdr:cNvSpPr txBox="1"/>
          </xdr:nvSpPr>
          <xdr:spPr>
            <a:xfrm>
              <a:off x="2623194" y="57862457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𝛽_3 )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2∗𝐶_33 )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571500</xdr:colOff>
      <xdr:row>360</xdr:row>
      <xdr:rowOff>145675</xdr:rowOff>
    </xdr:from>
    <xdr:ext cx="288477" cy="172227"/>
    <xdr:sp macro="" textlink="">
      <xdr:nvSpPr>
        <xdr:cNvPr id="174" name="CaixaDeTexto 173">
          <a:extLst>
            <a:ext uri="{FF2B5EF4-FFF2-40B4-BE49-F238E27FC236}">
              <a16:creationId xmlns:a16="http://schemas.microsoft.com/office/drawing/2014/main" id="{E570B692-52EC-42C3-BD00-596B8CF6072C}"/>
            </a:ext>
          </a:extLst>
        </xdr:cNvPr>
        <xdr:cNvSpPr txBox="1"/>
      </xdr:nvSpPr>
      <xdr:spPr>
        <a:xfrm>
          <a:off x="5925705" y="58233743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15</xdr:col>
      <xdr:colOff>953559</xdr:colOff>
      <xdr:row>367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6415E1D-957C-4462-8111-BDE0ED7274CE}"/>
                </a:ext>
              </a:extLst>
            </xdr:cNvPr>
            <xdr:cNvSpPr txBox="1"/>
          </xdr:nvSpPr>
          <xdr:spPr>
            <a:xfrm>
              <a:off x="1493886" y="5931467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7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6415E1D-957C-4462-8111-BDE0ED7274CE}"/>
                </a:ext>
              </a:extLst>
            </xdr:cNvPr>
            <xdr:cNvSpPr txBox="1"/>
          </xdr:nvSpPr>
          <xdr:spPr>
            <a:xfrm>
              <a:off x="1493886" y="5931467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212913</xdr:colOff>
      <xdr:row>376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087BBD6-27C8-4F1F-B687-F443254511A4}"/>
                </a:ext>
              </a:extLst>
            </xdr:cNvPr>
            <xdr:cNvSpPr txBox="1"/>
          </xdr:nvSpPr>
          <xdr:spPr>
            <a:xfrm>
              <a:off x="905640" y="60757786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087BBD6-27C8-4F1F-B687-F443254511A4}"/>
                </a:ext>
              </a:extLst>
            </xdr:cNvPr>
            <xdr:cNvSpPr txBox="1"/>
          </xdr:nvSpPr>
          <xdr:spPr>
            <a:xfrm>
              <a:off x="905640" y="60757786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𝐻0:𝐵_4=0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224117</xdr:colOff>
      <xdr:row>378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DEAF6B11-9D59-48C2-B727-C355C1D8D36B}"/>
                </a:ext>
              </a:extLst>
            </xdr:cNvPr>
            <xdr:cNvSpPr txBox="1"/>
          </xdr:nvSpPr>
          <xdr:spPr>
            <a:xfrm>
              <a:off x="916844" y="61097696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DEAF6B11-9D59-48C2-B727-C355C1D8D36B}"/>
                </a:ext>
              </a:extLst>
            </xdr:cNvPr>
            <xdr:cNvSpPr txBox="1"/>
          </xdr:nvSpPr>
          <xdr:spPr>
            <a:xfrm>
              <a:off x="916844" y="61097696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𝐻1:𝐵_4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448236</xdr:colOff>
      <xdr:row>381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4FC5B874-F710-4FD3-80CB-979AF3581D58}"/>
                </a:ext>
              </a:extLst>
            </xdr:cNvPr>
            <xdr:cNvSpPr txBox="1"/>
          </xdr:nvSpPr>
          <xdr:spPr>
            <a:xfrm>
              <a:off x="1140963" y="61585152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4FC5B874-F710-4FD3-80CB-979AF3581D58}"/>
                </a:ext>
              </a:extLst>
            </xdr:cNvPr>
            <xdr:cNvSpPr txBox="1"/>
          </xdr:nvSpPr>
          <xdr:spPr>
            <a:xfrm>
              <a:off x="1140963" y="61585152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17</xdr:col>
      <xdr:colOff>112058</xdr:colOff>
      <xdr:row>376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A2DA7726-AB0F-4112-9EA4-52B2958A5959}"/>
                </a:ext>
              </a:extLst>
            </xdr:cNvPr>
            <xdr:cNvSpPr txBox="1"/>
          </xdr:nvSpPr>
          <xdr:spPr>
            <a:xfrm>
              <a:off x="2623194" y="60748821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4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44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A2DA7726-AB0F-4112-9EA4-52B2958A5959}"/>
                </a:ext>
              </a:extLst>
            </xdr:cNvPr>
            <xdr:cNvSpPr txBox="1"/>
          </xdr:nvSpPr>
          <xdr:spPr>
            <a:xfrm>
              <a:off x="2623194" y="60748821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𝛽_4 )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2∗𝐶_44 )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571500</xdr:colOff>
      <xdr:row>378</xdr:row>
      <xdr:rowOff>145675</xdr:rowOff>
    </xdr:from>
    <xdr:ext cx="288477" cy="172227"/>
    <xdr:sp macro="" textlink="">
      <xdr:nvSpPr>
        <xdr:cNvPr id="180" name="CaixaDeTexto 179">
          <a:extLst>
            <a:ext uri="{FF2B5EF4-FFF2-40B4-BE49-F238E27FC236}">
              <a16:creationId xmlns:a16="http://schemas.microsoft.com/office/drawing/2014/main" id="{DBD5DBB0-51E7-4D63-8F57-75AADBA0BF1A}"/>
            </a:ext>
          </a:extLst>
        </xdr:cNvPr>
        <xdr:cNvSpPr txBox="1"/>
      </xdr:nvSpPr>
      <xdr:spPr>
        <a:xfrm>
          <a:off x="5925705" y="61120107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C44=</a:t>
          </a:r>
        </a:p>
      </xdr:txBody>
    </xdr:sp>
    <xdr:clientData/>
  </xdr:oneCellAnchor>
  <xdr:oneCellAnchor>
    <xdr:from>
      <xdr:col>15</xdr:col>
      <xdr:colOff>953559</xdr:colOff>
      <xdr:row>385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AD95BEC-8AE5-4F5E-97FE-E6E2EDD34E44}"/>
                </a:ext>
              </a:extLst>
            </xdr:cNvPr>
            <xdr:cNvSpPr txBox="1"/>
          </xdr:nvSpPr>
          <xdr:spPr>
            <a:xfrm>
              <a:off x="1493886" y="6220104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8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AD95BEC-8AE5-4F5E-97FE-E6E2EDD34E44}"/>
                </a:ext>
              </a:extLst>
            </xdr:cNvPr>
            <xdr:cNvSpPr txBox="1"/>
          </xdr:nvSpPr>
          <xdr:spPr>
            <a:xfrm>
              <a:off x="1493886" y="6220104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212913</xdr:colOff>
      <xdr:row>394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7A167095-C130-43CB-9473-D7EE85D62C09}"/>
                </a:ext>
              </a:extLst>
            </xdr:cNvPr>
            <xdr:cNvSpPr txBox="1"/>
          </xdr:nvSpPr>
          <xdr:spPr>
            <a:xfrm>
              <a:off x="905640" y="6364414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7A167095-C130-43CB-9473-D7EE85D62C09}"/>
                </a:ext>
              </a:extLst>
            </xdr:cNvPr>
            <xdr:cNvSpPr txBox="1"/>
          </xdr:nvSpPr>
          <xdr:spPr>
            <a:xfrm>
              <a:off x="905640" y="6364414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𝐻0:𝐵_5=0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224117</xdr:colOff>
      <xdr:row>396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7FC3EB79-FBDA-4359-B2E0-C4656FB0C4AE}"/>
                </a:ext>
              </a:extLst>
            </xdr:cNvPr>
            <xdr:cNvSpPr txBox="1"/>
          </xdr:nvSpPr>
          <xdr:spPr>
            <a:xfrm>
              <a:off x="916844" y="6398405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7FC3EB79-FBDA-4359-B2E0-C4656FB0C4AE}"/>
                </a:ext>
              </a:extLst>
            </xdr:cNvPr>
            <xdr:cNvSpPr txBox="1"/>
          </xdr:nvSpPr>
          <xdr:spPr>
            <a:xfrm>
              <a:off x="916844" y="6398405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𝐻1:𝐵_5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448236</xdr:colOff>
      <xdr:row>399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7E281CD-320D-412E-9122-027DFA1B2B6F}"/>
                </a:ext>
              </a:extLst>
            </xdr:cNvPr>
            <xdr:cNvSpPr txBox="1"/>
          </xdr:nvSpPr>
          <xdr:spPr>
            <a:xfrm>
              <a:off x="1140963" y="6447151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7E281CD-320D-412E-9122-027DFA1B2B6F}"/>
                </a:ext>
              </a:extLst>
            </xdr:cNvPr>
            <xdr:cNvSpPr txBox="1"/>
          </xdr:nvSpPr>
          <xdr:spPr>
            <a:xfrm>
              <a:off x="1140963" y="6447151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17</xdr:col>
      <xdr:colOff>112058</xdr:colOff>
      <xdr:row>394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3C79D696-174C-4FB6-86AC-276E6732BE74}"/>
                </a:ext>
              </a:extLst>
            </xdr:cNvPr>
            <xdr:cNvSpPr txBox="1"/>
          </xdr:nvSpPr>
          <xdr:spPr>
            <a:xfrm>
              <a:off x="2623194" y="6363518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5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55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3C79D696-174C-4FB6-86AC-276E6732BE74}"/>
                </a:ext>
              </a:extLst>
            </xdr:cNvPr>
            <xdr:cNvSpPr txBox="1"/>
          </xdr:nvSpPr>
          <xdr:spPr>
            <a:xfrm>
              <a:off x="2623194" y="6363518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𝛽_5 )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2∗𝐶_55 )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571500</xdr:colOff>
      <xdr:row>396</xdr:row>
      <xdr:rowOff>145675</xdr:rowOff>
    </xdr:from>
    <xdr:ext cx="288477" cy="172227"/>
    <xdr:sp macro="" textlink="">
      <xdr:nvSpPr>
        <xdr:cNvPr id="186" name="CaixaDeTexto 185">
          <a:extLst>
            <a:ext uri="{FF2B5EF4-FFF2-40B4-BE49-F238E27FC236}">
              <a16:creationId xmlns:a16="http://schemas.microsoft.com/office/drawing/2014/main" id="{0CFC2263-F0A1-42A0-950E-D545072CD06A}"/>
            </a:ext>
          </a:extLst>
        </xdr:cNvPr>
        <xdr:cNvSpPr txBox="1"/>
      </xdr:nvSpPr>
      <xdr:spPr>
        <a:xfrm>
          <a:off x="5925705" y="6400647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C55=</a:t>
          </a:r>
        </a:p>
      </xdr:txBody>
    </xdr:sp>
    <xdr:clientData/>
  </xdr:oneCellAnchor>
  <xdr:oneCellAnchor>
    <xdr:from>
      <xdr:col>15</xdr:col>
      <xdr:colOff>953559</xdr:colOff>
      <xdr:row>403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21E80D7B-53B6-41EE-976C-DF8A3DAA1541}"/>
                </a:ext>
              </a:extLst>
            </xdr:cNvPr>
            <xdr:cNvSpPr txBox="1"/>
          </xdr:nvSpPr>
          <xdr:spPr>
            <a:xfrm>
              <a:off x="1493886" y="650874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8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21E80D7B-53B6-41EE-976C-DF8A3DAA1541}"/>
                </a:ext>
              </a:extLst>
            </xdr:cNvPr>
            <xdr:cNvSpPr txBox="1"/>
          </xdr:nvSpPr>
          <xdr:spPr>
            <a:xfrm>
              <a:off x="1493886" y="650874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212913</xdr:colOff>
      <xdr:row>412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06DA8B5B-3AE5-4C54-B4AB-F10EEBE377CF}"/>
                </a:ext>
              </a:extLst>
            </xdr:cNvPr>
            <xdr:cNvSpPr txBox="1"/>
          </xdr:nvSpPr>
          <xdr:spPr>
            <a:xfrm>
              <a:off x="905640" y="6653051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06DA8B5B-3AE5-4C54-B4AB-F10EEBE377CF}"/>
                </a:ext>
              </a:extLst>
            </xdr:cNvPr>
            <xdr:cNvSpPr txBox="1"/>
          </xdr:nvSpPr>
          <xdr:spPr>
            <a:xfrm>
              <a:off x="905640" y="6653051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𝐻0:𝐵_6=0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224117</xdr:colOff>
      <xdr:row>414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CF920137-6763-4240-9B6A-3AFA69E82515}"/>
                </a:ext>
              </a:extLst>
            </xdr:cNvPr>
            <xdr:cNvSpPr txBox="1"/>
          </xdr:nvSpPr>
          <xdr:spPr>
            <a:xfrm>
              <a:off x="916844" y="6687042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CF920137-6763-4240-9B6A-3AFA69E82515}"/>
                </a:ext>
              </a:extLst>
            </xdr:cNvPr>
            <xdr:cNvSpPr txBox="1"/>
          </xdr:nvSpPr>
          <xdr:spPr>
            <a:xfrm>
              <a:off x="916844" y="6687042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𝐻1:𝐵_6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448236</xdr:colOff>
      <xdr:row>417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71064362-21FA-4DC9-BCC6-3093468D297D}"/>
                </a:ext>
              </a:extLst>
            </xdr:cNvPr>
            <xdr:cNvSpPr txBox="1"/>
          </xdr:nvSpPr>
          <xdr:spPr>
            <a:xfrm>
              <a:off x="1140963" y="67357879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71064362-21FA-4DC9-BCC6-3093468D297D}"/>
                </a:ext>
              </a:extLst>
            </xdr:cNvPr>
            <xdr:cNvSpPr txBox="1"/>
          </xdr:nvSpPr>
          <xdr:spPr>
            <a:xfrm>
              <a:off x="1140963" y="67357879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17</xdr:col>
      <xdr:colOff>112058</xdr:colOff>
      <xdr:row>412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23592D2-3961-4051-9066-783F69EA7262}"/>
                </a:ext>
              </a:extLst>
            </xdr:cNvPr>
            <xdr:cNvSpPr txBox="1"/>
          </xdr:nvSpPr>
          <xdr:spPr>
            <a:xfrm>
              <a:off x="2623194" y="66521548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6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66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23592D2-3961-4051-9066-783F69EA7262}"/>
                </a:ext>
              </a:extLst>
            </xdr:cNvPr>
            <xdr:cNvSpPr txBox="1"/>
          </xdr:nvSpPr>
          <xdr:spPr>
            <a:xfrm>
              <a:off x="2623194" y="66521548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𝛽_6 )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2∗𝐶_66 )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571500</xdr:colOff>
      <xdr:row>414</xdr:row>
      <xdr:rowOff>145675</xdr:rowOff>
    </xdr:from>
    <xdr:ext cx="288477" cy="172227"/>
    <xdr:sp macro="" textlink="">
      <xdr:nvSpPr>
        <xdr:cNvPr id="192" name="CaixaDeTexto 191">
          <a:extLst>
            <a:ext uri="{FF2B5EF4-FFF2-40B4-BE49-F238E27FC236}">
              <a16:creationId xmlns:a16="http://schemas.microsoft.com/office/drawing/2014/main" id="{7176F0A0-525C-4EE6-91F3-11A320F811D5}"/>
            </a:ext>
          </a:extLst>
        </xdr:cNvPr>
        <xdr:cNvSpPr txBox="1"/>
      </xdr:nvSpPr>
      <xdr:spPr>
        <a:xfrm>
          <a:off x="5925705" y="66892834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C66=</a:t>
          </a:r>
        </a:p>
      </xdr:txBody>
    </xdr:sp>
    <xdr:clientData/>
  </xdr:oneCellAnchor>
  <xdr:oneCellAnchor>
    <xdr:from>
      <xdr:col>15</xdr:col>
      <xdr:colOff>953559</xdr:colOff>
      <xdr:row>421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D589053-0138-4D85-A076-216A3914A1AF}"/>
                </a:ext>
              </a:extLst>
            </xdr:cNvPr>
            <xdr:cNvSpPr txBox="1"/>
          </xdr:nvSpPr>
          <xdr:spPr>
            <a:xfrm>
              <a:off x="1493886" y="67973769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D589053-0138-4D85-A076-216A3914A1AF}"/>
                </a:ext>
              </a:extLst>
            </xdr:cNvPr>
            <xdr:cNvSpPr txBox="1"/>
          </xdr:nvSpPr>
          <xdr:spPr>
            <a:xfrm>
              <a:off x="1493886" y="67973769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23</xdr:col>
      <xdr:colOff>616324</xdr:colOff>
      <xdr:row>288</xdr:row>
      <xdr:rowOff>168087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F1830CCC-4D29-49A1-A736-A6D9C7A41115}"/>
                </a:ext>
              </a:extLst>
            </xdr:cNvPr>
            <xdr:cNvSpPr txBox="1"/>
          </xdr:nvSpPr>
          <xdr:spPr>
            <a:xfrm>
              <a:off x="20185869" y="44228428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F1830CCC-4D29-49A1-A736-A6D9C7A41115}"/>
                </a:ext>
              </a:extLst>
            </xdr:cNvPr>
            <xdr:cNvSpPr txBox="1"/>
          </xdr:nvSpPr>
          <xdr:spPr>
            <a:xfrm>
              <a:off x="20185869" y="44228428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8</xdr:col>
      <xdr:colOff>312964</xdr:colOff>
      <xdr:row>1</xdr:row>
      <xdr:rowOff>13608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826B3D85-E311-420E-A738-589538657E52}"/>
                </a:ext>
              </a:extLst>
            </xdr:cNvPr>
            <xdr:cNvSpPr txBox="1"/>
          </xdr:nvSpPr>
          <xdr:spPr>
            <a:xfrm>
              <a:off x="7824107" y="176894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826B3D85-E311-420E-A738-589538657E52}"/>
                </a:ext>
              </a:extLst>
            </xdr:cNvPr>
            <xdr:cNvSpPr txBox="1"/>
          </xdr:nvSpPr>
          <xdr:spPr>
            <a:xfrm>
              <a:off x="7824107" y="176894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15</xdr:col>
      <xdr:colOff>953559</xdr:colOff>
      <xdr:row>313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1BB1702-F194-44F8-A6A9-5B669AD3C9CD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1BB1702-F194-44F8-A6A9-5B669AD3C9CD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290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0AC6521-F908-47A0-83ED-8CC44C468B5B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B0AC6521-F908-47A0-83ED-8CC44C468B5B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276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85627AC-67C7-40F0-86A0-8EECC236E513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85627AC-67C7-40F0-86A0-8EECC236E513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264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3CEAE74-BFD5-45A6-B422-8B0EB809FC82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3CEAE74-BFD5-45A6-B422-8B0EB809FC82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254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83E8364-551F-45CA-8BC1-57B98B296784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83E8364-551F-45CA-8BC1-57B98B296784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244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E2C7258-802D-4283-95E4-90C0B778A0D2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E2C7258-802D-4283-95E4-90C0B778A0D2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234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D49527A-AC48-4543-9743-9768E46FF4C8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D49527A-AC48-4543-9743-9768E46FF4C8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224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7D39AF18-8AB3-46DF-9779-1CD560F5DC7F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7D39AF18-8AB3-46DF-9779-1CD560F5DC7F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214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49B6A9A-8505-402F-9C9D-A0D251390FD0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49B6A9A-8505-402F-9C9D-A0D251390FD0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204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26FEAF6-7798-4E7A-9BAC-17F3913F797B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26FEAF6-7798-4E7A-9BAC-17F3913F797B}"/>
                </a:ext>
              </a:extLst>
            </xdr:cNvPr>
            <xdr:cNvSpPr txBox="1"/>
          </xdr:nvSpPr>
          <xdr:spPr>
            <a:xfrm>
              <a:off x="13626205" y="528378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156882</xdr:colOff>
      <xdr:row>11</xdr:row>
      <xdr:rowOff>61631</xdr:rowOff>
    </xdr:from>
    <xdr:ext cx="6324600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D20AF04C-4F43-4650-A29F-E92517D6F93A}"/>
                </a:ext>
              </a:extLst>
            </xdr:cNvPr>
            <xdr:cNvSpPr txBox="1"/>
          </xdr:nvSpPr>
          <xdr:spPr>
            <a:xfrm>
              <a:off x="9291357" y="1842806"/>
              <a:ext cx="632460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6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l-GR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𝜀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D20AF04C-4F43-4650-A29F-E92517D6F93A}"/>
                </a:ext>
              </a:extLst>
            </xdr:cNvPr>
            <xdr:cNvSpPr txBox="1"/>
          </xdr:nvSpPr>
          <xdr:spPr>
            <a:xfrm>
              <a:off x="9291357" y="1842806"/>
              <a:ext cx="632460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𝑌=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600" b="0" i="0">
                  <a:latin typeface="Cambria Math" panose="02040503050406030204" pitchFamily="18" charset="0"/>
                </a:rPr>
                <a:t>0+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𝛽_1 𝑋_1+𝛽_2 𝑋_2+𝛽_3 𝑋_3+𝛽_4 𝑋_4+𝛽_5 𝑋_5+𝛽_6 𝑋_6+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endParaRPr lang="pt-PT" sz="1600"/>
            </a:p>
          </xdr:txBody>
        </xdr:sp>
      </mc:Fallback>
    </mc:AlternateContent>
    <xdr:clientData/>
  </xdr:oneCellAnchor>
  <xdr:twoCellAnchor>
    <xdr:from>
      <xdr:col>11</xdr:col>
      <xdr:colOff>409576</xdr:colOff>
      <xdr:row>14</xdr:row>
      <xdr:rowOff>95249</xdr:rowOff>
    </xdr:from>
    <xdr:to>
      <xdr:col>12</xdr:col>
      <xdr:colOff>85726</xdr:colOff>
      <xdr:row>135</xdr:row>
      <xdr:rowOff>142875</xdr:rowOff>
    </xdr:to>
    <xdr:sp macro="" textlink="">
      <xdr:nvSpPr>
        <xdr:cNvPr id="3" name="Parêntese esquerdo 2">
          <a:extLst>
            <a:ext uri="{FF2B5EF4-FFF2-40B4-BE49-F238E27FC236}">
              <a16:creationId xmlns:a16="http://schemas.microsoft.com/office/drawing/2014/main" id="{8E0AE280-FDD9-4DF0-A49C-B38C51313CD1}"/>
            </a:ext>
          </a:extLst>
        </xdr:cNvPr>
        <xdr:cNvSpPr/>
      </xdr:nvSpPr>
      <xdr:spPr>
        <a:xfrm>
          <a:off x="10163176" y="2362199"/>
          <a:ext cx="295275" cy="196405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18</xdr:col>
      <xdr:colOff>444500</xdr:colOff>
      <xdr:row>14</xdr:row>
      <xdr:rowOff>0</xdr:rowOff>
    </xdr:from>
    <xdr:to>
      <xdr:col>19</xdr:col>
      <xdr:colOff>127000</xdr:colOff>
      <xdr:row>135</xdr:row>
      <xdr:rowOff>47626</xdr:rowOff>
    </xdr:to>
    <xdr:sp macro="" textlink="">
      <xdr:nvSpPr>
        <xdr:cNvPr id="4" name="Parêntese esquerdo 3">
          <a:extLst>
            <a:ext uri="{FF2B5EF4-FFF2-40B4-BE49-F238E27FC236}">
              <a16:creationId xmlns:a16="http://schemas.microsoft.com/office/drawing/2014/main" id="{2276A38F-18B3-4E56-B715-693B8609C7B1}"/>
            </a:ext>
          </a:extLst>
        </xdr:cNvPr>
        <xdr:cNvSpPr/>
      </xdr:nvSpPr>
      <xdr:spPr>
        <a:xfrm flipH="1" flipV="1">
          <a:off x="15846425" y="2266950"/>
          <a:ext cx="520700" cy="196405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9</xdr:col>
      <xdr:colOff>180975</xdr:colOff>
      <xdr:row>71</xdr:row>
      <xdr:rowOff>142876</xdr:rowOff>
    </xdr:from>
    <xdr:ext cx="1756808" cy="438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9EC9CD1-92D8-4AA6-8B0C-3F495C4FD97E}"/>
                </a:ext>
              </a:extLst>
            </xdr:cNvPr>
            <xdr:cNvSpPr txBox="1"/>
          </xdr:nvSpPr>
          <xdr:spPr>
            <a:xfrm>
              <a:off x="8448675" y="11639551"/>
              <a:ext cx="1756808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28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9EC9CD1-92D8-4AA6-8B0C-3F495C4FD97E}"/>
                </a:ext>
              </a:extLst>
            </xdr:cNvPr>
            <xdr:cNvSpPr txBox="1"/>
          </xdr:nvSpPr>
          <xdr:spPr>
            <a:xfrm>
              <a:off x="8448675" y="11639551"/>
              <a:ext cx="1756808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𝑋=</a:t>
              </a:r>
              <a:endParaRPr lang="pt-PT" sz="2800"/>
            </a:p>
          </xdr:txBody>
        </xdr:sp>
      </mc:Fallback>
    </mc:AlternateContent>
    <xdr:clientData/>
  </xdr:oneCellAnchor>
  <xdr:oneCellAnchor>
    <xdr:from>
      <xdr:col>19</xdr:col>
      <xdr:colOff>57151</xdr:colOff>
      <xdr:row>71</xdr:row>
      <xdr:rowOff>169068</xdr:rowOff>
    </xdr:from>
    <xdr:ext cx="1756808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750E1AAF-2502-4D29-86A4-CFAC5A9B3FA7}"/>
                </a:ext>
              </a:extLst>
            </xdr:cNvPr>
            <xdr:cNvSpPr txBox="1"/>
          </xdr:nvSpPr>
          <xdr:spPr>
            <a:xfrm>
              <a:off x="16297276" y="11656218"/>
              <a:ext cx="1756808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750E1AAF-2502-4D29-86A4-CFAC5A9B3FA7}"/>
                </a:ext>
              </a:extLst>
            </xdr:cNvPr>
            <xdr:cNvSpPr txBox="1"/>
          </xdr:nvSpPr>
          <xdr:spPr>
            <a:xfrm>
              <a:off x="16297276" y="11656218"/>
              <a:ext cx="1756808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22</xdr:col>
      <xdr:colOff>51094</xdr:colOff>
      <xdr:row>69</xdr:row>
      <xdr:rowOff>140074</xdr:rowOff>
    </xdr:from>
    <xdr:to>
      <xdr:col>22</xdr:col>
      <xdr:colOff>378200</xdr:colOff>
      <xdr:row>79</xdr:row>
      <xdr:rowOff>134470</xdr:rowOff>
    </xdr:to>
    <xdr:sp macro="" textlink="">
      <xdr:nvSpPr>
        <xdr:cNvPr id="7" name="Parêntese esquerdo 6">
          <a:extLst>
            <a:ext uri="{FF2B5EF4-FFF2-40B4-BE49-F238E27FC236}">
              <a16:creationId xmlns:a16="http://schemas.microsoft.com/office/drawing/2014/main" id="{0EFA9612-05E8-4BBB-9B33-60616C5653F2}"/>
            </a:ext>
          </a:extLst>
        </xdr:cNvPr>
        <xdr:cNvSpPr/>
      </xdr:nvSpPr>
      <xdr:spPr>
        <a:xfrm>
          <a:off x="18815344" y="11312899"/>
          <a:ext cx="327106" cy="161364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141</xdr:col>
      <xdr:colOff>462243</xdr:colOff>
      <xdr:row>69</xdr:row>
      <xdr:rowOff>154082</xdr:rowOff>
    </xdr:from>
    <xdr:to>
      <xdr:col>142</xdr:col>
      <xdr:colOff>173025</xdr:colOff>
      <xdr:row>78</xdr:row>
      <xdr:rowOff>73773</xdr:rowOff>
    </xdr:to>
    <xdr:sp macro="" textlink="">
      <xdr:nvSpPr>
        <xdr:cNvPr id="8" name="Parêntese esquerdo 7">
          <a:extLst>
            <a:ext uri="{FF2B5EF4-FFF2-40B4-BE49-F238E27FC236}">
              <a16:creationId xmlns:a16="http://schemas.microsoft.com/office/drawing/2014/main" id="{6DE7628C-9408-4EA7-9EC0-B2682C9E582A}"/>
            </a:ext>
          </a:extLst>
        </xdr:cNvPr>
        <xdr:cNvSpPr/>
      </xdr:nvSpPr>
      <xdr:spPr>
        <a:xfrm flipH="1">
          <a:off x="93197643" y="11326907"/>
          <a:ext cx="320382" cy="137701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</xdr:col>
      <xdr:colOff>179295</xdr:colOff>
      <xdr:row>137</xdr:row>
      <xdr:rowOff>78441</xdr:rowOff>
    </xdr:from>
    <xdr:to>
      <xdr:col>2</xdr:col>
      <xdr:colOff>506401</xdr:colOff>
      <xdr:row>147</xdr:row>
      <xdr:rowOff>72837</xdr:rowOff>
    </xdr:to>
    <xdr:sp macro="" textlink="">
      <xdr:nvSpPr>
        <xdr:cNvPr id="9" name="Parêntese esquerdo 8">
          <a:extLst>
            <a:ext uri="{FF2B5EF4-FFF2-40B4-BE49-F238E27FC236}">
              <a16:creationId xmlns:a16="http://schemas.microsoft.com/office/drawing/2014/main" id="{A19CE3A5-622A-4BEF-B197-49500F3493F8}"/>
            </a:ext>
          </a:extLst>
        </xdr:cNvPr>
        <xdr:cNvSpPr/>
      </xdr:nvSpPr>
      <xdr:spPr>
        <a:xfrm>
          <a:off x="1665195" y="22262166"/>
          <a:ext cx="327106" cy="161364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8</xdr:col>
      <xdr:colOff>593910</xdr:colOff>
      <xdr:row>137</xdr:row>
      <xdr:rowOff>44823</xdr:rowOff>
    </xdr:from>
    <xdr:to>
      <xdr:col>9</xdr:col>
      <xdr:colOff>181428</xdr:colOff>
      <xdr:row>147</xdr:row>
      <xdr:rowOff>39219</xdr:rowOff>
    </xdr:to>
    <xdr:sp macro="" textlink="">
      <xdr:nvSpPr>
        <xdr:cNvPr id="10" name="Parêntese esquerdo 9">
          <a:extLst>
            <a:ext uri="{FF2B5EF4-FFF2-40B4-BE49-F238E27FC236}">
              <a16:creationId xmlns:a16="http://schemas.microsoft.com/office/drawing/2014/main" id="{94906238-C6D9-4FB9-AE64-29B0690F695D}"/>
            </a:ext>
          </a:extLst>
        </xdr:cNvPr>
        <xdr:cNvSpPr/>
      </xdr:nvSpPr>
      <xdr:spPr>
        <a:xfrm flipH="1">
          <a:off x="8118660" y="22228548"/>
          <a:ext cx="330468" cy="161364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0</xdr:col>
      <xdr:colOff>55812</xdr:colOff>
      <xdr:row>141</xdr:row>
      <xdr:rowOff>14016</xdr:rowOff>
    </xdr:from>
    <xdr:ext cx="1408655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FECEBDD-5473-4C68-9AA0-8715D9DF7AC4}"/>
                </a:ext>
              </a:extLst>
            </xdr:cNvPr>
            <xdr:cNvSpPr txBox="1"/>
          </xdr:nvSpPr>
          <xdr:spPr>
            <a:xfrm>
              <a:off x="55812" y="22845441"/>
              <a:ext cx="140865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FECEBDD-5473-4C68-9AA0-8715D9DF7AC4}"/>
                </a:ext>
              </a:extLst>
            </xdr:cNvPr>
            <xdr:cNvSpPr txBox="1"/>
          </xdr:nvSpPr>
          <xdr:spPr>
            <a:xfrm>
              <a:off x="55812" y="22845441"/>
              <a:ext cx="140865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𝑋^𝑡∗𝑋=</a:t>
              </a:r>
              <a:endParaRPr lang="pt-PT" sz="2800"/>
            </a:p>
          </xdr:txBody>
        </xdr:sp>
      </mc:Fallback>
    </mc:AlternateContent>
    <xdr:clientData/>
  </xdr:oneCellAnchor>
  <xdr:oneCellAnchor>
    <xdr:from>
      <xdr:col>9</xdr:col>
      <xdr:colOff>717177</xdr:colOff>
      <xdr:row>141</xdr:row>
      <xdr:rowOff>11206</xdr:rowOff>
    </xdr:from>
    <xdr:ext cx="1964127" cy="445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40CA69B1-C728-4A45-BA25-3C77CC5F348B}"/>
                </a:ext>
              </a:extLst>
            </xdr:cNvPr>
            <xdr:cNvSpPr txBox="1"/>
          </xdr:nvSpPr>
          <xdr:spPr>
            <a:xfrm>
              <a:off x="8984877" y="22842631"/>
              <a:ext cx="1964127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(</m:t>
                        </m:r>
                        <m:sSup>
                          <m:sSupPr>
                            <m:ctrlP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p>
                        </m:s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40CA69B1-C728-4A45-BA25-3C77CC5F348B}"/>
                </a:ext>
              </a:extLst>
            </xdr:cNvPr>
            <xdr:cNvSpPr txBox="1"/>
          </xdr:nvSpPr>
          <xdr:spPr>
            <a:xfrm>
              <a:off x="8984877" y="22842631"/>
              <a:ext cx="1964127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〖(</a:t>
              </a:r>
              <a:r>
                <a:rPr lang="pt-PT" sz="2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𝑋^𝑡∗𝑋</a:t>
              </a:r>
              <a:r>
                <a:rPr lang="pt-PT" sz="2800" b="0" i="0">
                  <a:latin typeface="Cambria Math" panose="02040503050406030204" pitchFamily="18" charset="0"/>
                </a:rPr>
                <a:t>)〗^(−1)=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19</xdr:col>
      <xdr:colOff>705970</xdr:colOff>
      <xdr:row>137</xdr:row>
      <xdr:rowOff>123265</xdr:rowOff>
    </xdr:from>
    <xdr:to>
      <xdr:col>20</xdr:col>
      <xdr:colOff>159017</xdr:colOff>
      <xdr:row>147</xdr:row>
      <xdr:rowOff>117661</xdr:rowOff>
    </xdr:to>
    <xdr:sp macro="" textlink="">
      <xdr:nvSpPr>
        <xdr:cNvPr id="13" name="Parêntese esquerdo 12">
          <a:extLst>
            <a:ext uri="{FF2B5EF4-FFF2-40B4-BE49-F238E27FC236}">
              <a16:creationId xmlns:a16="http://schemas.microsoft.com/office/drawing/2014/main" id="{9B18482C-3DA3-4909-A58E-A5F5B53B49A0}"/>
            </a:ext>
          </a:extLst>
        </xdr:cNvPr>
        <xdr:cNvSpPr/>
      </xdr:nvSpPr>
      <xdr:spPr>
        <a:xfrm flipH="1">
          <a:off x="16946095" y="22306990"/>
          <a:ext cx="338872" cy="161364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12</xdr:col>
      <xdr:colOff>593912</xdr:colOff>
      <xdr:row>138</xdr:row>
      <xdr:rowOff>11205</xdr:rowOff>
    </xdr:from>
    <xdr:to>
      <xdr:col>13</xdr:col>
      <xdr:colOff>315900</xdr:colOff>
      <xdr:row>148</xdr:row>
      <xdr:rowOff>5602</xdr:rowOff>
    </xdr:to>
    <xdr:sp macro="" textlink="">
      <xdr:nvSpPr>
        <xdr:cNvPr id="14" name="Parêntese esquerdo 13">
          <a:extLst>
            <a:ext uri="{FF2B5EF4-FFF2-40B4-BE49-F238E27FC236}">
              <a16:creationId xmlns:a16="http://schemas.microsoft.com/office/drawing/2014/main" id="{C36D63F9-05B1-4E0F-8A99-F57CCA388259}"/>
            </a:ext>
          </a:extLst>
        </xdr:cNvPr>
        <xdr:cNvSpPr/>
      </xdr:nvSpPr>
      <xdr:spPr>
        <a:xfrm>
          <a:off x="10966637" y="22356855"/>
          <a:ext cx="331588" cy="1613647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144</xdr:col>
      <xdr:colOff>0</xdr:colOff>
      <xdr:row>74</xdr:row>
      <xdr:rowOff>0</xdr:rowOff>
    </xdr:from>
    <xdr:ext cx="515471" cy="438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C5E9A826-5CE7-477C-B889-E955BC42A8C4}"/>
                </a:ext>
              </a:extLst>
            </xdr:cNvPr>
            <xdr:cNvSpPr txBox="1"/>
          </xdr:nvSpPr>
          <xdr:spPr>
            <a:xfrm>
              <a:off x="94564200" y="11982450"/>
              <a:ext cx="515471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2800" b="0"/>
                <a:t>Y</a:t>
              </a:r>
              <a14:m>
                <m:oMath xmlns:m="http://schemas.openxmlformats.org/officeDocument/2006/math">
                  <m:r>
                    <a:rPr lang="pt-PT" sz="2800" b="0" i="1">
                      <a:latin typeface="Cambria Math" panose="02040503050406030204" pitchFamily="18" charset="0"/>
                    </a:rPr>
                    <m:t>=</m:t>
                  </m:r>
                </m:oMath>
              </a14:m>
              <a:endParaRPr lang="pt-PT" sz="28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C5E9A826-5CE7-477C-B889-E955BC42A8C4}"/>
                </a:ext>
              </a:extLst>
            </xdr:cNvPr>
            <xdr:cNvSpPr txBox="1"/>
          </xdr:nvSpPr>
          <xdr:spPr>
            <a:xfrm>
              <a:off x="94564200" y="11982450"/>
              <a:ext cx="515471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2800" b="0"/>
                <a:t>Y</a:t>
              </a:r>
              <a:r>
                <a:rPr lang="pt-PT" sz="2800" b="0" i="0">
                  <a:latin typeface="Cambria Math" panose="02040503050406030204" pitchFamily="18" charset="0"/>
                </a:rPr>
                <a:t>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144</xdr:col>
      <xdr:colOff>470646</xdr:colOff>
      <xdr:row>14</xdr:row>
      <xdr:rowOff>33619</xdr:rowOff>
    </xdr:from>
    <xdr:to>
      <xdr:col>145</xdr:col>
      <xdr:colOff>158002</xdr:colOff>
      <xdr:row>135</xdr:row>
      <xdr:rowOff>81245</xdr:rowOff>
    </xdr:to>
    <xdr:sp macro="" textlink="">
      <xdr:nvSpPr>
        <xdr:cNvPr id="16" name="Parêntese esquerdo 15">
          <a:extLst>
            <a:ext uri="{FF2B5EF4-FFF2-40B4-BE49-F238E27FC236}">
              <a16:creationId xmlns:a16="http://schemas.microsoft.com/office/drawing/2014/main" id="{781A9DCA-BE57-45AE-B459-788B93B4C60E}"/>
            </a:ext>
          </a:extLst>
        </xdr:cNvPr>
        <xdr:cNvSpPr/>
      </xdr:nvSpPr>
      <xdr:spPr>
        <a:xfrm>
          <a:off x="95034846" y="2300569"/>
          <a:ext cx="296956" cy="196405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145</xdr:col>
      <xdr:colOff>593912</xdr:colOff>
      <xdr:row>14</xdr:row>
      <xdr:rowOff>22412</xdr:rowOff>
    </xdr:from>
    <xdr:to>
      <xdr:col>146</xdr:col>
      <xdr:colOff>500529</xdr:colOff>
      <xdr:row>135</xdr:row>
      <xdr:rowOff>70038</xdr:rowOff>
    </xdr:to>
    <xdr:sp macro="" textlink="">
      <xdr:nvSpPr>
        <xdr:cNvPr id="17" name="Parêntese esquerdo 16">
          <a:extLst>
            <a:ext uri="{FF2B5EF4-FFF2-40B4-BE49-F238E27FC236}">
              <a16:creationId xmlns:a16="http://schemas.microsoft.com/office/drawing/2014/main" id="{84592008-9E8C-4081-99AE-A46BE8B4EC2E}"/>
            </a:ext>
          </a:extLst>
        </xdr:cNvPr>
        <xdr:cNvSpPr/>
      </xdr:nvSpPr>
      <xdr:spPr>
        <a:xfrm flipH="1" flipV="1">
          <a:off x="95767712" y="2289362"/>
          <a:ext cx="516217" cy="196405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22</xdr:col>
      <xdr:colOff>123265</xdr:colOff>
      <xdr:row>141</xdr:row>
      <xdr:rowOff>11206</xdr:rowOff>
    </xdr:from>
    <xdr:ext cx="1393395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2C4178D-5D2C-4280-977B-25C1315E506F}"/>
                </a:ext>
              </a:extLst>
            </xdr:cNvPr>
            <xdr:cNvSpPr txBox="1"/>
          </xdr:nvSpPr>
          <xdr:spPr>
            <a:xfrm>
              <a:off x="18887515" y="22842631"/>
              <a:ext cx="139339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2C4178D-5D2C-4280-977B-25C1315E506F}"/>
                </a:ext>
              </a:extLst>
            </xdr:cNvPr>
            <xdr:cNvSpPr txBox="1"/>
          </xdr:nvSpPr>
          <xdr:spPr>
            <a:xfrm>
              <a:off x="18887515" y="22842631"/>
              <a:ext cx="139339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𝑋^𝑡∗𝑌=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24</xdr:col>
      <xdr:colOff>907677</xdr:colOff>
      <xdr:row>137</xdr:row>
      <xdr:rowOff>123265</xdr:rowOff>
    </xdr:from>
    <xdr:to>
      <xdr:col>25</xdr:col>
      <xdr:colOff>248665</xdr:colOff>
      <xdr:row>147</xdr:row>
      <xdr:rowOff>117661</xdr:rowOff>
    </xdr:to>
    <xdr:sp macro="" textlink="">
      <xdr:nvSpPr>
        <xdr:cNvPr id="19" name="Parêntese esquerdo 18">
          <a:extLst>
            <a:ext uri="{FF2B5EF4-FFF2-40B4-BE49-F238E27FC236}">
              <a16:creationId xmlns:a16="http://schemas.microsoft.com/office/drawing/2014/main" id="{6F413599-B799-4F19-AE60-7B77B22C5F8B}"/>
            </a:ext>
          </a:extLst>
        </xdr:cNvPr>
        <xdr:cNvSpPr/>
      </xdr:nvSpPr>
      <xdr:spPr>
        <a:xfrm flipH="1">
          <a:off x="21310227" y="22306990"/>
          <a:ext cx="331588" cy="161364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24</xdr:col>
      <xdr:colOff>67236</xdr:colOff>
      <xdr:row>137</xdr:row>
      <xdr:rowOff>134470</xdr:rowOff>
    </xdr:from>
    <xdr:to>
      <xdr:col>24</xdr:col>
      <xdr:colOff>394342</xdr:colOff>
      <xdr:row>147</xdr:row>
      <xdr:rowOff>128866</xdr:rowOff>
    </xdr:to>
    <xdr:sp macro="" textlink="">
      <xdr:nvSpPr>
        <xdr:cNvPr id="20" name="Parêntese esquerdo 19">
          <a:extLst>
            <a:ext uri="{FF2B5EF4-FFF2-40B4-BE49-F238E27FC236}">
              <a16:creationId xmlns:a16="http://schemas.microsoft.com/office/drawing/2014/main" id="{C5439401-2014-4904-83DC-94A795D38F37}"/>
            </a:ext>
          </a:extLst>
        </xdr:cNvPr>
        <xdr:cNvSpPr/>
      </xdr:nvSpPr>
      <xdr:spPr>
        <a:xfrm>
          <a:off x="20469786" y="22318195"/>
          <a:ext cx="327106" cy="161364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</xdr:col>
      <xdr:colOff>459442</xdr:colOff>
      <xdr:row>154</xdr:row>
      <xdr:rowOff>0</xdr:rowOff>
    </xdr:from>
    <xdr:ext cx="1320800" cy="3556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7E0DD6B-795F-45A9-96CA-2898E05E6A43}"/>
                </a:ext>
              </a:extLst>
            </xdr:cNvPr>
            <xdr:cNvSpPr txBox="1"/>
          </xdr:nvSpPr>
          <xdr:spPr>
            <a:xfrm>
              <a:off x="1145242" y="25107900"/>
              <a:ext cx="13208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𝑛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7E0DD6B-795F-45A9-96CA-2898E05E6A43}"/>
                </a:ext>
              </a:extLst>
            </xdr:cNvPr>
            <xdr:cNvSpPr txBox="1"/>
          </xdr:nvSpPr>
          <xdr:spPr>
            <a:xfrm>
              <a:off x="1145242" y="25107900"/>
              <a:ext cx="13208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〖𝑆𝑄〗_𝑇=𝑌^𝑇 𝑌−𝑛𝑦 ̅^2=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280146</xdr:colOff>
      <xdr:row>155</xdr:row>
      <xdr:rowOff>123265</xdr:rowOff>
    </xdr:from>
    <xdr:ext cx="1549400" cy="3810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ABD36AF9-019C-4BCA-9D10-9CD1FD6A5902}"/>
                </a:ext>
              </a:extLst>
            </xdr:cNvPr>
            <xdr:cNvSpPr txBox="1"/>
          </xdr:nvSpPr>
          <xdr:spPr>
            <a:xfrm>
              <a:off x="965946" y="25393090"/>
              <a:ext cx="1549400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𝑛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ABD36AF9-019C-4BCA-9D10-9CD1FD6A5902}"/>
                </a:ext>
              </a:extLst>
            </xdr:cNvPr>
            <xdr:cNvSpPr txBox="1"/>
          </xdr:nvSpPr>
          <xdr:spPr>
            <a:xfrm>
              <a:off x="965946" y="25393090"/>
              <a:ext cx="1549400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〖𝑆𝑄〗_𝑅=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𝑌−𝑛𝑦 ̅^2=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268942</xdr:colOff>
      <xdr:row>157</xdr:row>
      <xdr:rowOff>123264</xdr:rowOff>
    </xdr:from>
    <xdr:ext cx="1549400" cy="2635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EF12BAA1-6B67-41BB-8081-CAFB9DBA855A}"/>
                </a:ext>
              </a:extLst>
            </xdr:cNvPr>
            <xdr:cNvSpPr txBox="1"/>
          </xdr:nvSpPr>
          <xdr:spPr>
            <a:xfrm>
              <a:off x="954742" y="25783614"/>
              <a:ext cx="1549400" cy="2635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𝐸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EF12BAA1-6B67-41BB-8081-CAFB9DBA855A}"/>
                </a:ext>
              </a:extLst>
            </xdr:cNvPr>
            <xdr:cNvSpPr txBox="1"/>
          </xdr:nvSpPr>
          <xdr:spPr>
            <a:xfrm>
              <a:off x="954742" y="25783614"/>
              <a:ext cx="1549400" cy="2635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〖𝑆𝑄〗_𝐸=𝑌^𝑇 𝑌−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190500</xdr:colOff>
      <xdr:row>166</xdr:row>
      <xdr:rowOff>123263</xdr:rowOff>
    </xdr:from>
    <xdr:ext cx="818030" cy="5042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64B99A1-4B41-4F4D-B8DA-02DDF0F5D18C}"/>
                </a:ext>
              </a:extLst>
            </xdr:cNvPr>
            <xdr:cNvSpPr txBox="1"/>
          </xdr:nvSpPr>
          <xdr:spPr>
            <a:xfrm>
              <a:off x="1676400" y="27240938"/>
              <a:ext cx="818030" cy="5042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𝑀</m:t>
                        </m:r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𝑀𝑄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64B99A1-4B41-4F4D-B8DA-02DDF0F5D18C}"/>
                </a:ext>
              </a:extLst>
            </xdr:cNvPr>
            <xdr:cNvSpPr txBox="1"/>
          </xdr:nvSpPr>
          <xdr:spPr>
            <a:xfrm>
              <a:off x="1676400" y="27240938"/>
              <a:ext cx="818030" cy="5042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𝐹_0=(𝑀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𝑄_𝑅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〖𝑀𝑄〗_𝐸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22412</xdr:colOff>
      <xdr:row>160</xdr:row>
      <xdr:rowOff>67236</xdr:rowOff>
    </xdr:from>
    <xdr:ext cx="1053353" cy="3922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1D8E061-28A0-442E-BAF7-550EF0B0A50A}"/>
                </a:ext>
              </a:extLst>
            </xdr:cNvPr>
            <xdr:cNvSpPr txBox="1"/>
          </xdr:nvSpPr>
          <xdr:spPr>
            <a:xfrm>
              <a:off x="1508312" y="26213361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𝑀</m:t>
                    </m:r>
                    <m:sSub>
                      <m:sSubPr>
                        <m:ctrlP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𝑄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𝑅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𝑔𝑙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1D8E061-28A0-442E-BAF7-550EF0B0A50A}"/>
                </a:ext>
              </a:extLst>
            </xdr:cNvPr>
            <xdr:cNvSpPr txBox="1"/>
          </xdr:nvSpPr>
          <xdr:spPr>
            <a:xfrm>
              <a:off x="1508312" y="26213361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𝑀𝑄_𝑅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〖𝑆𝑄〗_𝑅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〖𝑔𝑙〗_𝑅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761999</xdr:colOff>
      <xdr:row>163</xdr:row>
      <xdr:rowOff>67236</xdr:rowOff>
    </xdr:from>
    <xdr:ext cx="1053353" cy="3922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A5E91E6-CE4A-4D77-A086-82A8E9815AC5}"/>
                </a:ext>
              </a:extLst>
            </xdr:cNvPr>
            <xdr:cNvSpPr txBox="1"/>
          </xdr:nvSpPr>
          <xdr:spPr>
            <a:xfrm>
              <a:off x="1447799" y="2669913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𝑀</m:t>
                    </m:r>
                    <m:sSub>
                      <m:sSubPr>
                        <m:ctrlP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𝑄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𝐸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𝑔𝑙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A5E91E6-CE4A-4D77-A086-82A8E9815AC5}"/>
                </a:ext>
              </a:extLst>
            </xdr:cNvPr>
            <xdr:cNvSpPr txBox="1"/>
          </xdr:nvSpPr>
          <xdr:spPr>
            <a:xfrm>
              <a:off x="1447799" y="2669913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𝑀𝑄_𝐸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〖𝑆𝑄〗_𝐸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〖𝑔𝑙〗_𝐸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26</xdr:col>
      <xdr:colOff>156882</xdr:colOff>
      <xdr:row>140</xdr:row>
      <xdr:rowOff>56029</xdr:rowOff>
    </xdr:from>
    <xdr:ext cx="3957494" cy="445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C66CFAA-F559-4221-868B-4E3476C19C0B}"/>
                </a:ext>
              </a:extLst>
            </xdr:cNvPr>
            <xdr:cNvSpPr txBox="1"/>
          </xdr:nvSpPr>
          <xdr:spPr>
            <a:xfrm>
              <a:off x="22369182" y="22725529"/>
              <a:ext cx="3957494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2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𝛽</m:t>
                    </m:r>
                    <m:r>
                      <a:rPr lang="pt-PT" sz="2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p>
                        </m:s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𝑌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C66CFAA-F559-4221-868B-4E3476C19C0B}"/>
                </a:ext>
              </a:extLst>
            </xdr:cNvPr>
            <xdr:cNvSpPr txBox="1"/>
          </xdr:nvSpPr>
          <xdr:spPr>
            <a:xfrm>
              <a:off x="22369182" y="22725529"/>
              <a:ext cx="3957494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𝛽=</a:t>
              </a:r>
              <a:r>
                <a:rPr lang="pt-PT" sz="2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〖(𝑋^𝑡∗𝑋)〗^(−1)∗𝑋^𝑡∗𝑌</a:t>
              </a:r>
              <a:r>
                <a:rPr lang="pt-PT" sz="2800" b="0" i="0">
                  <a:latin typeface="Cambria Math" panose="02040503050406030204" pitchFamily="18" charset="0"/>
                </a:rPr>
                <a:t>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32</xdr:col>
      <xdr:colOff>369795</xdr:colOff>
      <xdr:row>137</xdr:row>
      <xdr:rowOff>145677</xdr:rowOff>
    </xdr:from>
    <xdr:to>
      <xdr:col>33</xdr:col>
      <xdr:colOff>91783</xdr:colOff>
      <xdr:row>147</xdr:row>
      <xdr:rowOff>140073</xdr:rowOff>
    </xdr:to>
    <xdr:sp macro="" textlink="">
      <xdr:nvSpPr>
        <xdr:cNvPr id="28" name="Parêntese esquerdo 27">
          <a:extLst>
            <a:ext uri="{FF2B5EF4-FFF2-40B4-BE49-F238E27FC236}">
              <a16:creationId xmlns:a16="http://schemas.microsoft.com/office/drawing/2014/main" id="{8BCC2BD9-9645-4B49-B57E-E04785F90A22}"/>
            </a:ext>
          </a:extLst>
        </xdr:cNvPr>
        <xdr:cNvSpPr/>
      </xdr:nvSpPr>
      <xdr:spPr>
        <a:xfrm flipH="1">
          <a:off x="26658795" y="22329402"/>
          <a:ext cx="331588" cy="161364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31</xdr:col>
      <xdr:colOff>582706</xdr:colOff>
      <xdr:row>137</xdr:row>
      <xdr:rowOff>145676</xdr:rowOff>
    </xdr:from>
    <xdr:to>
      <xdr:col>32</xdr:col>
      <xdr:colOff>304695</xdr:colOff>
      <xdr:row>147</xdr:row>
      <xdr:rowOff>140072</xdr:rowOff>
    </xdr:to>
    <xdr:sp macro="" textlink="">
      <xdr:nvSpPr>
        <xdr:cNvPr id="29" name="Parêntese esquerdo 28">
          <a:extLst>
            <a:ext uri="{FF2B5EF4-FFF2-40B4-BE49-F238E27FC236}">
              <a16:creationId xmlns:a16="http://schemas.microsoft.com/office/drawing/2014/main" id="{4D7B5619-E25D-4212-B083-2C1C25A50505}"/>
            </a:ext>
          </a:extLst>
        </xdr:cNvPr>
        <xdr:cNvSpPr/>
      </xdr:nvSpPr>
      <xdr:spPr>
        <a:xfrm>
          <a:off x="26262106" y="22329401"/>
          <a:ext cx="331589" cy="161364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15</xdr:col>
      <xdr:colOff>100854</xdr:colOff>
      <xdr:row>162</xdr:row>
      <xdr:rowOff>145676</xdr:rowOff>
    </xdr:from>
    <xdr:ext cx="806824" cy="2129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D819F18F-436F-421B-9B24-4DC77CBC3FB5}"/>
                </a:ext>
              </a:extLst>
            </xdr:cNvPr>
            <xdr:cNvSpPr txBox="1"/>
          </xdr:nvSpPr>
          <xdr:spPr>
            <a:xfrm>
              <a:off x="12854829" y="26615651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D819F18F-436F-421B-9B24-4DC77CBC3FB5}"/>
                </a:ext>
              </a:extLst>
            </xdr:cNvPr>
            <xdr:cNvSpPr txBox="1"/>
          </xdr:nvSpPr>
          <xdr:spPr>
            <a:xfrm>
              <a:off x="12854829" y="26615651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15</xdr:col>
      <xdr:colOff>156882</xdr:colOff>
      <xdr:row>161</xdr:row>
      <xdr:rowOff>0</xdr:rowOff>
    </xdr:from>
    <xdr:ext cx="806824" cy="2129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8E84356B-B0F3-4C96-99C9-AAA606345600}"/>
                </a:ext>
              </a:extLst>
            </xdr:cNvPr>
            <xdr:cNvSpPr txBox="1"/>
          </xdr:nvSpPr>
          <xdr:spPr>
            <a:xfrm>
              <a:off x="12910857" y="26308050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8E84356B-B0F3-4C96-99C9-AAA606345600}"/>
                </a:ext>
              </a:extLst>
            </xdr:cNvPr>
            <xdr:cNvSpPr txBox="1"/>
          </xdr:nvSpPr>
          <xdr:spPr>
            <a:xfrm>
              <a:off x="12910857" y="26308050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𝑇=</a:t>
              </a:r>
              <a:endParaRPr lang="pt-PT" sz="1200"/>
            </a:p>
          </xdr:txBody>
        </xdr:sp>
      </mc:Fallback>
    </mc:AlternateContent>
    <xdr:clientData/>
  </xdr:oneCellAnchor>
  <xdr:twoCellAnchor editAs="oneCell">
    <xdr:from>
      <xdr:col>0</xdr:col>
      <xdr:colOff>100852</xdr:colOff>
      <xdr:row>183</xdr:row>
      <xdr:rowOff>33617</xdr:rowOff>
    </xdr:from>
    <xdr:to>
      <xdr:col>4</xdr:col>
      <xdr:colOff>120934</xdr:colOff>
      <xdr:row>186</xdr:row>
      <xdr:rowOff>96444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A7E1330C-A9E4-488D-8868-AD2BEA62A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52" y="29942117"/>
          <a:ext cx="3382407" cy="548602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123265</xdr:colOff>
      <xdr:row>179</xdr:row>
      <xdr:rowOff>123264</xdr:rowOff>
    </xdr:from>
    <xdr:to>
      <xdr:col>2</xdr:col>
      <xdr:colOff>320723</xdr:colOff>
      <xdr:row>182</xdr:row>
      <xdr:rowOff>147986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2CBB7CAC-CBA5-4539-9FAB-1232BB12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5" y="29384064"/>
          <a:ext cx="1683358" cy="510497"/>
        </a:xfrm>
        <a:prstGeom prst="rect">
          <a:avLst/>
        </a:prstGeom>
      </xdr:spPr>
    </xdr:pic>
    <xdr:clientData/>
  </xdr:twoCellAnchor>
  <xdr:oneCellAnchor>
    <xdr:from>
      <xdr:col>4</xdr:col>
      <xdr:colOff>280147</xdr:colOff>
      <xdr:row>192</xdr:row>
      <xdr:rowOff>89647</xdr:rowOff>
    </xdr:from>
    <xdr:ext cx="4616823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8C051F23-66CA-49F5-9652-8B9164FC373E}"/>
                </a:ext>
              </a:extLst>
            </xdr:cNvPr>
            <xdr:cNvSpPr txBox="1"/>
          </xdr:nvSpPr>
          <xdr:spPr>
            <a:xfrm>
              <a:off x="3642472" y="31474522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=0, 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𝑘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=6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8C051F23-66CA-49F5-9652-8B9164FC373E}"/>
                </a:ext>
              </a:extLst>
            </xdr:cNvPr>
            <xdr:cNvSpPr txBox="1"/>
          </xdr:nvSpPr>
          <xdr:spPr>
            <a:xfrm>
              <a:off x="3642472" y="31474522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600" b="0" i="0">
                  <a:latin typeface="Cambria Math" panose="02040503050406030204" pitchFamily="18" charset="0"/>
                </a:rPr>
                <a:t>0=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𝛽_1=𝛽_2=𝛽_3=𝛽_4=𝛽_5=𝛽_6=0, 𝑘=6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4</xdr:col>
      <xdr:colOff>280147</xdr:colOff>
      <xdr:row>194</xdr:row>
      <xdr:rowOff>112059</xdr:rowOff>
    </xdr:from>
    <xdr:ext cx="4616823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5CB3E4B-6763-4F89-BBBB-0613F2A71619}"/>
                </a:ext>
              </a:extLst>
            </xdr:cNvPr>
            <xdr:cNvSpPr txBox="1"/>
          </xdr:nvSpPr>
          <xdr:spPr>
            <a:xfrm>
              <a:off x="3642472" y="31820784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2=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𝑗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𝑝𝑎𝑟𝑎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𝑎𝑙𝑔𝑢𝑚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𝑗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, 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𝑗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=1,2,3,4,5,6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5CB3E4B-6763-4F89-BBBB-0613F2A71619}"/>
                </a:ext>
              </a:extLst>
            </xdr:cNvPr>
            <xdr:cNvSpPr txBox="1"/>
          </xdr:nvSpPr>
          <xdr:spPr>
            <a:xfrm>
              <a:off x="3642472" y="31820784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𝐻2=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𝛽_𝑗≠0 𝑝𝑎𝑟𝑎 𝑎𝑙𝑔𝑢𝑚 𝑗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, 𝑗=1,2,3,4,5,6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4</xdr:col>
      <xdr:colOff>459442</xdr:colOff>
      <xdr:row>200</xdr:row>
      <xdr:rowOff>125505</xdr:rowOff>
    </xdr:from>
    <xdr:ext cx="6633882" cy="27404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40D5668-58B2-40AE-B4DC-93A0DA93341F}"/>
                </a:ext>
              </a:extLst>
            </xdr:cNvPr>
            <xdr:cNvSpPr txBox="1"/>
          </xdr:nvSpPr>
          <xdr:spPr>
            <a:xfrm>
              <a:off x="3821767" y="32815305"/>
              <a:ext cx="6633882" cy="2740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𝐼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.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𝐶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=]</m:t>
                  </m:r>
                  <m:sSub>
                    <m:sSub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𝐽</m:t>
                      </m:r>
                    </m:sub>
                  </m:sSub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/2[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𝑛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+1</m:t>
                      </m:r>
                    </m:e>
                  </m:d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]</m:t>
                  </m:r>
                  <m:rad>
                    <m:radPr>
                      <m:degHide m:val="on"/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𝜎</m:t>
                          </m:r>
                        </m:e>
                        <m:sup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𝐶𝑗𝑗</m:t>
                      </m:r>
                    </m:e>
                  </m:rad>
                </m:oMath>
              </a14:m>
              <a:r>
                <a:rPr lang="pt-PT" sz="1400"/>
                <a:t>,</a:t>
              </a:r>
              <a14:m>
                <m:oMath xmlns:m="http://schemas.openxmlformats.org/officeDocument/2006/math">
                  <m:sSub>
                    <m:sSub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𝐽</m:t>
                      </m:r>
                    </m:sub>
                  </m:sSub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/2[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𝑛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+1</m:t>
                      </m:r>
                    </m:e>
                  </m:d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]</m:t>
                  </m:r>
                  <m:rad>
                    <m:radPr>
                      <m:degHide m:val="on"/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𝜎</m:t>
                          </m:r>
                        </m:e>
                        <m:sup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𝐶𝑗𝑗</m:t>
                      </m:r>
                    </m:e>
                  </m:rad>
                </m:oMath>
              </a14:m>
              <a:r>
                <a:rPr lang="pt-PT" sz="1400"/>
                <a:t>[</a:t>
              </a:r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40D5668-58B2-40AE-B4DC-93A0DA93341F}"/>
                </a:ext>
              </a:extLst>
            </xdr:cNvPr>
            <xdr:cNvSpPr txBox="1"/>
          </xdr:nvSpPr>
          <xdr:spPr>
            <a:xfrm>
              <a:off x="3821767" y="32815305"/>
              <a:ext cx="6633882" cy="2740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𝐼.𝐶=]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𝛽_𝐽−𝑇1−𝑎/2[𝑛−(𝑘+1)]√(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 𝐶𝑗𝑗)</a:t>
              </a:r>
              <a:r>
                <a:rPr lang="pt-PT" sz="1400"/>
                <a:t>,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𝛽_𝐽+𝑇1−𝑎/2[𝑛−(𝑘+1)]√(𝜎^2 𝐶𝑗𝑗)</a:t>
              </a:r>
              <a:r>
                <a:rPr lang="pt-PT" sz="1400"/>
                <a:t>[</a:t>
              </a:r>
            </a:p>
          </xdr:txBody>
        </xdr:sp>
      </mc:Fallback>
    </mc:AlternateContent>
    <xdr:clientData/>
  </xdr:oneCellAnchor>
  <xdr:oneCellAnchor>
    <xdr:from>
      <xdr:col>2</xdr:col>
      <xdr:colOff>736227</xdr:colOff>
      <xdr:row>207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0BF62C5C-47CA-41BB-BBA7-64F06D62B4F8}"/>
                </a:ext>
              </a:extLst>
            </xdr:cNvPr>
            <xdr:cNvSpPr txBox="1"/>
          </xdr:nvSpPr>
          <xdr:spPr>
            <a:xfrm>
              <a:off x="2222127" y="338350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0BF62C5C-47CA-41BB-BBA7-64F06D62B4F8}"/>
                </a:ext>
              </a:extLst>
            </xdr:cNvPr>
            <xdr:cNvSpPr txBox="1"/>
          </xdr:nvSpPr>
          <xdr:spPr>
            <a:xfrm>
              <a:off x="2222127" y="338350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208</xdr:row>
      <xdr:rowOff>145675</xdr:rowOff>
    </xdr:from>
    <xdr:ext cx="288477" cy="172227"/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50DE62A8-F5E2-49EA-B0BE-E61157AAE5DD}"/>
            </a:ext>
          </a:extLst>
        </xdr:cNvPr>
        <xdr:cNvSpPr txBox="1"/>
      </xdr:nvSpPr>
      <xdr:spPr>
        <a:xfrm>
          <a:off x="2147047" y="341404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2</xdr:col>
      <xdr:colOff>736227</xdr:colOff>
      <xdr:row>217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7771FDAC-3AC3-4573-B6D1-9AA63E780515}"/>
                </a:ext>
              </a:extLst>
            </xdr:cNvPr>
            <xdr:cNvSpPr txBox="1"/>
          </xdr:nvSpPr>
          <xdr:spPr>
            <a:xfrm>
              <a:off x="2222127" y="354733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7771FDAC-3AC3-4573-B6D1-9AA63E780515}"/>
                </a:ext>
              </a:extLst>
            </xdr:cNvPr>
            <xdr:cNvSpPr txBox="1"/>
          </xdr:nvSpPr>
          <xdr:spPr>
            <a:xfrm>
              <a:off x="2222127" y="354733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218</xdr:row>
      <xdr:rowOff>145675</xdr:rowOff>
    </xdr:from>
    <xdr:ext cx="288477" cy="172227"/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0E8D4EC6-F72D-4898-AD6E-E4166F069BBB}"/>
            </a:ext>
          </a:extLst>
        </xdr:cNvPr>
        <xdr:cNvSpPr txBox="1"/>
      </xdr:nvSpPr>
      <xdr:spPr>
        <a:xfrm>
          <a:off x="2147047" y="357787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2</xdr:col>
      <xdr:colOff>736227</xdr:colOff>
      <xdr:row>227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3148900-E6AB-40C8-A2F3-1C8D0FBF605B}"/>
                </a:ext>
              </a:extLst>
            </xdr:cNvPr>
            <xdr:cNvSpPr txBox="1"/>
          </xdr:nvSpPr>
          <xdr:spPr>
            <a:xfrm>
              <a:off x="2222127" y="371116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3148900-E6AB-40C8-A2F3-1C8D0FBF605B}"/>
                </a:ext>
              </a:extLst>
            </xdr:cNvPr>
            <xdr:cNvSpPr txBox="1"/>
          </xdr:nvSpPr>
          <xdr:spPr>
            <a:xfrm>
              <a:off x="2222127" y="371116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228</xdr:row>
      <xdr:rowOff>145675</xdr:rowOff>
    </xdr:from>
    <xdr:ext cx="288477" cy="172227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65BA4A41-EA7F-469E-BB13-555FC9FE17F4}"/>
            </a:ext>
          </a:extLst>
        </xdr:cNvPr>
        <xdr:cNvSpPr txBox="1"/>
      </xdr:nvSpPr>
      <xdr:spPr>
        <a:xfrm>
          <a:off x="2147047" y="374170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2</xdr:col>
      <xdr:colOff>736227</xdr:colOff>
      <xdr:row>237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2EB3B8A-6B4A-495E-AB5C-D508528B181B}"/>
                </a:ext>
              </a:extLst>
            </xdr:cNvPr>
            <xdr:cNvSpPr txBox="1"/>
          </xdr:nvSpPr>
          <xdr:spPr>
            <a:xfrm>
              <a:off x="2222127" y="387499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2EB3B8A-6B4A-495E-AB5C-D508528B181B}"/>
                </a:ext>
              </a:extLst>
            </xdr:cNvPr>
            <xdr:cNvSpPr txBox="1"/>
          </xdr:nvSpPr>
          <xdr:spPr>
            <a:xfrm>
              <a:off x="2222127" y="387499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238</xdr:row>
      <xdr:rowOff>145675</xdr:rowOff>
    </xdr:from>
    <xdr:ext cx="288477" cy="172227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68D0A884-23BE-45FE-9804-FA202A388C6C}"/>
            </a:ext>
          </a:extLst>
        </xdr:cNvPr>
        <xdr:cNvSpPr txBox="1"/>
      </xdr:nvSpPr>
      <xdr:spPr>
        <a:xfrm>
          <a:off x="2147047" y="390553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2</xdr:col>
      <xdr:colOff>736227</xdr:colOff>
      <xdr:row>247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CAC38194-5386-4AB2-9918-83C1B381D273}"/>
                </a:ext>
              </a:extLst>
            </xdr:cNvPr>
            <xdr:cNvSpPr txBox="1"/>
          </xdr:nvSpPr>
          <xdr:spPr>
            <a:xfrm>
              <a:off x="2222127" y="403882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CAC38194-5386-4AB2-9918-83C1B381D273}"/>
                </a:ext>
              </a:extLst>
            </xdr:cNvPr>
            <xdr:cNvSpPr txBox="1"/>
          </xdr:nvSpPr>
          <xdr:spPr>
            <a:xfrm>
              <a:off x="2222127" y="403882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248</xdr:row>
      <xdr:rowOff>145675</xdr:rowOff>
    </xdr:from>
    <xdr:ext cx="288477" cy="172227"/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0FE0343E-E1E5-4C3A-93CD-2A0B02BC24A5}"/>
            </a:ext>
          </a:extLst>
        </xdr:cNvPr>
        <xdr:cNvSpPr txBox="1"/>
      </xdr:nvSpPr>
      <xdr:spPr>
        <a:xfrm>
          <a:off x="2147047" y="406936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C44=</a:t>
          </a:r>
        </a:p>
      </xdr:txBody>
    </xdr:sp>
    <xdr:clientData/>
  </xdr:oneCellAnchor>
  <xdr:oneCellAnchor>
    <xdr:from>
      <xdr:col>2</xdr:col>
      <xdr:colOff>736227</xdr:colOff>
      <xdr:row>257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4B935DFF-5BDF-49CA-A9E6-2AE3EE79D227}"/>
                </a:ext>
              </a:extLst>
            </xdr:cNvPr>
            <xdr:cNvSpPr txBox="1"/>
          </xdr:nvSpPr>
          <xdr:spPr>
            <a:xfrm>
              <a:off x="2222127" y="420265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4B935DFF-5BDF-49CA-A9E6-2AE3EE79D227}"/>
                </a:ext>
              </a:extLst>
            </xdr:cNvPr>
            <xdr:cNvSpPr txBox="1"/>
          </xdr:nvSpPr>
          <xdr:spPr>
            <a:xfrm>
              <a:off x="2222127" y="420265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258</xdr:row>
      <xdr:rowOff>145675</xdr:rowOff>
    </xdr:from>
    <xdr:ext cx="288477" cy="172227"/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0B61B94A-8B62-42EC-9EA8-AD14735BD9BE}"/>
            </a:ext>
          </a:extLst>
        </xdr:cNvPr>
        <xdr:cNvSpPr txBox="1"/>
      </xdr:nvSpPr>
      <xdr:spPr>
        <a:xfrm>
          <a:off x="2147047" y="423319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C55=</a:t>
          </a:r>
        </a:p>
      </xdr:txBody>
    </xdr:sp>
    <xdr:clientData/>
  </xdr:oneCellAnchor>
  <xdr:oneCellAnchor>
    <xdr:from>
      <xdr:col>2</xdr:col>
      <xdr:colOff>736227</xdr:colOff>
      <xdr:row>267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75449DB-DC97-4AF6-8867-FE92A5438CCC}"/>
                </a:ext>
              </a:extLst>
            </xdr:cNvPr>
            <xdr:cNvSpPr txBox="1"/>
          </xdr:nvSpPr>
          <xdr:spPr>
            <a:xfrm>
              <a:off x="2222127" y="436648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75449DB-DC97-4AF6-8867-FE92A5438CCC}"/>
                </a:ext>
              </a:extLst>
            </xdr:cNvPr>
            <xdr:cNvSpPr txBox="1"/>
          </xdr:nvSpPr>
          <xdr:spPr>
            <a:xfrm>
              <a:off x="2222127" y="436648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268</xdr:row>
      <xdr:rowOff>145675</xdr:rowOff>
    </xdr:from>
    <xdr:ext cx="288477" cy="172227"/>
    <xdr:sp macro="" textlink="">
      <xdr:nvSpPr>
        <xdr:cNvPr id="57" name="CaixaDeTexto 56">
          <a:extLst>
            <a:ext uri="{FF2B5EF4-FFF2-40B4-BE49-F238E27FC236}">
              <a16:creationId xmlns:a16="http://schemas.microsoft.com/office/drawing/2014/main" id="{137A2713-3A03-4003-A999-66FB61501FB2}"/>
            </a:ext>
          </a:extLst>
        </xdr:cNvPr>
        <xdr:cNvSpPr txBox="1"/>
      </xdr:nvSpPr>
      <xdr:spPr>
        <a:xfrm>
          <a:off x="2147047" y="439702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C66=</a:t>
          </a:r>
        </a:p>
      </xdr:txBody>
    </xdr:sp>
    <xdr:clientData/>
  </xdr:oneCellAnchor>
  <xdr:oneCellAnchor>
    <xdr:from>
      <xdr:col>1</xdr:col>
      <xdr:colOff>953559</xdr:colOff>
      <xdr:row>277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C8627C9-148B-42C9-BD98-803358CE8B17}"/>
                </a:ext>
              </a:extLst>
            </xdr:cNvPr>
            <xdr:cNvSpPr txBox="1"/>
          </xdr:nvSpPr>
          <xdr:spPr>
            <a:xfrm>
              <a:off x="1486959" y="454162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5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C8627C9-148B-42C9-BD98-803358CE8B17}"/>
                </a:ext>
              </a:extLst>
            </xdr:cNvPr>
            <xdr:cNvSpPr txBox="1"/>
          </xdr:nvSpPr>
          <xdr:spPr>
            <a:xfrm>
              <a:off x="1486959" y="4541626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456079</xdr:colOff>
      <xdr:row>280</xdr:row>
      <xdr:rowOff>2241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327D4EB-4000-4D55-A3E8-44DB80B027A0}"/>
                </a:ext>
              </a:extLst>
            </xdr:cNvPr>
            <xdr:cNvSpPr txBox="1"/>
          </xdr:nvSpPr>
          <xdr:spPr>
            <a:xfrm>
              <a:off x="1141879" y="45788916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327D4EB-4000-4D55-A3E8-44DB80B027A0}"/>
                </a:ext>
              </a:extLst>
            </xdr:cNvPr>
            <xdr:cNvSpPr txBox="1"/>
          </xdr:nvSpPr>
          <xdr:spPr>
            <a:xfrm>
              <a:off x="1141879" y="45788916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672352</xdr:colOff>
      <xdr:row>281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F92A555-1B3E-4A8D-8B5B-B029ED3D7B55}"/>
                </a:ext>
              </a:extLst>
            </xdr:cNvPr>
            <xdr:cNvSpPr txBox="1"/>
          </xdr:nvSpPr>
          <xdr:spPr>
            <a:xfrm>
              <a:off x="1358152" y="4608306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F92A555-1B3E-4A8D-8B5B-B029ED3D7B55}"/>
                </a:ext>
              </a:extLst>
            </xdr:cNvPr>
            <xdr:cNvSpPr txBox="1"/>
          </xdr:nvSpPr>
          <xdr:spPr>
            <a:xfrm>
              <a:off x="1358152" y="4608306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694764</xdr:colOff>
      <xdr:row>285</xdr:row>
      <xdr:rowOff>134471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7103991-F533-4453-A49F-8208425C743B}"/>
                </a:ext>
              </a:extLst>
            </xdr:cNvPr>
            <xdr:cNvSpPr txBox="1"/>
          </xdr:nvSpPr>
          <xdr:spPr>
            <a:xfrm>
              <a:off x="1380564" y="46730771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7103991-F533-4453-A49F-8208425C743B}"/>
                </a:ext>
              </a:extLst>
            </xdr:cNvPr>
            <xdr:cNvSpPr txBox="1"/>
          </xdr:nvSpPr>
          <xdr:spPr>
            <a:xfrm>
              <a:off x="1380564" y="46730771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616324</xdr:colOff>
      <xdr:row>275</xdr:row>
      <xdr:rowOff>168087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78CAB972-A2F3-48FA-8B6D-A1A460AE658D}"/>
                </a:ext>
              </a:extLst>
            </xdr:cNvPr>
            <xdr:cNvSpPr txBox="1"/>
          </xdr:nvSpPr>
          <xdr:spPr>
            <a:xfrm>
              <a:off x="8884024" y="45135612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78CAB972-A2F3-48FA-8B6D-A1A460AE658D}"/>
                </a:ext>
              </a:extLst>
            </xdr:cNvPr>
            <xdr:cNvSpPr txBox="1"/>
          </xdr:nvSpPr>
          <xdr:spPr>
            <a:xfrm>
              <a:off x="8884024" y="45135612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0</xdr:colOff>
      <xdr:row>284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E77B443-AF29-49D7-BB58-64DE7B9F0027}"/>
                </a:ext>
              </a:extLst>
            </xdr:cNvPr>
            <xdr:cNvSpPr txBox="1"/>
          </xdr:nvSpPr>
          <xdr:spPr>
            <a:xfrm>
              <a:off x="1485900" y="4643437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E77B443-AF29-49D7-BB58-64DE7B9F0027}"/>
                </a:ext>
              </a:extLst>
            </xdr:cNvPr>
            <xdr:cNvSpPr txBox="1"/>
          </xdr:nvSpPr>
          <xdr:spPr>
            <a:xfrm>
              <a:off x="1485900" y="4643437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347382</xdr:colOff>
      <xdr:row>279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EF766D30-BAC6-4ABE-BD6C-6869F0AEAD08}"/>
                </a:ext>
              </a:extLst>
            </xdr:cNvPr>
            <xdr:cNvSpPr txBox="1"/>
          </xdr:nvSpPr>
          <xdr:spPr>
            <a:xfrm>
              <a:off x="8615082" y="4574801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EF766D30-BAC6-4ABE-BD6C-6869F0AEAD08}"/>
                </a:ext>
              </a:extLst>
            </xdr:cNvPr>
            <xdr:cNvSpPr txBox="1"/>
          </xdr:nvSpPr>
          <xdr:spPr>
            <a:xfrm>
              <a:off x="8615082" y="4574801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299197</xdr:colOff>
      <xdr:row>294</xdr:row>
      <xdr:rowOff>2242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2AB48134-FC81-4E25-BCC2-324D46F7824A}"/>
                </a:ext>
              </a:extLst>
            </xdr:cNvPr>
            <xdr:cNvSpPr txBox="1"/>
          </xdr:nvSpPr>
          <xdr:spPr>
            <a:xfrm>
              <a:off x="984997" y="48113017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2AB48134-FC81-4E25-BCC2-324D46F7824A}"/>
                </a:ext>
              </a:extLst>
            </xdr:cNvPr>
            <xdr:cNvSpPr txBox="1"/>
          </xdr:nvSpPr>
          <xdr:spPr>
            <a:xfrm>
              <a:off x="984997" y="48113017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672352</xdr:colOff>
      <xdr:row>295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26F61C02-5B71-454C-8B4C-7F1BF6266E91}"/>
                </a:ext>
              </a:extLst>
            </xdr:cNvPr>
            <xdr:cNvSpPr txBox="1"/>
          </xdr:nvSpPr>
          <xdr:spPr>
            <a:xfrm>
              <a:off x="1358152" y="4840716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26F61C02-5B71-454C-8B4C-7F1BF6266E91}"/>
                </a:ext>
              </a:extLst>
            </xdr:cNvPr>
            <xdr:cNvSpPr txBox="1"/>
          </xdr:nvSpPr>
          <xdr:spPr>
            <a:xfrm>
              <a:off x="1358152" y="4840716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369794</xdr:colOff>
      <xdr:row>300</xdr:row>
      <xdr:rowOff>11206</xdr:rowOff>
    </xdr:from>
    <xdr:ext cx="1389529" cy="235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8DC7B0D2-1C35-4A73-86C7-F60703F078CA}"/>
                </a:ext>
              </a:extLst>
            </xdr:cNvPr>
            <xdr:cNvSpPr txBox="1"/>
          </xdr:nvSpPr>
          <xdr:spPr>
            <a:xfrm>
              <a:off x="1055594" y="49093531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∗(1+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0)=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8DC7B0D2-1C35-4A73-86C7-F60703F078CA}"/>
                </a:ext>
              </a:extLst>
            </xdr:cNvPr>
            <xdr:cNvSpPr txBox="1"/>
          </xdr:nvSpPr>
          <xdr:spPr>
            <a:xfrm>
              <a:off x="1055594" y="49093531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2∗(1+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302560</xdr:colOff>
      <xdr:row>289</xdr:row>
      <xdr:rowOff>156881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547FA1B-B9C7-4021-AC3D-A6E76310EDFD}"/>
                </a:ext>
              </a:extLst>
            </xdr:cNvPr>
            <xdr:cNvSpPr txBox="1"/>
          </xdr:nvSpPr>
          <xdr:spPr>
            <a:xfrm>
              <a:off x="8570260" y="4744850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547FA1B-B9C7-4021-AC3D-A6E76310EDFD}"/>
                </a:ext>
              </a:extLst>
            </xdr:cNvPr>
            <xdr:cNvSpPr txBox="1"/>
          </xdr:nvSpPr>
          <xdr:spPr>
            <a:xfrm>
              <a:off x="8570260" y="4744850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0</xdr:colOff>
      <xdr:row>298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47B8CE42-FDAA-4D3B-971A-3BD690E9CC9B}"/>
                </a:ext>
              </a:extLst>
            </xdr:cNvPr>
            <xdr:cNvSpPr txBox="1"/>
          </xdr:nvSpPr>
          <xdr:spPr>
            <a:xfrm>
              <a:off x="1485900" y="4875847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47B8CE42-FDAA-4D3B-971A-3BD690E9CC9B}"/>
                </a:ext>
              </a:extLst>
            </xdr:cNvPr>
            <xdr:cNvSpPr txBox="1"/>
          </xdr:nvSpPr>
          <xdr:spPr>
            <a:xfrm>
              <a:off x="1485900" y="4875847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358588</xdr:colOff>
      <xdr:row>293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49FCDEA8-53B4-468A-A3A0-9B2BB89ED895}"/>
                </a:ext>
              </a:extLst>
            </xdr:cNvPr>
            <xdr:cNvSpPr txBox="1"/>
          </xdr:nvSpPr>
          <xdr:spPr>
            <a:xfrm>
              <a:off x="8626288" y="4807211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49FCDEA8-53B4-468A-A3A0-9B2BB89ED895}"/>
                </a:ext>
              </a:extLst>
            </xdr:cNvPr>
            <xdr:cNvSpPr txBox="1"/>
          </xdr:nvSpPr>
          <xdr:spPr>
            <a:xfrm>
              <a:off x="8626288" y="4807211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212913</xdr:colOff>
      <xdr:row>304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99B013EE-A587-46AF-A9C1-89933C23C182}"/>
                </a:ext>
              </a:extLst>
            </xdr:cNvPr>
            <xdr:cNvSpPr txBox="1"/>
          </xdr:nvSpPr>
          <xdr:spPr>
            <a:xfrm>
              <a:off x="898713" y="498880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99B013EE-A587-46AF-A9C1-89933C23C182}"/>
                </a:ext>
              </a:extLst>
            </xdr:cNvPr>
            <xdr:cNvSpPr txBox="1"/>
          </xdr:nvSpPr>
          <xdr:spPr>
            <a:xfrm>
              <a:off x="898713" y="498880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𝐻0:𝐵_0=0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306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BE5F910-24B7-4FBD-870D-6CBEEBC3141F}"/>
                </a:ext>
              </a:extLst>
            </xdr:cNvPr>
            <xdr:cNvSpPr txBox="1"/>
          </xdr:nvSpPr>
          <xdr:spPr>
            <a:xfrm>
              <a:off x="909917" y="502342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BE5F910-24B7-4FBD-870D-6CBEEBC3141F}"/>
                </a:ext>
              </a:extLst>
            </xdr:cNvPr>
            <xdr:cNvSpPr txBox="1"/>
          </xdr:nvSpPr>
          <xdr:spPr>
            <a:xfrm>
              <a:off x="909917" y="502342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𝐻1:𝐵_0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309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25AFC8D6-28AA-4488-BD4C-0C60DC2C3247}"/>
                </a:ext>
              </a:extLst>
            </xdr:cNvPr>
            <xdr:cNvSpPr txBox="1"/>
          </xdr:nvSpPr>
          <xdr:spPr>
            <a:xfrm>
              <a:off x="1134036" y="507312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25AFC8D6-28AA-4488-BD4C-0C60DC2C3247}"/>
                </a:ext>
              </a:extLst>
            </xdr:cNvPr>
            <xdr:cNvSpPr txBox="1"/>
          </xdr:nvSpPr>
          <xdr:spPr>
            <a:xfrm>
              <a:off x="1134036" y="507312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304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50AAEA2A-8826-49DD-BA37-D6CAE6711E81}"/>
                </a:ext>
              </a:extLst>
            </xdr:cNvPr>
            <xdr:cNvSpPr txBox="1"/>
          </xdr:nvSpPr>
          <xdr:spPr>
            <a:xfrm>
              <a:off x="2626658" y="498790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00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50AAEA2A-8826-49DD-BA37-D6CAE6711E81}"/>
                </a:ext>
              </a:extLst>
            </xdr:cNvPr>
            <xdr:cNvSpPr txBox="1"/>
          </xdr:nvSpPr>
          <xdr:spPr>
            <a:xfrm>
              <a:off x="2626658" y="498790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400" b="0" i="0">
                  <a:latin typeface="Cambria Math" panose="02040503050406030204" pitchFamily="18" charset="0"/>
                </a:rPr>
                <a:t>0 ) ̂/√(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400" b="0" i="0">
                  <a:latin typeface="Cambria Math" panose="02040503050406030204" pitchFamily="18" charset="0"/>
                </a:rPr>
                <a:t>2∗𝐶_00 )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306</xdr:row>
      <xdr:rowOff>145675</xdr:rowOff>
    </xdr:from>
    <xdr:ext cx="288477" cy="172227"/>
    <xdr:sp macro="" textlink="">
      <xdr:nvSpPr>
        <xdr:cNvPr id="79" name="CaixaDeTexto 78">
          <a:extLst>
            <a:ext uri="{FF2B5EF4-FFF2-40B4-BE49-F238E27FC236}">
              <a16:creationId xmlns:a16="http://schemas.microsoft.com/office/drawing/2014/main" id="{E5A1AA2C-F4BC-4997-BFDE-B00E9B5534E7}"/>
            </a:ext>
          </a:extLst>
        </xdr:cNvPr>
        <xdr:cNvSpPr txBox="1"/>
      </xdr:nvSpPr>
      <xdr:spPr>
        <a:xfrm>
          <a:off x="5924550" y="502567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</xdr:col>
      <xdr:colOff>212913</xdr:colOff>
      <xdr:row>322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42BDC6CF-F644-44C8-B03F-2CDA0D9228C1}"/>
                </a:ext>
              </a:extLst>
            </xdr:cNvPr>
            <xdr:cNvSpPr txBox="1"/>
          </xdr:nvSpPr>
          <xdr:spPr>
            <a:xfrm>
              <a:off x="898713" y="528217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42BDC6CF-F644-44C8-B03F-2CDA0D9228C1}"/>
                </a:ext>
              </a:extLst>
            </xdr:cNvPr>
            <xdr:cNvSpPr txBox="1"/>
          </xdr:nvSpPr>
          <xdr:spPr>
            <a:xfrm>
              <a:off x="898713" y="528217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𝐻0:𝐵_1=0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324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29AC697-2B90-440A-9E32-A489D4B50176}"/>
                </a:ext>
              </a:extLst>
            </xdr:cNvPr>
            <xdr:cNvSpPr txBox="1"/>
          </xdr:nvSpPr>
          <xdr:spPr>
            <a:xfrm>
              <a:off x="909917" y="531679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29AC697-2B90-440A-9E32-A489D4B50176}"/>
                </a:ext>
              </a:extLst>
            </xdr:cNvPr>
            <xdr:cNvSpPr txBox="1"/>
          </xdr:nvSpPr>
          <xdr:spPr>
            <a:xfrm>
              <a:off x="909917" y="531679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𝐻1:𝐵_1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327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A67FC4D-A81C-4BE3-BEF6-E46AC53C4DA3}"/>
                </a:ext>
              </a:extLst>
            </xdr:cNvPr>
            <xdr:cNvSpPr txBox="1"/>
          </xdr:nvSpPr>
          <xdr:spPr>
            <a:xfrm>
              <a:off x="1134036" y="536649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A67FC4D-A81C-4BE3-BEF6-E46AC53C4DA3}"/>
                </a:ext>
              </a:extLst>
            </xdr:cNvPr>
            <xdr:cNvSpPr txBox="1"/>
          </xdr:nvSpPr>
          <xdr:spPr>
            <a:xfrm>
              <a:off x="1134036" y="536649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322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6C5BA82E-A9F7-4CBD-A6FB-11D48D408A72}"/>
                </a:ext>
              </a:extLst>
            </xdr:cNvPr>
            <xdr:cNvSpPr txBox="1"/>
          </xdr:nvSpPr>
          <xdr:spPr>
            <a:xfrm>
              <a:off x="2626658" y="528127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6C5BA82E-A9F7-4CBD-A6FB-11D48D408A72}"/>
                </a:ext>
              </a:extLst>
            </xdr:cNvPr>
            <xdr:cNvSpPr txBox="1"/>
          </xdr:nvSpPr>
          <xdr:spPr>
            <a:xfrm>
              <a:off x="2626658" y="528127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𝛽_1 )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2∗𝐶_11 )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324</xdr:row>
      <xdr:rowOff>145675</xdr:rowOff>
    </xdr:from>
    <xdr:ext cx="288477" cy="172227"/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ABDA02FB-206C-49CC-A779-60155016AD48}"/>
            </a:ext>
          </a:extLst>
        </xdr:cNvPr>
        <xdr:cNvSpPr txBox="1"/>
      </xdr:nvSpPr>
      <xdr:spPr>
        <a:xfrm>
          <a:off x="5924550" y="531904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</xdr:col>
      <xdr:colOff>212913</xdr:colOff>
      <xdr:row>340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26B28D2A-8320-4742-AC88-016D2E77015B}"/>
                </a:ext>
              </a:extLst>
            </xdr:cNvPr>
            <xdr:cNvSpPr txBox="1"/>
          </xdr:nvSpPr>
          <xdr:spPr>
            <a:xfrm>
              <a:off x="898713" y="557554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26B28D2A-8320-4742-AC88-016D2E77015B}"/>
                </a:ext>
              </a:extLst>
            </xdr:cNvPr>
            <xdr:cNvSpPr txBox="1"/>
          </xdr:nvSpPr>
          <xdr:spPr>
            <a:xfrm>
              <a:off x="898713" y="557554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𝐻0:𝐵_2=0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342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D29B9B8D-D818-49BB-BAFE-112CCF78ACEF}"/>
                </a:ext>
              </a:extLst>
            </xdr:cNvPr>
            <xdr:cNvSpPr txBox="1"/>
          </xdr:nvSpPr>
          <xdr:spPr>
            <a:xfrm>
              <a:off x="909917" y="561016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D29B9B8D-D818-49BB-BAFE-112CCF78ACEF}"/>
                </a:ext>
              </a:extLst>
            </xdr:cNvPr>
            <xdr:cNvSpPr txBox="1"/>
          </xdr:nvSpPr>
          <xdr:spPr>
            <a:xfrm>
              <a:off x="909917" y="561016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𝐻1:𝐵_2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345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76BE1C14-E18F-4A4C-919B-B4CDD126B1B4}"/>
                </a:ext>
              </a:extLst>
            </xdr:cNvPr>
            <xdr:cNvSpPr txBox="1"/>
          </xdr:nvSpPr>
          <xdr:spPr>
            <a:xfrm>
              <a:off x="1134036" y="565986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76BE1C14-E18F-4A4C-919B-B4CDD126B1B4}"/>
                </a:ext>
              </a:extLst>
            </xdr:cNvPr>
            <xdr:cNvSpPr txBox="1"/>
          </xdr:nvSpPr>
          <xdr:spPr>
            <a:xfrm>
              <a:off x="1134036" y="565986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340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A8DCB380-5655-435E-B6AA-D7546EFDA9FC}"/>
                </a:ext>
              </a:extLst>
            </xdr:cNvPr>
            <xdr:cNvSpPr txBox="1"/>
          </xdr:nvSpPr>
          <xdr:spPr>
            <a:xfrm>
              <a:off x="2626658" y="557464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22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A8DCB380-5655-435E-B6AA-D7546EFDA9FC}"/>
                </a:ext>
              </a:extLst>
            </xdr:cNvPr>
            <xdr:cNvSpPr txBox="1"/>
          </xdr:nvSpPr>
          <xdr:spPr>
            <a:xfrm>
              <a:off x="2626658" y="557464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𝛽_2 )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2∗𝐶_22 )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342</xdr:row>
      <xdr:rowOff>145675</xdr:rowOff>
    </xdr:from>
    <xdr:ext cx="288477" cy="172227"/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CDC82256-FE20-4B5D-B303-4525D6BCD0AD}"/>
            </a:ext>
          </a:extLst>
        </xdr:cNvPr>
        <xdr:cNvSpPr txBox="1"/>
      </xdr:nvSpPr>
      <xdr:spPr>
        <a:xfrm>
          <a:off x="5924550" y="561241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</xdr:col>
      <xdr:colOff>212913</xdr:colOff>
      <xdr:row>358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476B3997-1EA1-4FF2-A642-D6633703E15E}"/>
                </a:ext>
              </a:extLst>
            </xdr:cNvPr>
            <xdr:cNvSpPr txBox="1"/>
          </xdr:nvSpPr>
          <xdr:spPr>
            <a:xfrm>
              <a:off x="898713" y="586891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476B3997-1EA1-4FF2-A642-D6633703E15E}"/>
                </a:ext>
              </a:extLst>
            </xdr:cNvPr>
            <xdr:cNvSpPr txBox="1"/>
          </xdr:nvSpPr>
          <xdr:spPr>
            <a:xfrm>
              <a:off x="898713" y="586891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𝐻0:𝐵_3=0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360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BFAEBD10-0114-4541-8AFC-C006623A5555}"/>
                </a:ext>
              </a:extLst>
            </xdr:cNvPr>
            <xdr:cNvSpPr txBox="1"/>
          </xdr:nvSpPr>
          <xdr:spPr>
            <a:xfrm>
              <a:off x="909917" y="590353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BFAEBD10-0114-4541-8AFC-C006623A5555}"/>
                </a:ext>
              </a:extLst>
            </xdr:cNvPr>
            <xdr:cNvSpPr txBox="1"/>
          </xdr:nvSpPr>
          <xdr:spPr>
            <a:xfrm>
              <a:off x="909917" y="590353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𝐻1:𝐵_3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363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3F31ACB3-E1C3-4CE0-8C45-EC681F084EB8}"/>
                </a:ext>
              </a:extLst>
            </xdr:cNvPr>
            <xdr:cNvSpPr txBox="1"/>
          </xdr:nvSpPr>
          <xdr:spPr>
            <a:xfrm>
              <a:off x="1134036" y="595323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3F31ACB3-E1C3-4CE0-8C45-EC681F084EB8}"/>
                </a:ext>
              </a:extLst>
            </xdr:cNvPr>
            <xdr:cNvSpPr txBox="1"/>
          </xdr:nvSpPr>
          <xdr:spPr>
            <a:xfrm>
              <a:off x="1134036" y="595323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358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7AAED05B-1B88-4CA3-BDBB-3967C19C100B}"/>
                </a:ext>
              </a:extLst>
            </xdr:cNvPr>
            <xdr:cNvSpPr txBox="1"/>
          </xdr:nvSpPr>
          <xdr:spPr>
            <a:xfrm>
              <a:off x="2626658" y="586801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33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7AAED05B-1B88-4CA3-BDBB-3967C19C100B}"/>
                </a:ext>
              </a:extLst>
            </xdr:cNvPr>
            <xdr:cNvSpPr txBox="1"/>
          </xdr:nvSpPr>
          <xdr:spPr>
            <a:xfrm>
              <a:off x="2626658" y="586801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𝛽_3 )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2∗𝐶_33 )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360</xdr:row>
      <xdr:rowOff>145675</xdr:rowOff>
    </xdr:from>
    <xdr:ext cx="288477" cy="172227"/>
    <xdr:sp macro="" textlink="">
      <xdr:nvSpPr>
        <xdr:cNvPr id="97" name="CaixaDeTexto 96">
          <a:extLst>
            <a:ext uri="{FF2B5EF4-FFF2-40B4-BE49-F238E27FC236}">
              <a16:creationId xmlns:a16="http://schemas.microsoft.com/office/drawing/2014/main" id="{B797FC05-8113-417A-9688-BFC86B5E1EA0}"/>
            </a:ext>
          </a:extLst>
        </xdr:cNvPr>
        <xdr:cNvSpPr txBox="1"/>
      </xdr:nvSpPr>
      <xdr:spPr>
        <a:xfrm>
          <a:off x="5924550" y="590578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</xdr:col>
      <xdr:colOff>212913</xdr:colOff>
      <xdr:row>376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5368A565-D737-4D23-B298-6FF1BCCC11AC}"/>
                </a:ext>
              </a:extLst>
            </xdr:cNvPr>
            <xdr:cNvSpPr txBox="1"/>
          </xdr:nvSpPr>
          <xdr:spPr>
            <a:xfrm>
              <a:off x="898713" y="616228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5368A565-D737-4D23-B298-6FF1BCCC11AC}"/>
                </a:ext>
              </a:extLst>
            </xdr:cNvPr>
            <xdr:cNvSpPr txBox="1"/>
          </xdr:nvSpPr>
          <xdr:spPr>
            <a:xfrm>
              <a:off x="898713" y="616228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𝐻0:𝐵_4=0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378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191DACDA-C625-4EDA-A12B-ACC645227797}"/>
                </a:ext>
              </a:extLst>
            </xdr:cNvPr>
            <xdr:cNvSpPr txBox="1"/>
          </xdr:nvSpPr>
          <xdr:spPr>
            <a:xfrm>
              <a:off x="909917" y="619690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191DACDA-C625-4EDA-A12B-ACC645227797}"/>
                </a:ext>
              </a:extLst>
            </xdr:cNvPr>
            <xdr:cNvSpPr txBox="1"/>
          </xdr:nvSpPr>
          <xdr:spPr>
            <a:xfrm>
              <a:off x="909917" y="619690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𝐻1:𝐵_4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381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DCFC340-D761-4272-8F31-EC782CD4F085}"/>
                </a:ext>
              </a:extLst>
            </xdr:cNvPr>
            <xdr:cNvSpPr txBox="1"/>
          </xdr:nvSpPr>
          <xdr:spPr>
            <a:xfrm>
              <a:off x="1134036" y="624660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DCFC340-D761-4272-8F31-EC782CD4F085}"/>
                </a:ext>
              </a:extLst>
            </xdr:cNvPr>
            <xdr:cNvSpPr txBox="1"/>
          </xdr:nvSpPr>
          <xdr:spPr>
            <a:xfrm>
              <a:off x="1134036" y="624660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376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9B39BE05-A189-498F-ADC7-4D6462D05A30}"/>
                </a:ext>
              </a:extLst>
            </xdr:cNvPr>
            <xdr:cNvSpPr txBox="1"/>
          </xdr:nvSpPr>
          <xdr:spPr>
            <a:xfrm>
              <a:off x="2626658" y="616138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4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44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9B39BE05-A189-498F-ADC7-4D6462D05A30}"/>
                </a:ext>
              </a:extLst>
            </xdr:cNvPr>
            <xdr:cNvSpPr txBox="1"/>
          </xdr:nvSpPr>
          <xdr:spPr>
            <a:xfrm>
              <a:off x="2626658" y="616138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𝛽_4 )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2∗𝐶_44 )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378</xdr:row>
      <xdr:rowOff>145675</xdr:rowOff>
    </xdr:from>
    <xdr:ext cx="288477" cy="172227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7C98E6B0-15A6-48F0-8E4B-7FDA0A572065}"/>
            </a:ext>
          </a:extLst>
        </xdr:cNvPr>
        <xdr:cNvSpPr txBox="1"/>
      </xdr:nvSpPr>
      <xdr:spPr>
        <a:xfrm>
          <a:off x="5924550" y="619915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C44=</a:t>
          </a:r>
        </a:p>
      </xdr:txBody>
    </xdr:sp>
    <xdr:clientData/>
  </xdr:oneCellAnchor>
  <xdr:oneCellAnchor>
    <xdr:from>
      <xdr:col>1</xdr:col>
      <xdr:colOff>212913</xdr:colOff>
      <xdr:row>394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D3D0B1EB-FA79-4951-9A94-2F2AC6044E1A}"/>
                </a:ext>
              </a:extLst>
            </xdr:cNvPr>
            <xdr:cNvSpPr txBox="1"/>
          </xdr:nvSpPr>
          <xdr:spPr>
            <a:xfrm>
              <a:off x="898713" y="645565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D3D0B1EB-FA79-4951-9A94-2F2AC6044E1A}"/>
                </a:ext>
              </a:extLst>
            </xdr:cNvPr>
            <xdr:cNvSpPr txBox="1"/>
          </xdr:nvSpPr>
          <xdr:spPr>
            <a:xfrm>
              <a:off x="898713" y="645565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𝐻0:𝐵_5=0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396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E71CB3CF-3821-4C05-B843-F00E247528F9}"/>
                </a:ext>
              </a:extLst>
            </xdr:cNvPr>
            <xdr:cNvSpPr txBox="1"/>
          </xdr:nvSpPr>
          <xdr:spPr>
            <a:xfrm>
              <a:off x="909917" y="649027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E71CB3CF-3821-4C05-B843-F00E247528F9}"/>
                </a:ext>
              </a:extLst>
            </xdr:cNvPr>
            <xdr:cNvSpPr txBox="1"/>
          </xdr:nvSpPr>
          <xdr:spPr>
            <a:xfrm>
              <a:off x="909917" y="649027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𝐻1:𝐵_5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399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927F599C-8A74-4918-9A18-8EA90EB4B8DC}"/>
                </a:ext>
              </a:extLst>
            </xdr:cNvPr>
            <xdr:cNvSpPr txBox="1"/>
          </xdr:nvSpPr>
          <xdr:spPr>
            <a:xfrm>
              <a:off x="1134036" y="653997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927F599C-8A74-4918-9A18-8EA90EB4B8DC}"/>
                </a:ext>
              </a:extLst>
            </xdr:cNvPr>
            <xdr:cNvSpPr txBox="1"/>
          </xdr:nvSpPr>
          <xdr:spPr>
            <a:xfrm>
              <a:off x="1134036" y="653997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394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4CF26935-2901-4574-B97D-DB22BAF93FEB}"/>
                </a:ext>
              </a:extLst>
            </xdr:cNvPr>
            <xdr:cNvSpPr txBox="1"/>
          </xdr:nvSpPr>
          <xdr:spPr>
            <a:xfrm>
              <a:off x="2626658" y="645475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5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55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4CF26935-2901-4574-B97D-DB22BAF93FEB}"/>
                </a:ext>
              </a:extLst>
            </xdr:cNvPr>
            <xdr:cNvSpPr txBox="1"/>
          </xdr:nvSpPr>
          <xdr:spPr>
            <a:xfrm>
              <a:off x="2626658" y="645475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𝛽_5 )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2∗𝐶_55 )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396</xdr:row>
      <xdr:rowOff>145675</xdr:rowOff>
    </xdr:from>
    <xdr:ext cx="288477" cy="172227"/>
    <xdr:sp macro="" textlink="">
      <xdr:nvSpPr>
        <xdr:cNvPr id="109" name="CaixaDeTexto 108">
          <a:extLst>
            <a:ext uri="{FF2B5EF4-FFF2-40B4-BE49-F238E27FC236}">
              <a16:creationId xmlns:a16="http://schemas.microsoft.com/office/drawing/2014/main" id="{D2A16BE1-8C65-4256-BDE1-5A60C09B48A8}"/>
            </a:ext>
          </a:extLst>
        </xdr:cNvPr>
        <xdr:cNvSpPr txBox="1"/>
      </xdr:nvSpPr>
      <xdr:spPr>
        <a:xfrm>
          <a:off x="5924550" y="649252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C55=</a:t>
          </a:r>
        </a:p>
      </xdr:txBody>
    </xdr:sp>
    <xdr:clientData/>
  </xdr:oneCellAnchor>
  <xdr:oneCellAnchor>
    <xdr:from>
      <xdr:col>1</xdr:col>
      <xdr:colOff>212913</xdr:colOff>
      <xdr:row>412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4175D94F-51FD-45AD-B0F9-570C4EA5EC32}"/>
                </a:ext>
              </a:extLst>
            </xdr:cNvPr>
            <xdr:cNvSpPr txBox="1"/>
          </xdr:nvSpPr>
          <xdr:spPr>
            <a:xfrm>
              <a:off x="898713" y="674902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4175D94F-51FD-45AD-B0F9-570C4EA5EC32}"/>
                </a:ext>
              </a:extLst>
            </xdr:cNvPr>
            <xdr:cNvSpPr txBox="1"/>
          </xdr:nvSpPr>
          <xdr:spPr>
            <a:xfrm>
              <a:off x="898713" y="674902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𝐻0:𝐵_6=0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414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52A5E007-B684-473B-9CA1-2D1BF2FB8A5C}"/>
                </a:ext>
              </a:extLst>
            </xdr:cNvPr>
            <xdr:cNvSpPr txBox="1"/>
          </xdr:nvSpPr>
          <xdr:spPr>
            <a:xfrm>
              <a:off x="909917" y="678364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52A5E007-B684-473B-9CA1-2D1BF2FB8A5C}"/>
                </a:ext>
              </a:extLst>
            </xdr:cNvPr>
            <xdr:cNvSpPr txBox="1"/>
          </xdr:nvSpPr>
          <xdr:spPr>
            <a:xfrm>
              <a:off x="909917" y="678364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𝐻1:𝐵_6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417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3E81FE50-BADD-4738-9807-3E707DAD65FC}"/>
                </a:ext>
              </a:extLst>
            </xdr:cNvPr>
            <xdr:cNvSpPr txBox="1"/>
          </xdr:nvSpPr>
          <xdr:spPr>
            <a:xfrm>
              <a:off x="1134036" y="683334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3E81FE50-BADD-4738-9807-3E707DAD65FC}"/>
                </a:ext>
              </a:extLst>
            </xdr:cNvPr>
            <xdr:cNvSpPr txBox="1"/>
          </xdr:nvSpPr>
          <xdr:spPr>
            <a:xfrm>
              <a:off x="1134036" y="683334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412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E458BFCB-0A25-4B0D-B251-D1465487EEFE}"/>
                </a:ext>
              </a:extLst>
            </xdr:cNvPr>
            <xdr:cNvSpPr txBox="1"/>
          </xdr:nvSpPr>
          <xdr:spPr>
            <a:xfrm>
              <a:off x="2626658" y="674812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6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66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E458BFCB-0A25-4B0D-B251-D1465487EEFE}"/>
                </a:ext>
              </a:extLst>
            </xdr:cNvPr>
            <xdr:cNvSpPr txBox="1"/>
          </xdr:nvSpPr>
          <xdr:spPr>
            <a:xfrm>
              <a:off x="2626658" y="674812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𝛽_6 )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2∗𝐶_66 )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414</xdr:row>
      <xdr:rowOff>145675</xdr:rowOff>
    </xdr:from>
    <xdr:ext cx="288477" cy="172227"/>
    <xdr:sp macro="" textlink="">
      <xdr:nvSpPr>
        <xdr:cNvPr id="115" name="CaixaDeTexto 114">
          <a:extLst>
            <a:ext uri="{FF2B5EF4-FFF2-40B4-BE49-F238E27FC236}">
              <a16:creationId xmlns:a16="http://schemas.microsoft.com/office/drawing/2014/main" id="{1F3184FB-D783-4AE5-9EE2-37B7DD936AEA}"/>
            </a:ext>
          </a:extLst>
        </xdr:cNvPr>
        <xdr:cNvSpPr txBox="1"/>
      </xdr:nvSpPr>
      <xdr:spPr>
        <a:xfrm>
          <a:off x="5924550" y="678589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C66=</a:t>
          </a:r>
        </a:p>
      </xdr:txBody>
    </xdr:sp>
    <xdr:clientData/>
  </xdr:oneCellAnchor>
  <xdr:twoCellAnchor editAs="oneCell">
    <xdr:from>
      <xdr:col>25</xdr:col>
      <xdr:colOff>387962</xdr:colOff>
      <xdr:row>277</xdr:row>
      <xdr:rowOff>62312</xdr:rowOff>
    </xdr:from>
    <xdr:to>
      <xdr:col>34</xdr:col>
      <xdr:colOff>73981</xdr:colOff>
      <xdr:row>280</xdr:row>
      <xdr:rowOff>98427</xdr:rowOff>
    </xdr:to>
    <xdr:pic>
      <xdr:nvPicPr>
        <xdr:cNvPr id="117" name="Imagem 116">
          <a:extLst>
            <a:ext uri="{FF2B5EF4-FFF2-40B4-BE49-F238E27FC236}">
              <a16:creationId xmlns:a16="http://schemas.microsoft.com/office/drawing/2014/main" id="{EF784E14-4A1E-46DA-8F28-A023EFEBB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81112" y="45372737"/>
          <a:ext cx="5801069" cy="521890"/>
        </a:xfrm>
        <a:prstGeom prst="rect">
          <a:avLst/>
        </a:prstGeom>
      </xdr:spPr>
    </xdr:pic>
    <xdr:clientData/>
  </xdr:twoCellAnchor>
  <xdr:twoCellAnchor editAs="oneCell">
    <xdr:from>
      <xdr:col>25</xdr:col>
      <xdr:colOff>419711</xdr:colOff>
      <xdr:row>291</xdr:row>
      <xdr:rowOff>105776</xdr:rowOff>
    </xdr:from>
    <xdr:to>
      <xdr:col>34</xdr:col>
      <xdr:colOff>164472</xdr:colOff>
      <xdr:row>294</xdr:row>
      <xdr:rowOff>92393</xdr:rowOff>
    </xdr:to>
    <xdr:pic>
      <xdr:nvPicPr>
        <xdr:cNvPr id="118" name="Imagem 117">
          <a:extLst>
            <a:ext uri="{FF2B5EF4-FFF2-40B4-BE49-F238E27FC236}">
              <a16:creationId xmlns:a16="http://schemas.microsoft.com/office/drawing/2014/main" id="{C6E26088-9634-4BF0-B195-BA793DE07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812861" y="47787926"/>
          <a:ext cx="5859811" cy="472392"/>
        </a:xfrm>
        <a:prstGeom prst="rect">
          <a:avLst/>
        </a:prstGeom>
      </xdr:spPr>
    </xdr:pic>
    <xdr:clientData/>
  </xdr:twoCellAnchor>
  <xdr:twoCellAnchor editAs="oneCell">
    <xdr:from>
      <xdr:col>26</xdr:col>
      <xdr:colOff>776092</xdr:colOff>
      <xdr:row>299</xdr:row>
      <xdr:rowOff>60783</xdr:rowOff>
    </xdr:from>
    <xdr:to>
      <xdr:col>35</xdr:col>
      <xdr:colOff>350352</xdr:colOff>
      <xdr:row>314</xdr:row>
      <xdr:rowOff>84947</xdr:rowOff>
    </xdr:to>
    <xdr:pic>
      <xdr:nvPicPr>
        <xdr:cNvPr id="119" name="Imagem 118">
          <a:extLst>
            <a:ext uri="{FF2B5EF4-FFF2-40B4-BE49-F238E27FC236}">
              <a16:creationId xmlns:a16="http://schemas.microsoft.com/office/drawing/2014/main" id="{928D02D0-A10E-4F8D-A28A-497B00AFA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8392" y="49038333"/>
          <a:ext cx="5479760" cy="2510189"/>
        </a:xfrm>
        <a:prstGeom prst="rect">
          <a:avLst/>
        </a:prstGeom>
      </xdr:spPr>
    </xdr:pic>
    <xdr:clientData/>
  </xdr:twoCellAnchor>
  <xdr:oneCellAnchor>
    <xdr:from>
      <xdr:col>16</xdr:col>
      <xdr:colOff>736227</xdr:colOff>
      <xdr:row>207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5C26A52-13B8-4CE6-838D-F4F2F4240BBB}"/>
                </a:ext>
              </a:extLst>
            </xdr:cNvPr>
            <xdr:cNvSpPr txBox="1"/>
          </xdr:nvSpPr>
          <xdr:spPr>
            <a:xfrm>
              <a:off x="14366502" y="338350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5C26A52-13B8-4CE6-838D-F4F2F4240BBB}"/>
                </a:ext>
              </a:extLst>
            </xdr:cNvPr>
            <xdr:cNvSpPr txBox="1"/>
          </xdr:nvSpPr>
          <xdr:spPr>
            <a:xfrm>
              <a:off x="14366502" y="338350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661147</xdr:colOff>
      <xdr:row>208</xdr:row>
      <xdr:rowOff>145675</xdr:rowOff>
    </xdr:from>
    <xdr:ext cx="288477" cy="172227"/>
    <xdr:sp macro="" textlink="">
      <xdr:nvSpPr>
        <xdr:cNvPr id="122" name="CaixaDeTexto 121">
          <a:extLst>
            <a:ext uri="{FF2B5EF4-FFF2-40B4-BE49-F238E27FC236}">
              <a16:creationId xmlns:a16="http://schemas.microsoft.com/office/drawing/2014/main" id="{83F4C70A-4D20-4443-A04D-9EE416FB0469}"/>
            </a:ext>
          </a:extLst>
        </xdr:cNvPr>
        <xdr:cNvSpPr txBox="1"/>
      </xdr:nvSpPr>
      <xdr:spPr>
        <a:xfrm>
          <a:off x="14291422" y="341404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16</xdr:col>
      <xdr:colOff>736227</xdr:colOff>
      <xdr:row>217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FE02F190-3BE5-40B7-8712-730CA33BEFFB}"/>
                </a:ext>
              </a:extLst>
            </xdr:cNvPr>
            <xdr:cNvSpPr txBox="1"/>
          </xdr:nvSpPr>
          <xdr:spPr>
            <a:xfrm>
              <a:off x="14366502" y="354733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FE02F190-3BE5-40B7-8712-730CA33BEFFB}"/>
                </a:ext>
              </a:extLst>
            </xdr:cNvPr>
            <xdr:cNvSpPr txBox="1"/>
          </xdr:nvSpPr>
          <xdr:spPr>
            <a:xfrm>
              <a:off x="14366502" y="354733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661147</xdr:colOff>
      <xdr:row>218</xdr:row>
      <xdr:rowOff>145675</xdr:rowOff>
    </xdr:from>
    <xdr:ext cx="288477" cy="172227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51940D7B-047D-4C10-BD18-C790B53E619D}"/>
            </a:ext>
          </a:extLst>
        </xdr:cNvPr>
        <xdr:cNvSpPr txBox="1"/>
      </xdr:nvSpPr>
      <xdr:spPr>
        <a:xfrm>
          <a:off x="14291422" y="357787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16</xdr:col>
      <xdr:colOff>736227</xdr:colOff>
      <xdr:row>227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764407E7-9857-405D-95F2-CB0B3CBBF4C8}"/>
                </a:ext>
              </a:extLst>
            </xdr:cNvPr>
            <xdr:cNvSpPr txBox="1"/>
          </xdr:nvSpPr>
          <xdr:spPr>
            <a:xfrm>
              <a:off x="14366502" y="371116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764407E7-9857-405D-95F2-CB0B3CBBF4C8}"/>
                </a:ext>
              </a:extLst>
            </xdr:cNvPr>
            <xdr:cNvSpPr txBox="1"/>
          </xdr:nvSpPr>
          <xdr:spPr>
            <a:xfrm>
              <a:off x="14366502" y="371116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661147</xdr:colOff>
      <xdr:row>228</xdr:row>
      <xdr:rowOff>145675</xdr:rowOff>
    </xdr:from>
    <xdr:ext cx="288477" cy="172227"/>
    <xdr:sp macro="" textlink="">
      <xdr:nvSpPr>
        <xdr:cNvPr id="128" name="CaixaDeTexto 127">
          <a:extLst>
            <a:ext uri="{FF2B5EF4-FFF2-40B4-BE49-F238E27FC236}">
              <a16:creationId xmlns:a16="http://schemas.microsoft.com/office/drawing/2014/main" id="{01186329-C3DA-4108-9130-BB6C4BC5866A}"/>
            </a:ext>
          </a:extLst>
        </xdr:cNvPr>
        <xdr:cNvSpPr txBox="1"/>
      </xdr:nvSpPr>
      <xdr:spPr>
        <a:xfrm>
          <a:off x="14291422" y="374170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16</xdr:col>
      <xdr:colOff>736227</xdr:colOff>
      <xdr:row>237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C5EFFCC0-BFBA-4CC7-9203-1124F2E00663}"/>
                </a:ext>
              </a:extLst>
            </xdr:cNvPr>
            <xdr:cNvSpPr txBox="1"/>
          </xdr:nvSpPr>
          <xdr:spPr>
            <a:xfrm>
              <a:off x="14366502" y="387499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C5EFFCC0-BFBA-4CC7-9203-1124F2E00663}"/>
                </a:ext>
              </a:extLst>
            </xdr:cNvPr>
            <xdr:cNvSpPr txBox="1"/>
          </xdr:nvSpPr>
          <xdr:spPr>
            <a:xfrm>
              <a:off x="14366502" y="387499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661147</xdr:colOff>
      <xdr:row>238</xdr:row>
      <xdr:rowOff>145675</xdr:rowOff>
    </xdr:from>
    <xdr:ext cx="288477" cy="172227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035E687B-2B49-4B95-AE65-2FB73B904357}"/>
            </a:ext>
          </a:extLst>
        </xdr:cNvPr>
        <xdr:cNvSpPr txBox="1"/>
      </xdr:nvSpPr>
      <xdr:spPr>
        <a:xfrm>
          <a:off x="14291422" y="390553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16</xdr:col>
      <xdr:colOff>736227</xdr:colOff>
      <xdr:row>247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AC67AE82-1B56-4D4C-A4D4-8F49EEEED18D}"/>
                </a:ext>
              </a:extLst>
            </xdr:cNvPr>
            <xdr:cNvSpPr txBox="1"/>
          </xdr:nvSpPr>
          <xdr:spPr>
            <a:xfrm>
              <a:off x="14366502" y="403882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AC67AE82-1B56-4D4C-A4D4-8F49EEEED18D}"/>
                </a:ext>
              </a:extLst>
            </xdr:cNvPr>
            <xdr:cNvSpPr txBox="1"/>
          </xdr:nvSpPr>
          <xdr:spPr>
            <a:xfrm>
              <a:off x="14366502" y="403882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661147</xdr:colOff>
      <xdr:row>248</xdr:row>
      <xdr:rowOff>145675</xdr:rowOff>
    </xdr:from>
    <xdr:ext cx="288477" cy="172227"/>
    <xdr:sp macro="" textlink="">
      <xdr:nvSpPr>
        <xdr:cNvPr id="134" name="CaixaDeTexto 133">
          <a:extLst>
            <a:ext uri="{FF2B5EF4-FFF2-40B4-BE49-F238E27FC236}">
              <a16:creationId xmlns:a16="http://schemas.microsoft.com/office/drawing/2014/main" id="{5D0389F0-D342-400F-802E-21217FA4ACDE}"/>
            </a:ext>
          </a:extLst>
        </xdr:cNvPr>
        <xdr:cNvSpPr txBox="1"/>
      </xdr:nvSpPr>
      <xdr:spPr>
        <a:xfrm>
          <a:off x="14291422" y="406936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C44=</a:t>
          </a:r>
        </a:p>
      </xdr:txBody>
    </xdr:sp>
    <xdr:clientData/>
  </xdr:oneCellAnchor>
  <xdr:oneCellAnchor>
    <xdr:from>
      <xdr:col>16</xdr:col>
      <xdr:colOff>736227</xdr:colOff>
      <xdr:row>257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9C053181-2BDA-4606-A555-4112281AE626}"/>
                </a:ext>
              </a:extLst>
            </xdr:cNvPr>
            <xdr:cNvSpPr txBox="1"/>
          </xdr:nvSpPr>
          <xdr:spPr>
            <a:xfrm>
              <a:off x="14366502" y="420265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9C053181-2BDA-4606-A555-4112281AE626}"/>
                </a:ext>
              </a:extLst>
            </xdr:cNvPr>
            <xdr:cNvSpPr txBox="1"/>
          </xdr:nvSpPr>
          <xdr:spPr>
            <a:xfrm>
              <a:off x="14366502" y="420265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661147</xdr:colOff>
      <xdr:row>258</xdr:row>
      <xdr:rowOff>145675</xdr:rowOff>
    </xdr:from>
    <xdr:ext cx="288477" cy="172227"/>
    <xdr:sp macro="" textlink="">
      <xdr:nvSpPr>
        <xdr:cNvPr id="137" name="CaixaDeTexto 136">
          <a:extLst>
            <a:ext uri="{FF2B5EF4-FFF2-40B4-BE49-F238E27FC236}">
              <a16:creationId xmlns:a16="http://schemas.microsoft.com/office/drawing/2014/main" id="{366C92C5-7072-4672-887D-441276379CD7}"/>
            </a:ext>
          </a:extLst>
        </xdr:cNvPr>
        <xdr:cNvSpPr txBox="1"/>
      </xdr:nvSpPr>
      <xdr:spPr>
        <a:xfrm>
          <a:off x="14291422" y="423319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C55=</a:t>
          </a:r>
        </a:p>
      </xdr:txBody>
    </xdr:sp>
    <xdr:clientData/>
  </xdr:oneCellAnchor>
  <xdr:oneCellAnchor>
    <xdr:from>
      <xdr:col>16</xdr:col>
      <xdr:colOff>736227</xdr:colOff>
      <xdr:row>267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EDE7E615-556A-4E3B-AE50-14C47C9531A8}"/>
                </a:ext>
              </a:extLst>
            </xdr:cNvPr>
            <xdr:cNvSpPr txBox="1"/>
          </xdr:nvSpPr>
          <xdr:spPr>
            <a:xfrm>
              <a:off x="14366502" y="436648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EDE7E615-556A-4E3B-AE50-14C47C9531A8}"/>
                </a:ext>
              </a:extLst>
            </xdr:cNvPr>
            <xdr:cNvSpPr txBox="1"/>
          </xdr:nvSpPr>
          <xdr:spPr>
            <a:xfrm>
              <a:off x="14366502" y="436648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661147</xdr:colOff>
      <xdr:row>268</xdr:row>
      <xdr:rowOff>145675</xdr:rowOff>
    </xdr:from>
    <xdr:ext cx="288477" cy="172227"/>
    <xdr:sp macro="" textlink="">
      <xdr:nvSpPr>
        <xdr:cNvPr id="140" name="CaixaDeTexto 139">
          <a:extLst>
            <a:ext uri="{FF2B5EF4-FFF2-40B4-BE49-F238E27FC236}">
              <a16:creationId xmlns:a16="http://schemas.microsoft.com/office/drawing/2014/main" id="{BE727FE3-3BCC-4DFD-A27D-1126B9F84332}"/>
            </a:ext>
          </a:extLst>
        </xdr:cNvPr>
        <xdr:cNvSpPr txBox="1"/>
      </xdr:nvSpPr>
      <xdr:spPr>
        <a:xfrm>
          <a:off x="14291422" y="439702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C66=</a:t>
          </a:r>
        </a:p>
      </xdr:txBody>
    </xdr:sp>
    <xdr:clientData/>
  </xdr:oneCellAnchor>
  <xdr:oneCellAnchor>
    <xdr:from>
      <xdr:col>15</xdr:col>
      <xdr:colOff>456079</xdr:colOff>
      <xdr:row>279</xdr:row>
      <xdr:rowOff>2241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B3B36574-8426-4DCA-8EFA-6DB731CE87BD}"/>
                </a:ext>
              </a:extLst>
            </xdr:cNvPr>
            <xdr:cNvSpPr txBox="1"/>
          </xdr:nvSpPr>
          <xdr:spPr>
            <a:xfrm>
              <a:off x="13210054" y="45636516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B3B36574-8426-4DCA-8EFA-6DB731CE87BD}"/>
                </a:ext>
              </a:extLst>
            </xdr:cNvPr>
            <xdr:cNvSpPr txBox="1"/>
          </xdr:nvSpPr>
          <xdr:spPr>
            <a:xfrm>
              <a:off x="13210054" y="45636516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15</xdr:col>
      <xdr:colOff>672352</xdr:colOff>
      <xdr:row>280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918E6560-F19D-4CBE-BBD9-F183D9A49C8D}"/>
                </a:ext>
              </a:extLst>
            </xdr:cNvPr>
            <xdr:cNvSpPr txBox="1"/>
          </xdr:nvSpPr>
          <xdr:spPr>
            <a:xfrm>
              <a:off x="13426327" y="4593066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918E6560-F19D-4CBE-BBD9-F183D9A49C8D}"/>
                </a:ext>
              </a:extLst>
            </xdr:cNvPr>
            <xdr:cNvSpPr txBox="1"/>
          </xdr:nvSpPr>
          <xdr:spPr>
            <a:xfrm>
              <a:off x="13426327" y="4593066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15</xdr:col>
      <xdr:colOff>694764</xdr:colOff>
      <xdr:row>284</xdr:row>
      <xdr:rowOff>134471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0169BD58-8B32-41A8-B586-185C98E5A626}"/>
                </a:ext>
              </a:extLst>
            </xdr:cNvPr>
            <xdr:cNvSpPr txBox="1"/>
          </xdr:nvSpPr>
          <xdr:spPr>
            <a:xfrm>
              <a:off x="13448739" y="46578371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0169BD58-8B32-41A8-B586-185C98E5A626}"/>
                </a:ext>
              </a:extLst>
            </xdr:cNvPr>
            <xdr:cNvSpPr txBox="1"/>
          </xdr:nvSpPr>
          <xdr:spPr>
            <a:xfrm>
              <a:off x="13448739" y="46578371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23</xdr:col>
      <xdr:colOff>616324</xdr:colOff>
      <xdr:row>274</xdr:row>
      <xdr:rowOff>168087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C786EEC-E59B-4B2A-AEE0-E2C164DEFCF0}"/>
                </a:ext>
              </a:extLst>
            </xdr:cNvPr>
            <xdr:cNvSpPr txBox="1"/>
          </xdr:nvSpPr>
          <xdr:spPr>
            <a:xfrm>
              <a:off x="20199724" y="4497368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C786EEC-E59B-4B2A-AEE0-E2C164DEFCF0}"/>
                </a:ext>
              </a:extLst>
            </xdr:cNvPr>
            <xdr:cNvSpPr txBox="1"/>
          </xdr:nvSpPr>
          <xdr:spPr>
            <a:xfrm>
              <a:off x="20199724" y="4497368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0</xdr:colOff>
      <xdr:row>283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CC52EB63-A20F-4053-9FC7-842687F08AF8}"/>
                </a:ext>
              </a:extLst>
            </xdr:cNvPr>
            <xdr:cNvSpPr txBox="1"/>
          </xdr:nvSpPr>
          <xdr:spPr>
            <a:xfrm>
              <a:off x="13630275" y="4628197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CC52EB63-A20F-4053-9FC7-842687F08AF8}"/>
                </a:ext>
              </a:extLst>
            </xdr:cNvPr>
            <xdr:cNvSpPr txBox="1"/>
          </xdr:nvSpPr>
          <xdr:spPr>
            <a:xfrm>
              <a:off x="13630275" y="4628197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23</xdr:col>
      <xdr:colOff>347382</xdr:colOff>
      <xdr:row>278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389C79C1-1E1C-43E0-97C6-2676082C848A}"/>
                </a:ext>
              </a:extLst>
            </xdr:cNvPr>
            <xdr:cNvSpPr txBox="1"/>
          </xdr:nvSpPr>
          <xdr:spPr>
            <a:xfrm>
              <a:off x="19930782" y="4559561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389C79C1-1E1C-43E0-97C6-2676082C848A}"/>
                </a:ext>
              </a:extLst>
            </xdr:cNvPr>
            <xdr:cNvSpPr txBox="1"/>
          </xdr:nvSpPr>
          <xdr:spPr>
            <a:xfrm>
              <a:off x="19930782" y="4559561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15</xdr:col>
      <xdr:colOff>299197</xdr:colOff>
      <xdr:row>293</xdr:row>
      <xdr:rowOff>2242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E44F15-1802-4ACA-9D72-29235C44F878}"/>
                </a:ext>
              </a:extLst>
            </xdr:cNvPr>
            <xdr:cNvSpPr txBox="1"/>
          </xdr:nvSpPr>
          <xdr:spPr>
            <a:xfrm>
              <a:off x="13053172" y="48008242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E44F15-1802-4ACA-9D72-29235C44F878}"/>
                </a:ext>
              </a:extLst>
            </xdr:cNvPr>
            <xdr:cNvSpPr txBox="1"/>
          </xdr:nvSpPr>
          <xdr:spPr>
            <a:xfrm>
              <a:off x="13053172" y="48008242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15</xdr:col>
      <xdr:colOff>672352</xdr:colOff>
      <xdr:row>294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950E4C98-9C3E-43F5-A95A-5749DA34C7F8}"/>
                </a:ext>
              </a:extLst>
            </xdr:cNvPr>
            <xdr:cNvSpPr txBox="1"/>
          </xdr:nvSpPr>
          <xdr:spPr>
            <a:xfrm>
              <a:off x="13426327" y="4830239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950E4C98-9C3E-43F5-A95A-5749DA34C7F8}"/>
                </a:ext>
              </a:extLst>
            </xdr:cNvPr>
            <xdr:cNvSpPr txBox="1"/>
          </xdr:nvSpPr>
          <xdr:spPr>
            <a:xfrm>
              <a:off x="13426327" y="4830239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15</xdr:col>
      <xdr:colOff>369794</xdr:colOff>
      <xdr:row>299</xdr:row>
      <xdr:rowOff>11206</xdr:rowOff>
    </xdr:from>
    <xdr:ext cx="1389529" cy="235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925A4C57-571E-45FA-A038-0633BDA879D0}"/>
                </a:ext>
              </a:extLst>
            </xdr:cNvPr>
            <xdr:cNvSpPr txBox="1"/>
          </xdr:nvSpPr>
          <xdr:spPr>
            <a:xfrm>
              <a:off x="13123769" y="48988756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∗(1+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0)=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925A4C57-571E-45FA-A038-0633BDA879D0}"/>
                </a:ext>
              </a:extLst>
            </xdr:cNvPr>
            <xdr:cNvSpPr txBox="1"/>
          </xdr:nvSpPr>
          <xdr:spPr>
            <a:xfrm>
              <a:off x="13123769" y="48988756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2∗(1+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23</xdr:col>
      <xdr:colOff>302560</xdr:colOff>
      <xdr:row>288</xdr:row>
      <xdr:rowOff>156881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4382DA4E-CF27-4CD5-ABE0-AFDF6BC5C39C}"/>
                </a:ext>
              </a:extLst>
            </xdr:cNvPr>
            <xdr:cNvSpPr txBox="1"/>
          </xdr:nvSpPr>
          <xdr:spPr>
            <a:xfrm>
              <a:off x="19885960" y="4733420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4382DA4E-CF27-4CD5-ABE0-AFDF6BC5C39C}"/>
                </a:ext>
              </a:extLst>
            </xdr:cNvPr>
            <xdr:cNvSpPr txBox="1"/>
          </xdr:nvSpPr>
          <xdr:spPr>
            <a:xfrm>
              <a:off x="19885960" y="4733420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0</xdr:colOff>
      <xdr:row>297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EE1ACF77-0173-41DB-89AF-73A280CC3109}"/>
                </a:ext>
              </a:extLst>
            </xdr:cNvPr>
            <xdr:cNvSpPr txBox="1"/>
          </xdr:nvSpPr>
          <xdr:spPr>
            <a:xfrm>
              <a:off x="13630275" y="4865370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EE1ACF77-0173-41DB-89AF-73A280CC3109}"/>
                </a:ext>
              </a:extLst>
            </xdr:cNvPr>
            <xdr:cNvSpPr txBox="1"/>
          </xdr:nvSpPr>
          <xdr:spPr>
            <a:xfrm>
              <a:off x="13630275" y="4865370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23</xdr:col>
      <xdr:colOff>358588</xdr:colOff>
      <xdr:row>292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7C7DCED6-DA0E-44E8-A0A2-6A6BB2E4336F}"/>
                </a:ext>
              </a:extLst>
            </xdr:cNvPr>
            <xdr:cNvSpPr txBox="1"/>
          </xdr:nvSpPr>
          <xdr:spPr>
            <a:xfrm>
              <a:off x="19941988" y="4796733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7C7DCED6-DA0E-44E8-A0A2-6A6BB2E4336F}"/>
                </a:ext>
              </a:extLst>
            </xdr:cNvPr>
            <xdr:cNvSpPr txBox="1"/>
          </xdr:nvSpPr>
          <xdr:spPr>
            <a:xfrm>
              <a:off x="19941988" y="4796733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15</xdr:col>
      <xdr:colOff>212913</xdr:colOff>
      <xdr:row>304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F54D639C-F735-4C1C-8BFA-036520D054B4}"/>
                </a:ext>
              </a:extLst>
            </xdr:cNvPr>
            <xdr:cNvSpPr txBox="1"/>
          </xdr:nvSpPr>
          <xdr:spPr>
            <a:xfrm>
              <a:off x="12966888" y="499928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F54D639C-F735-4C1C-8BFA-036520D054B4}"/>
                </a:ext>
              </a:extLst>
            </xdr:cNvPr>
            <xdr:cNvSpPr txBox="1"/>
          </xdr:nvSpPr>
          <xdr:spPr>
            <a:xfrm>
              <a:off x="12966888" y="499928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𝐻0:𝐵_0=0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224117</xdr:colOff>
      <xdr:row>306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CD8EE971-7559-479B-A0C3-0C4EC42E1E8F}"/>
                </a:ext>
              </a:extLst>
            </xdr:cNvPr>
            <xdr:cNvSpPr txBox="1"/>
          </xdr:nvSpPr>
          <xdr:spPr>
            <a:xfrm>
              <a:off x="12978092" y="503390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CD8EE971-7559-479B-A0C3-0C4EC42E1E8F}"/>
                </a:ext>
              </a:extLst>
            </xdr:cNvPr>
            <xdr:cNvSpPr txBox="1"/>
          </xdr:nvSpPr>
          <xdr:spPr>
            <a:xfrm>
              <a:off x="12978092" y="503390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𝐻1:𝐵_0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448236</xdr:colOff>
      <xdr:row>309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C2277E13-827A-4971-94A6-69987714039C}"/>
                </a:ext>
              </a:extLst>
            </xdr:cNvPr>
            <xdr:cNvSpPr txBox="1"/>
          </xdr:nvSpPr>
          <xdr:spPr>
            <a:xfrm>
              <a:off x="13202211" y="508360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C2277E13-827A-4971-94A6-69987714039C}"/>
                </a:ext>
              </a:extLst>
            </xdr:cNvPr>
            <xdr:cNvSpPr txBox="1"/>
          </xdr:nvSpPr>
          <xdr:spPr>
            <a:xfrm>
              <a:off x="13202211" y="508360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17</xdr:col>
      <xdr:colOff>112058</xdr:colOff>
      <xdr:row>304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D479ECD5-C858-4DAC-A3CC-71D0BF59E41F}"/>
                </a:ext>
              </a:extLst>
            </xdr:cNvPr>
            <xdr:cNvSpPr txBox="1"/>
          </xdr:nvSpPr>
          <xdr:spPr>
            <a:xfrm>
              <a:off x="14628158" y="499838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00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D479ECD5-C858-4DAC-A3CC-71D0BF59E41F}"/>
                </a:ext>
              </a:extLst>
            </xdr:cNvPr>
            <xdr:cNvSpPr txBox="1"/>
          </xdr:nvSpPr>
          <xdr:spPr>
            <a:xfrm>
              <a:off x="14628158" y="499838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400" b="0" i="0">
                  <a:latin typeface="Cambria Math" panose="02040503050406030204" pitchFamily="18" charset="0"/>
                </a:rPr>
                <a:t>0 ) ̂/√(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400" b="0" i="0">
                  <a:latin typeface="Cambria Math" panose="02040503050406030204" pitchFamily="18" charset="0"/>
                </a:rPr>
                <a:t>2∗𝐶_00 )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571500</xdr:colOff>
      <xdr:row>306</xdr:row>
      <xdr:rowOff>145675</xdr:rowOff>
    </xdr:from>
    <xdr:ext cx="288477" cy="172227"/>
    <xdr:sp macro="" textlink="">
      <xdr:nvSpPr>
        <xdr:cNvPr id="159" name="CaixaDeTexto 158">
          <a:extLst>
            <a:ext uri="{FF2B5EF4-FFF2-40B4-BE49-F238E27FC236}">
              <a16:creationId xmlns:a16="http://schemas.microsoft.com/office/drawing/2014/main" id="{05F8A204-E1F2-4036-A3EC-CD8A5DB656D5}"/>
            </a:ext>
          </a:extLst>
        </xdr:cNvPr>
        <xdr:cNvSpPr txBox="1"/>
      </xdr:nvSpPr>
      <xdr:spPr>
        <a:xfrm>
          <a:off x="17697450" y="5036147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15</xdr:col>
      <xdr:colOff>212913</xdr:colOff>
      <xdr:row>322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8FE2807A-0170-4502-B9D9-63B9A620484C}"/>
                </a:ext>
              </a:extLst>
            </xdr:cNvPr>
            <xdr:cNvSpPr txBox="1"/>
          </xdr:nvSpPr>
          <xdr:spPr>
            <a:xfrm>
              <a:off x="12966888" y="529265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8FE2807A-0170-4502-B9D9-63B9A620484C}"/>
                </a:ext>
              </a:extLst>
            </xdr:cNvPr>
            <xdr:cNvSpPr txBox="1"/>
          </xdr:nvSpPr>
          <xdr:spPr>
            <a:xfrm>
              <a:off x="12966888" y="529265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𝐻0:𝐵_1=0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224117</xdr:colOff>
      <xdr:row>324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540DEE4A-EDCE-4466-9ECC-9904D1AC6948}"/>
                </a:ext>
              </a:extLst>
            </xdr:cNvPr>
            <xdr:cNvSpPr txBox="1"/>
          </xdr:nvSpPr>
          <xdr:spPr>
            <a:xfrm>
              <a:off x="12978092" y="532727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540DEE4A-EDCE-4466-9ECC-9904D1AC6948}"/>
                </a:ext>
              </a:extLst>
            </xdr:cNvPr>
            <xdr:cNvSpPr txBox="1"/>
          </xdr:nvSpPr>
          <xdr:spPr>
            <a:xfrm>
              <a:off x="12978092" y="532727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𝐻1:𝐵_1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448236</xdr:colOff>
      <xdr:row>327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0BBBAB18-316C-4B4F-930F-BA34971424FC}"/>
                </a:ext>
              </a:extLst>
            </xdr:cNvPr>
            <xdr:cNvSpPr txBox="1"/>
          </xdr:nvSpPr>
          <xdr:spPr>
            <a:xfrm>
              <a:off x="13202211" y="537697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0BBBAB18-316C-4B4F-930F-BA34971424FC}"/>
                </a:ext>
              </a:extLst>
            </xdr:cNvPr>
            <xdr:cNvSpPr txBox="1"/>
          </xdr:nvSpPr>
          <xdr:spPr>
            <a:xfrm>
              <a:off x="13202211" y="537697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17</xdr:col>
      <xdr:colOff>112058</xdr:colOff>
      <xdr:row>322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CB5D6B98-9FAE-47BD-9BE0-8780B3C423D8}"/>
                </a:ext>
              </a:extLst>
            </xdr:cNvPr>
            <xdr:cNvSpPr txBox="1"/>
          </xdr:nvSpPr>
          <xdr:spPr>
            <a:xfrm>
              <a:off x="14628158" y="529175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CB5D6B98-9FAE-47BD-9BE0-8780B3C423D8}"/>
                </a:ext>
              </a:extLst>
            </xdr:cNvPr>
            <xdr:cNvSpPr txBox="1"/>
          </xdr:nvSpPr>
          <xdr:spPr>
            <a:xfrm>
              <a:off x="14628158" y="529175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𝛽_1 )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2∗𝐶_11 )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571500</xdr:colOff>
      <xdr:row>324</xdr:row>
      <xdr:rowOff>145675</xdr:rowOff>
    </xdr:from>
    <xdr:ext cx="288477" cy="172227"/>
    <xdr:sp macro="" textlink="">
      <xdr:nvSpPr>
        <xdr:cNvPr id="165" name="CaixaDeTexto 164">
          <a:extLst>
            <a:ext uri="{FF2B5EF4-FFF2-40B4-BE49-F238E27FC236}">
              <a16:creationId xmlns:a16="http://schemas.microsoft.com/office/drawing/2014/main" id="{71C5EE39-BC3B-4C6D-B8B1-756224F358B3}"/>
            </a:ext>
          </a:extLst>
        </xdr:cNvPr>
        <xdr:cNvSpPr txBox="1"/>
      </xdr:nvSpPr>
      <xdr:spPr>
        <a:xfrm>
          <a:off x="17697450" y="5329517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15</xdr:col>
      <xdr:colOff>212913</xdr:colOff>
      <xdr:row>340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DBDCAF4B-174B-41D8-AD97-25F738B704FD}"/>
                </a:ext>
              </a:extLst>
            </xdr:cNvPr>
            <xdr:cNvSpPr txBox="1"/>
          </xdr:nvSpPr>
          <xdr:spPr>
            <a:xfrm>
              <a:off x="12966888" y="558602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DBDCAF4B-174B-41D8-AD97-25F738B704FD}"/>
                </a:ext>
              </a:extLst>
            </xdr:cNvPr>
            <xdr:cNvSpPr txBox="1"/>
          </xdr:nvSpPr>
          <xdr:spPr>
            <a:xfrm>
              <a:off x="12966888" y="558602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𝐻0:𝐵_2=0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224117</xdr:colOff>
      <xdr:row>342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DEE60772-33A8-4F44-8B11-ED030D6BA314}"/>
                </a:ext>
              </a:extLst>
            </xdr:cNvPr>
            <xdr:cNvSpPr txBox="1"/>
          </xdr:nvSpPr>
          <xdr:spPr>
            <a:xfrm>
              <a:off x="12978092" y="562064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DEE60772-33A8-4F44-8B11-ED030D6BA314}"/>
                </a:ext>
              </a:extLst>
            </xdr:cNvPr>
            <xdr:cNvSpPr txBox="1"/>
          </xdr:nvSpPr>
          <xdr:spPr>
            <a:xfrm>
              <a:off x="12978092" y="562064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𝐻1:𝐵_2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448236</xdr:colOff>
      <xdr:row>345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0326CFAB-9628-4A51-A9EB-71ACFC102F8C}"/>
                </a:ext>
              </a:extLst>
            </xdr:cNvPr>
            <xdr:cNvSpPr txBox="1"/>
          </xdr:nvSpPr>
          <xdr:spPr>
            <a:xfrm>
              <a:off x="13202211" y="567034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0326CFAB-9628-4A51-A9EB-71ACFC102F8C}"/>
                </a:ext>
              </a:extLst>
            </xdr:cNvPr>
            <xdr:cNvSpPr txBox="1"/>
          </xdr:nvSpPr>
          <xdr:spPr>
            <a:xfrm>
              <a:off x="13202211" y="567034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17</xdr:col>
      <xdr:colOff>112058</xdr:colOff>
      <xdr:row>340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90900F8E-CD17-4BA1-82C3-31CCBEC6C57D}"/>
                </a:ext>
              </a:extLst>
            </xdr:cNvPr>
            <xdr:cNvSpPr txBox="1"/>
          </xdr:nvSpPr>
          <xdr:spPr>
            <a:xfrm>
              <a:off x="14628158" y="558512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22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90900F8E-CD17-4BA1-82C3-31CCBEC6C57D}"/>
                </a:ext>
              </a:extLst>
            </xdr:cNvPr>
            <xdr:cNvSpPr txBox="1"/>
          </xdr:nvSpPr>
          <xdr:spPr>
            <a:xfrm>
              <a:off x="14628158" y="558512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𝛽_2 )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2∗𝐶_22 )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571500</xdr:colOff>
      <xdr:row>342</xdr:row>
      <xdr:rowOff>145675</xdr:rowOff>
    </xdr:from>
    <xdr:ext cx="288477" cy="172227"/>
    <xdr:sp macro="" textlink="">
      <xdr:nvSpPr>
        <xdr:cNvPr id="171" name="CaixaDeTexto 170">
          <a:extLst>
            <a:ext uri="{FF2B5EF4-FFF2-40B4-BE49-F238E27FC236}">
              <a16:creationId xmlns:a16="http://schemas.microsoft.com/office/drawing/2014/main" id="{54480464-60D3-42D1-899E-E3B59DA948C9}"/>
            </a:ext>
          </a:extLst>
        </xdr:cNvPr>
        <xdr:cNvSpPr txBox="1"/>
      </xdr:nvSpPr>
      <xdr:spPr>
        <a:xfrm>
          <a:off x="17697450" y="5622887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15</xdr:col>
      <xdr:colOff>212913</xdr:colOff>
      <xdr:row>358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C4B78890-E7B2-4738-9DCA-CE10220B1B4F}"/>
                </a:ext>
              </a:extLst>
            </xdr:cNvPr>
            <xdr:cNvSpPr txBox="1"/>
          </xdr:nvSpPr>
          <xdr:spPr>
            <a:xfrm>
              <a:off x="12966888" y="587939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C4B78890-E7B2-4738-9DCA-CE10220B1B4F}"/>
                </a:ext>
              </a:extLst>
            </xdr:cNvPr>
            <xdr:cNvSpPr txBox="1"/>
          </xdr:nvSpPr>
          <xdr:spPr>
            <a:xfrm>
              <a:off x="12966888" y="587939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𝐻0:𝐵_3=0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224117</xdr:colOff>
      <xdr:row>360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9C60C88-75AB-40BB-8FCD-B8116810139A}"/>
                </a:ext>
              </a:extLst>
            </xdr:cNvPr>
            <xdr:cNvSpPr txBox="1"/>
          </xdr:nvSpPr>
          <xdr:spPr>
            <a:xfrm>
              <a:off x="12978092" y="591401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9C60C88-75AB-40BB-8FCD-B8116810139A}"/>
                </a:ext>
              </a:extLst>
            </xdr:cNvPr>
            <xdr:cNvSpPr txBox="1"/>
          </xdr:nvSpPr>
          <xdr:spPr>
            <a:xfrm>
              <a:off x="12978092" y="591401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𝐻1:𝐵_3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448236</xdr:colOff>
      <xdr:row>363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552294C5-1C31-452B-8D19-ECFB2E229DD6}"/>
                </a:ext>
              </a:extLst>
            </xdr:cNvPr>
            <xdr:cNvSpPr txBox="1"/>
          </xdr:nvSpPr>
          <xdr:spPr>
            <a:xfrm>
              <a:off x="13202211" y="596371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552294C5-1C31-452B-8D19-ECFB2E229DD6}"/>
                </a:ext>
              </a:extLst>
            </xdr:cNvPr>
            <xdr:cNvSpPr txBox="1"/>
          </xdr:nvSpPr>
          <xdr:spPr>
            <a:xfrm>
              <a:off x="13202211" y="596371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17</xdr:col>
      <xdr:colOff>112058</xdr:colOff>
      <xdr:row>358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EFA948DE-E4E8-4657-835A-920021DE0214}"/>
                </a:ext>
              </a:extLst>
            </xdr:cNvPr>
            <xdr:cNvSpPr txBox="1"/>
          </xdr:nvSpPr>
          <xdr:spPr>
            <a:xfrm>
              <a:off x="14628158" y="587849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33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EFA948DE-E4E8-4657-835A-920021DE0214}"/>
                </a:ext>
              </a:extLst>
            </xdr:cNvPr>
            <xdr:cNvSpPr txBox="1"/>
          </xdr:nvSpPr>
          <xdr:spPr>
            <a:xfrm>
              <a:off x="14628158" y="587849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𝛽_3 )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2∗𝐶_33 )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571500</xdr:colOff>
      <xdr:row>360</xdr:row>
      <xdr:rowOff>145675</xdr:rowOff>
    </xdr:from>
    <xdr:ext cx="288477" cy="172227"/>
    <xdr:sp macro="" textlink="">
      <xdr:nvSpPr>
        <xdr:cNvPr id="177" name="CaixaDeTexto 176">
          <a:extLst>
            <a:ext uri="{FF2B5EF4-FFF2-40B4-BE49-F238E27FC236}">
              <a16:creationId xmlns:a16="http://schemas.microsoft.com/office/drawing/2014/main" id="{D659BC48-45B5-44B8-9466-58B0D7FE1D77}"/>
            </a:ext>
          </a:extLst>
        </xdr:cNvPr>
        <xdr:cNvSpPr txBox="1"/>
      </xdr:nvSpPr>
      <xdr:spPr>
        <a:xfrm>
          <a:off x="17697450" y="5916257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15</xdr:col>
      <xdr:colOff>212913</xdr:colOff>
      <xdr:row>376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B03D47D8-8A86-479C-A947-05A248F1D4E4}"/>
                </a:ext>
              </a:extLst>
            </xdr:cNvPr>
            <xdr:cNvSpPr txBox="1"/>
          </xdr:nvSpPr>
          <xdr:spPr>
            <a:xfrm>
              <a:off x="12966888" y="617276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B03D47D8-8A86-479C-A947-05A248F1D4E4}"/>
                </a:ext>
              </a:extLst>
            </xdr:cNvPr>
            <xdr:cNvSpPr txBox="1"/>
          </xdr:nvSpPr>
          <xdr:spPr>
            <a:xfrm>
              <a:off x="12966888" y="617276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𝐻0:𝐵_4=0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224117</xdr:colOff>
      <xdr:row>378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36B42798-E4E0-4D0E-A3F4-D759DA20FDCA}"/>
                </a:ext>
              </a:extLst>
            </xdr:cNvPr>
            <xdr:cNvSpPr txBox="1"/>
          </xdr:nvSpPr>
          <xdr:spPr>
            <a:xfrm>
              <a:off x="12978092" y="620738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36B42798-E4E0-4D0E-A3F4-D759DA20FDCA}"/>
                </a:ext>
              </a:extLst>
            </xdr:cNvPr>
            <xdr:cNvSpPr txBox="1"/>
          </xdr:nvSpPr>
          <xdr:spPr>
            <a:xfrm>
              <a:off x="12978092" y="620738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𝐻1:𝐵_4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448236</xdr:colOff>
      <xdr:row>381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76F6D71F-7D11-4D80-BA3F-BA89611A2383}"/>
                </a:ext>
              </a:extLst>
            </xdr:cNvPr>
            <xdr:cNvSpPr txBox="1"/>
          </xdr:nvSpPr>
          <xdr:spPr>
            <a:xfrm>
              <a:off x="13202211" y="625708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76F6D71F-7D11-4D80-BA3F-BA89611A2383}"/>
                </a:ext>
              </a:extLst>
            </xdr:cNvPr>
            <xdr:cNvSpPr txBox="1"/>
          </xdr:nvSpPr>
          <xdr:spPr>
            <a:xfrm>
              <a:off x="13202211" y="625708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17</xdr:col>
      <xdr:colOff>112058</xdr:colOff>
      <xdr:row>376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1D9BE95F-0B01-4FF4-B99B-D8037934BE44}"/>
                </a:ext>
              </a:extLst>
            </xdr:cNvPr>
            <xdr:cNvSpPr txBox="1"/>
          </xdr:nvSpPr>
          <xdr:spPr>
            <a:xfrm>
              <a:off x="14628158" y="617186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4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44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1D9BE95F-0B01-4FF4-B99B-D8037934BE44}"/>
                </a:ext>
              </a:extLst>
            </xdr:cNvPr>
            <xdr:cNvSpPr txBox="1"/>
          </xdr:nvSpPr>
          <xdr:spPr>
            <a:xfrm>
              <a:off x="14628158" y="617186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𝛽_4 )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2∗𝐶_44 )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571500</xdr:colOff>
      <xdr:row>378</xdr:row>
      <xdr:rowOff>145675</xdr:rowOff>
    </xdr:from>
    <xdr:ext cx="288477" cy="172227"/>
    <xdr:sp macro="" textlink="">
      <xdr:nvSpPr>
        <xdr:cNvPr id="183" name="CaixaDeTexto 182">
          <a:extLst>
            <a:ext uri="{FF2B5EF4-FFF2-40B4-BE49-F238E27FC236}">
              <a16:creationId xmlns:a16="http://schemas.microsoft.com/office/drawing/2014/main" id="{F8252C7C-D86E-4EED-BC29-B14CB8E71A58}"/>
            </a:ext>
          </a:extLst>
        </xdr:cNvPr>
        <xdr:cNvSpPr txBox="1"/>
      </xdr:nvSpPr>
      <xdr:spPr>
        <a:xfrm>
          <a:off x="17697450" y="6209627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C44=</a:t>
          </a:r>
        </a:p>
      </xdr:txBody>
    </xdr:sp>
    <xdr:clientData/>
  </xdr:oneCellAnchor>
  <xdr:oneCellAnchor>
    <xdr:from>
      <xdr:col>15</xdr:col>
      <xdr:colOff>212913</xdr:colOff>
      <xdr:row>394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E3AE8B61-6BAA-4A6F-BE28-375BC861AE6C}"/>
                </a:ext>
              </a:extLst>
            </xdr:cNvPr>
            <xdr:cNvSpPr txBox="1"/>
          </xdr:nvSpPr>
          <xdr:spPr>
            <a:xfrm>
              <a:off x="12966888" y="646613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E3AE8B61-6BAA-4A6F-BE28-375BC861AE6C}"/>
                </a:ext>
              </a:extLst>
            </xdr:cNvPr>
            <xdr:cNvSpPr txBox="1"/>
          </xdr:nvSpPr>
          <xdr:spPr>
            <a:xfrm>
              <a:off x="12966888" y="646613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𝐻0:𝐵_5=0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224117</xdr:colOff>
      <xdr:row>396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CCA68CDC-DE31-4C56-950B-6DDC2E6B667A}"/>
                </a:ext>
              </a:extLst>
            </xdr:cNvPr>
            <xdr:cNvSpPr txBox="1"/>
          </xdr:nvSpPr>
          <xdr:spPr>
            <a:xfrm>
              <a:off x="12978092" y="650075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CCA68CDC-DE31-4C56-950B-6DDC2E6B667A}"/>
                </a:ext>
              </a:extLst>
            </xdr:cNvPr>
            <xdr:cNvSpPr txBox="1"/>
          </xdr:nvSpPr>
          <xdr:spPr>
            <a:xfrm>
              <a:off x="12978092" y="650075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𝐻1:𝐵_5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448236</xdr:colOff>
      <xdr:row>399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34D57552-4F38-4DE5-B1FF-4FCDB6AB8B2F}"/>
                </a:ext>
              </a:extLst>
            </xdr:cNvPr>
            <xdr:cNvSpPr txBox="1"/>
          </xdr:nvSpPr>
          <xdr:spPr>
            <a:xfrm>
              <a:off x="13202211" y="655045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34D57552-4F38-4DE5-B1FF-4FCDB6AB8B2F}"/>
                </a:ext>
              </a:extLst>
            </xdr:cNvPr>
            <xdr:cNvSpPr txBox="1"/>
          </xdr:nvSpPr>
          <xdr:spPr>
            <a:xfrm>
              <a:off x="13202211" y="655045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17</xdr:col>
      <xdr:colOff>112058</xdr:colOff>
      <xdr:row>394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CF37B7FB-FDE7-4A8F-9167-BB24E1391F79}"/>
                </a:ext>
              </a:extLst>
            </xdr:cNvPr>
            <xdr:cNvSpPr txBox="1"/>
          </xdr:nvSpPr>
          <xdr:spPr>
            <a:xfrm>
              <a:off x="14628158" y="646523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5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55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CF37B7FB-FDE7-4A8F-9167-BB24E1391F79}"/>
                </a:ext>
              </a:extLst>
            </xdr:cNvPr>
            <xdr:cNvSpPr txBox="1"/>
          </xdr:nvSpPr>
          <xdr:spPr>
            <a:xfrm>
              <a:off x="14628158" y="646523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𝛽_5 )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2∗𝐶_55 )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571500</xdr:colOff>
      <xdr:row>396</xdr:row>
      <xdr:rowOff>145675</xdr:rowOff>
    </xdr:from>
    <xdr:ext cx="288477" cy="172227"/>
    <xdr:sp macro="" textlink="">
      <xdr:nvSpPr>
        <xdr:cNvPr id="189" name="CaixaDeTexto 188">
          <a:extLst>
            <a:ext uri="{FF2B5EF4-FFF2-40B4-BE49-F238E27FC236}">
              <a16:creationId xmlns:a16="http://schemas.microsoft.com/office/drawing/2014/main" id="{2CFE1990-8452-4E05-A696-7B41012F2F1D}"/>
            </a:ext>
          </a:extLst>
        </xdr:cNvPr>
        <xdr:cNvSpPr txBox="1"/>
      </xdr:nvSpPr>
      <xdr:spPr>
        <a:xfrm>
          <a:off x="17697450" y="6502997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C55=</a:t>
          </a:r>
        </a:p>
      </xdr:txBody>
    </xdr:sp>
    <xdr:clientData/>
  </xdr:oneCellAnchor>
  <xdr:oneCellAnchor>
    <xdr:from>
      <xdr:col>15</xdr:col>
      <xdr:colOff>212913</xdr:colOff>
      <xdr:row>412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8377B72C-7DE8-4E17-BDB9-64C1D01369B2}"/>
                </a:ext>
              </a:extLst>
            </xdr:cNvPr>
            <xdr:cNvSpPr txBox="1"/>
          </xdr:nvSpPr>
          <xdr:spPr>
            <a:xfrm>
              <a:off x="12966888" y="675950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8377B72C-7DE8-4E17-BDB9-64C1D01369B2}"/>
                </a:ext>
              </a:extLst>
            </xdr:cNvPr>
            <xdr:cNvSpPr txBox="1"/>
          </xdr:nvSpPr>
          <xdr:spPr>
            <a:xfrm>
              <a:off x="12966888" y="675950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𝐻0:𝐵_6=0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224117</xdr:colOff>
      <xdr:row>414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3CCB8936-9CE4-4CEB-999C-7AEA97483BA2}"/>
                </a:ext>
              </a:extLst>
            </xdr:cNvPr>
            <xdr:cNvSpPr txBox="1"/>
          </xdr:nvSpPr>
          <xdr:spPr>
            <a:xfrm>
              <a:off x="12978092" y="67941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3CCB8936-9CE4-4CEB-999C-7AEA97483BA2}"/>
                </a:ext>
              </a:extLst>
            </xdr:cNvPr>
            <xdr:cNvSpPr txBox="1"/>
          </xdr:nvSpPr>
          <xdr:spPr>
            <a:xfrm>
              <a:off x="12978092" y="67941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𝐻1:𝐵_6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15</xdr:col>
      <xdr:colOff>448236</xdr:colOff>
      <xdr:row>417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E7E84DF3-E1A7-47AB-B79A-96F9E2688847}"/>
                </a:ext>
              </a:extLst>
            </xdr:cNvPr>
            <xdr:cNvSpPr txBox="1"/>
          </xdr:nvSpPr>
          <xdr:spPr>
            <a:xfrm>
              <a:off x="13202211" y="684382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E7E84DF3-E1A7-47AB-B79A-96F9E2688847}"/>
                </a:ext>
              </a:extLst>
            </xdr:cNvPr>
            <xdr:cNvSpPr txBox="1"/>
          </xdr:nvSpPr>
          <xdr:spPr>
            <a:xfrm>
              <a:off x="13202211" y="684382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17</xdr:col>
      <xdr:colOff>112058</xdr:colOff>
      <xdr:row>412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E212BC76-D215-4D5B-9EF3-2F1BC64CDA9F}"/>
                </a:ext>
              </a:extLst>
            </xdr:cNvPr>
            <xdr:cNvSpPr txBox="1"/>
          </xdr:nvSpPr>
          <xdr:spPr>
            <a:xfrm>
              <a:off x="14628158" y="675860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6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66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E212BC76-D215-4D5B-9EF3-2F1BC64CDA9F}"/>
                </a:ext>
              </a:extLst>
            </xdr:cNvPr>
            <xdr:cNvSpPr txBox="1"/>
          </xdr:nvSpPr>
          <xdr:spPr>
            <a:xfrm>
              <a:off x="14628158" y="675860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𝛽_6 )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2∗𝐶_66 )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571500</xdr:colOff>
      <xdr:row>414</xdr:row>
      <xdr:rowOff>145675</xdr:rowOff>
    </xdr:from>
    <xdr:ext cx="288477" cy="172227"/>
    <xdr:sp macro="" textlink="">
      <xdr:nvSpPr>
        <xdr:cNvPr id="195" name="CaixaDeTexto 194">
          <a:extLst>
            <a:ext uri="{FF2B5EF4-FFF2-40B4-BE49-F238E27FC236}">
              <a16:creationId xmlns:a16="http://schemas.microsoft.com/office/drawing/2014/main" id="{5FE86C80-9ECA-4647-89E7-1450A0FB1DD1}"/>
            </a:ext>
          </a:extLst>
        </xdr:cNvPr>
        <xdr:cNvSpPr txBox="1"/>
      </xdr:nvSpPr>
      <xdr:spPr>
        <a:xfrm>
          <a:off x="17697450" y="6796367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C66=</a:t>
          </a:r>
        </a:p>
      </xdr:txBody>
    </xdr:sp>
    <xdr:clientData/>
  </xdr:oneCellAnchor>
  <xdr:oneCellAnchor>
    <xdr:from>
      <xdr:col>15</xdr:col>
      <xdr:colOff>953559</xdr:colOff>
      <xdr:row>421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380B9C2-6331-45C8-8AB7-AE350C7B9A96}"/>
                </a:ext>
              </a:extLst>
            </xdr:cNvPr>
            <xdr:cNvSpPr txBox="1"/>
          </xdr:nvSpPr>
          <xdr:spPr>
            <a:xfrm>
              <a:off x="13631334" y="690668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−2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380B9C2-6331-45C8-8AB7-AE350C7B9A96}"/>
                </a:ext>
              </a:extLst>
            </xdr:cNvPr>
            <xdr:cNvSpPr txBox="1"/>
          </xdr:nvSpPr>
          <xdr:spPr>
            <a:xfrm>
              <a:off x="13631334" y="690668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(𝑛−2)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23</xdr:col>
      <xdr:colOff>616324</xdr:colOff>
      <xdr:row>288</xdr:row>
      <xdr:rowOff>168087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D681FF8F-A63D-4DBA-B201-4D75AB456024}"/>
                </a:ext>
              </a:extLst>
            </xdr:cNvPr>
            <xdr:cNvSpPr txBox="1"/>
          </xdr:nvSpPr>
          <xdr:spPr>
            <a:xfrm>
              <a:off x="20199724" y="47345412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D681FF8F-A63D-4DBA-B201-4D75AB456024}"/>
                </a:ext>
              </a:extLst>
            </xdr:cNvPr>
            <xdr:cNvSpPr txBox="1"/>
          </xdr:nvSpPr>
          <xdr:spPr>
            <a:xfrm>
              <a:off x="20199724" y="47345412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8</xdr:col>
      <xdr:colOff>312964</xdr:colOff>
      <xdr:row>1</xdr:row>
      <xdr:rowOff>13608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206332C8-97A2-4827-BF47-4C143709AEA0}"/>
                </a:ext>
              </a:extLst>
            </xdr:cNvPr>
            <xdr:cNvSpPr txBox="1"/>
          </xdr:nvSpPr>
          <xdr:spPr>
            <a:xfrm>
              <a:off x="7837714" y="175533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206332C8-97A2-4827-BF47-4C143709AEA0}"/>
                </a:ext>
              </a:extLst>
            </xdr:cNvPr>
            <xdr:cNvSpPr txBox="1"/>
          </xdr:nvSpPr>
          <xdr:spPr>
            <a:xfrm>
              <a:off x="7837714" y="175533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953559</xdr:colOff>
      <xdr:row>421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C36FF2F-03D2-4708-840C-E56E833A559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C36FF2F-03D2-4708-840C-E56E833A559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403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B49621D-40AB-418D-8992-C1C8A32032FF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B49621D-40AB-418D-8992-C1C8A32032FF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385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6B325D3-7C08-40FD-B37A-1943A7DA176D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6B325D3-7C08-40FD-B37A-1943A7DA176D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367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23EF5F0-68DD-4B59-91DC-AC52919051B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23EF5F0-68DD-4B59-91DC-AC52919051B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349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7388C60-9F5A-48F4-8523-EE7632F9394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7388C60-9F5A-48F4-8523-EE7632F9394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331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ADBD54F-6A54-4330-9B38-A4C5C87E46E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ADBD54F-6A54-4330-9B38-A4C5C87E46E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313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9B6D76C0-4FE2-438E-B33E-A00CC5BE71A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9B6D76C0-4FE2-438E-B33E-A00CC5BE71A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291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9C38697-F9DC-4F0D-B097-FF6DF1C0DB8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9C38697-F9DC-4F0D-B097-FF6DF1C0DB8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264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909D7E89-7C0A-4F49-A7D7-160F10887759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909D7E89-7C0A-4F49-A7D7-160F10887759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254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F685B89-E0C2-4B76-905D-EEE17AB15667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BF685B89-E0C2-4B76-905D-EEE17AB15667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244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8CE7BE5-79F9-4759-83A7-65F1E9031F3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8CE7BE5-79F9-4759-83A7-65F1E9031F3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234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752E75DA-A0FF-43F9-83C2-64D5B0158437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752E75DA-A0FF-43F9-83C2-64D5B0158437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204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F962575-F588-4A9F-BFDD-29C6FAD2B708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BF962575-F588-4A9F-BFDD-29C6FAD2B708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214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7CD83B1-F446-4F2F-9E10-7FB60E4509C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7CD83B1-F446-4F2F-9E10-7FB60E4509C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224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9986E99-4D11-468A-BA11-88AE60968E84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9986E99-4D11-468A-BA11-88AE60968E84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204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95EDAA50-581B-42BC-B0D0-95D45F20263E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95EDAA50-581B-42BC-B0D0-95D45F20263E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214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784C7C9-DB79-498F-92D2-FC5F6A52D44E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784C7C9-DB79-498F-92D2-FC5F6A52D44E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224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52213BC-DAF0-4673-8DC6-A4A7F652BCBA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B52213BC-DAF0-4673-8DC6-A4A7F652BCBA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234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FA4EE87-0318-422D-BB00-60A575969625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FA4EE87-0318-422D-BB00-60A575969625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244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7A5C04FE-86A1-4CB5-94D0-FCC523937491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7A5C04FE-86A1-4CB5-94D0-FCC523937491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255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29D5409D-D1A5-4658-B917-CD19F2EBB967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29D5409D-D1A5-4658-B917-CD19F2EBB967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264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95441CC0-C979-4E6F-BB3F-1CB233B4AE47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95441CC0-C979-4E6F-BB3F-1CB233B4AE47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276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63DC62C-A3DA-4E7B-A550-9806F623828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363DC62C-A3DA-4E7B-A550-9806F623828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290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C11757F-B691-4BEA-9C1B-D3359D1243C9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C11757F-B691-4BEA-9C1B-D3359D1243C9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313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42865A3-2070-4461-9196-F01F06691909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42865A3-2070-4461-9196-F01F06691909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331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83CD54F-3E19-4DDA-969B-52DCDA0774A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83CD54F-3E19-4DDA-969B-52DCDA0774A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349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2CC21111-FF00-4E0A-8EC9-5DE383D157E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2CC21111-FF00-4E0A-8EC9-5DE383D157E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367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057D92D-8C14-4980-925C-F747CB1E5AF9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057D92D-8C14-4980-925C-F747CB1E5AF9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385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F94485E-D95A-458C-870B-4BB8461F258B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3F94485E-D95A-458C-870B-4BB8461F258B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953559</xdr:colOff>
      <xdr:row>403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71FC73D4-22DA-491D-BDC1-55330681F50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71FC73D4-22DA-491D-BDC1-55330681F50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179614</xdr:colOff>
      <xdr:row>3</xdr:row>
      <xdr:rowOff>1360</xdr:rowOff>
    </xdr:from>
    <xdr:ext cx="6324600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ADAFC137-2785-47FD-A419-A381A5CC4EA9}"/>
                </a:ext>
              </a:extLst>
            </xdr:cNvPr>
            <xdr:cNvSpPr txBox="1"/>
          </xdr:nvSpPr>
          <xdr:spPr>
            <a:xfrm>
              <a:off x="7990114" y="491217"/>
              <a:ext cx="632460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6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l-GR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𝜀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ADAFC137-2785-47FD-A419-A381A5CC4EA9}"/>
                </a:ext>
              </a:extLst>
            </xdr:cNvPr>
            <xdr:cNvSpPr txBox="1"/>
          </xdr:nvSpPr>
          <xdr:spPr>
            <a:xfrm>
              <a:off x="7990114" y="491217"/>
              <a:ext cx="632460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𝑌=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600" b="0" i="0">
                  <a:latin typeface="Cambria Math" panose="02040503050406030204" pitchFamily="18" charset="0"/>
                </a:rPr>
                <a:t>0+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𝛽_1 𝑋_1+𝛽_2 𝑋_2+𝛽_3 𝑋_3+𝛽_4 𝑋_4+𝛽_5 𝑋_5+𝛽_6 𝑋_6+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171450</xdr:colOff>
      <xdr:row>13</xdr:row>
      <xdr:rowOff>28575</xdr:rowOff>
    </xdr:from>
    <xdr:ext cx="695325" cy="438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F94971B5-4B1D-4513-889B-7218B886D863}"/>
                </a:ext>
              </a:extLst>
            </xdr:cNvPr>
            <xdr:cNvSpPr txBox="1"/>
          </xdr:nvSpPr>
          <xdr:spPr>
            <a:xfrm>
              <a:off x="7972425" y="2133600"/>
              <a:ext cx="695325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28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F94971B5-4B1D-4513-889B-7218B886D863}"/>
                </a:ext>
              </a:extLst>
            </xdr:cNvPr>
            <xdr:cNvSpPr txBox="1"/>
          </xdr:nvSpPr>
          <xdr:spPr>
            <a:xfrm>
              <a:off x="7972425" y="2133600"/>
              <a:ext cx="695325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11</xdr:col>
      <xdr:colOff>238125</xdr:colOff>
      <xdr:row>7</xdr:row>
      <xdr:rowOff>123824</xdr:rowOff>
    </xdr:from>
    <xdr:to>
      <xdr:col>11</xdr:col>
      <xdr:colOff>533400</xdr:colOff>
      <xdr:row>25</xdr:row>
      <xdr:rowOff>47625</xdr:rowOff>
    </xdr:to>
    <xdr:sp macro="" textlink="">
      <xdr:nvSpPr>
        <xdr:cNvPr id="4" name="Parêntese esquerdo 3">
          <a:extLst>
            <a:ext uri="{FF2B5EF4-FFF2-40B4-BE49-F238E27FC236}">
              <a16:creationId xmlns:a16="http://schemas.microsoft.com/office/drawing/2014/main" id="{8AE46A59-0DA6-4F8B-A70D-008D06055BBA}"/>
            </a:ext>
          </a:extLst>
        </xdr:cNvPr>
        <xdr:cNvSpPr/>
      </xdr:nvSpPr>
      <xdr:spPr>
        <a:xfrm>
          <a:off x="9258300" y="1257299"/>
          <a:ext cx="295275" cy="28384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17</xdr:col>
      <xdr:colOff>514348</xdr:colOff>
      <xdr:row>7</xdr:row>
      <xdr:rowOff>152400</xdr:rowOff>
    </xdr:from>
    <xdr:to>
      <xdr:col>18</xdr:col>
      <xdr:colOff>200023</xdr:colOff>
      <xdr:row>25</xdr:row>
      <xdr:rowOff>9525</xdr:rowOff>
    </xdr:to>
    <xdr:sp macro="" textlink="">
      <xdr:nvSpPr>
        <xdr:cNvPr id="5" name="Parêntese esquerdo 4">
          <a:extLst>
            <a:ext uri="{FF2B5EF4-FFF2-40B4-BE49-F238E27FC236}">
              <a16:creationId xmlns:a16="http://schemas.microsoft.com/office/drawing/2014/main" id="{B09DDE28-2836-4513-AF56-80D97B3B08DD}"/>
            </a:ext>
          </a:extLst>
        </xdr:cNvPr>
        <xdr:cNvSpPr/>
      </xdr:nvSpPr>
      <xdr:spPr>
        <a:xfrm flipH="1">
          <a:off x="13192123" y="1285875"/>
          <a:ext cx="295275" cy="277177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19</xdr:col>
      <xdr:colOff>247650</xdr:colOff>
      <xdr:row>10</xdr:row>
      <xdr:rowOff>28575</xdr:rowOff>
    </xdr:from>
    <xdr:ext cx="876300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5EEE237-AF49-4A47-B86D-723EC3D20B1B}"/>
                </a:ext>
              </a:extLst>
            </xdr:cNvPr>
            <xdr:cNvSpPr txBox="1"/>
          </xdr:nvSpPr>
          <xdr:spPr>
            <a:xfrm>
              <a:off x="14144625" y="1647825"/>
              <a:ext cx="876300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5EEE237-AF49-4A47-B86D-723EC3D20B1B}"/>
                </a:ext>
              </a:extLst>
            </xdr:cNvPr>
            <xdr:cNvSpPr txBox="1"/>
          </xdr:nvSpPr>
          <xdr:spPr>
            <a:xfrm>
              <a:off x="14144625" y="1647825"/>
              <a:ext cx="876300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20</xdr:col>
      <xdr:colOff>581025</xdr:colOff>
      <xdr:row>7</xdr:row>
      <xdr:rowOff>66675</xdr:rowOff>
    </xdr:from>
    <xdr:to>
      <xdr:col>21</xdr:col>
      <xdr:colOff>266700</xdr:colOff>
      <xdr:row>15</xdr:row>
      <xdr:rowOff>123826</xdr:rowOff>
    </xdr:to>
    <xdr:sp macro="" textlink="">
      <xdr:nvSpPr>
        <xdr:cNvPr id="7" name="Parêntese esquerdo 6">
          <a:extLst>
            <a:ext uri="{FF2B5EF4-FFF2-40B4-BE49-F238E27FC236}">
              <a16:creationId xmlns:a16="http://schemas.microsoft.com/office/drawing/2014/main" id="{33873A1B-CC33-4927-8887-6020CDDE4475}"/>
            </a:ext>
          </a:extLst>
        </xdr:cNvPr>
        <xdr:cNvSpPr/>
      </xdr:nvSpPr>
      <xdr:spPr>
        <a:xfrm>
          <a:off x="15087600" y="1200150"/>
          <a:ext cx="295275" cy="13525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37</xdr:col>
      <xdr:colOff>523875</xdr:colOff>
      <xdr:row>7</xdr:row>
      <xdr:rowOff>47625</xdr:rowOff>
    </xdr:from>
    <xdr:to>
      <xdr:col>38</xdr:col>
      <xdr:colOff>209550</xdr:colOff>
      <xdr:row>15</xdr:row>
      <xdr:rowOff>104776</xdr:rowOff>
    </xdr:to>
    <xdr:sp macro="" textlink="">
      <xdr:nvSpPr>
        <xdr:cNvPr id="8" name="Parêntese esquerdo 7">
          <a:extLst>
            <a:ext uri="{FF2B5EF4-FFF2-40B4-BE49-F238E27FC236}">
              <a16:creationId xmlns:a16="http://schemas.microsoft.com/office/drawing/2014/main" id="{A5AAE596-D50F-48BA-B2E7-21CED2136CEC}"/>
            </a:ext>
          </a:extLst>
        </xdr:cNvPr>
        <xdr:cNvSpPr/>
      </xdr:nvSpPr>
      <xdr:spPr>
        <a:xfrm flipH="1">
          <a:off x="25393650" y="1181100"/>
          <a:ext cx="295275" cy="13525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19</xdr:col>
      <xdr:colOff>333375</xdr:colOff>
      <xdr:row>20</xdr:row>
      <xdr:rowOff>9525</xdr:rowOff>
    </xdr:from>
    <xdr:ext cx="832883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1A7C1C3A-4643-4B63-ABAF-C1F7B493187E}"/>
                </a:ext>
              </a:extLst>
            </xdr:cNvPr>
            <xdr:cNvSpPr txBox="1"/>
          </xdr:nvSpPr>
          <xdr:spPr>
            <a:xfrm>
              <a:off x="14230350" y="3248025"/>
              <a:ext cx="832883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1A7C1C3A-4643-4B63-ABAF-C1F7B493187E}"/>
                </a:ext>
              </a:extLst>
            </xdr:cNvPr>
            <xdr:cNvSpPr txBox="1"/>
          </xdr:nvSpPr>
          <xdr:spPr>
            <a:xfrm>
              <a:off x="14230350" y="3248025"/>
              <a:ext cx="832883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𝑌^𝑡=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37</xdr:col>
      <xdr:colOff>476248</xdr:colOff>
      <xdr:row>20</xdr:row>
      <xdr:rowOff>85725</xdr:rowOff>
    </xdr:from>
    <xdr:to>
      <xdr:col>38</xdr:col>
      <xdr:colOff>161923</xdr:colOff>
      <xdr:row>22</xdr:row>
      <xdr:rowOff>66676</xdr:rowOff>
    </xdr:to>
    <xdr:sp macro="" textlink="">
      <xdr:nvSpPr>
        <xdr:cNvPr id="10" name="Parêntese esquerdo 9">
          <a:extLst>
            <a:ext uri="{FF2B5EF4-FFF2-40B4-BE49-F238E27FC236}">
              <a16:creationId xmlns:a16="http://schemas.microsoft.com/office/drawing/2014/main" id="{8EB46771-7970-42CB-9275-6F212265BEB4}"/>
            </a:ext>
          </a:extLst>
        </xdr:cNvPr>
        <xdr:cNvSpPr/>
      </xdr:nvSpPr>
      <xdr:spPr>
        <a:xfrm flipH="1">
          <a:off x="25346023" y="3324225"/>
          <a:ext cx="295275" cy="30480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20</xdr:col>
      <xdr:colOff>581025</xdr:colOff>
      <xdr:row>20</xdr:row>
      <xdr:rowOff>85725</xdr:rowOff>
    </xdr:from>
    <xdr:to>
      <xdr:col>21</xdr:col>
      <xdr:colOff>266700</xdr:colOff>
      <xdr:row>22</xdr:row>
      <xdr:rowOff>66676</xdr:rowOff>
    </xdr:to>
    <xdr:sp macro="" textlink="">
      <xdr:nvSpPr>
        <xdr:cNvPr id="11" name="Parêntese esquerdo 10">
          <a:extLst>
            <a:ext uri="{FF2B5EF4-FFF2-40B4-BE49-F238E27FC236}">
              <a16:creationId xmlns:a16="http://schemas.microsoft.com/office/drawing/2014/main" id="{F113FD14-6748-4A3E-B3A8-42B3E1C1BDD8}"/>
            </a:ext>
          </a:extLst>
        </xdr:cNvPr>
        <xdr:cNvSpPr/>
      </xdr:nvSpPr>
      <xdr:spPr>
        <a:xfrm>
          <a:off x="15087600" y="3324225"/>
          <a:ext cx="295275" cy="30480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</xdr:col>
      <xdr:colOff>333375</xdr:colOff>
      <xdr:row>31</xdr:row>
      <xdr:rowOff>28575</xdr:rowOff>
    </xdr:from>
    <xdr:ext cx="1408655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6CB3133B-86FE-4C00-B035-2F6804B82DC2}"/>
                </a:ext>
              </a:extLst>
            </xdr:cNvPr>
            <xdr:cNvSpPr txBox="1"/>
          </xdr:nvSpPr>
          <xdr:spPr>
            <a:xfrm>
              <a:off x="942975" y="5048250"/>
              <a:ext cx="140865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6CB3133B-86FE-4C00-B035-2F6804B82DC2}"/>
                </a:ext>
              </a:extLst>
            </xdr:cNvPr>
            <xdr:cNvSpPr txBox="1"/>
          </xdr:nvSpPr>
          <xdr:spPr>
            <a:xfrm>
              <a:off x="942975" y="5048250"/>
              <a:ext cx="140865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𝑋^𝑡∗𝑋=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3</xdr:col>
      <xdr:colOff>19050</xdr:colOff>
      <xdr:row>28</xdr:row>
      <xdr:rowOff>114301</xdr:rowOff>
    </xdr:from>
    <xdr:to>
      <xdr:col>3</xdr:col>
      <xdr:colOff>314325</xdr:colOff>
      <xdr:row>36</xdr:row>
      <xdr:rowOff>38101</xdr:rowOff>
    </xdr:to>
    <xdr:sp macro="" textlink="">
      <xdr:nvSpPr>
        <xdr:cNvPr id="13" name="Parêntese esquerdo 12">
          <a:extLst>
            <a:ext uri="{FF2B5EF4-FFF2-40B4-BE49-F238E27FC236}">
              <a16:creationId xmlns:a16="http://schemas.microsoft.com/office/drawing/2014/main" id="{748868A5-5E00-42E1-AD26-4582FFAEAD42}"/>
            </a:ext>
          </a:extLst>
        </xdr:cNvPr>
        <xdr:cNvSpPr/>
      </xdr:nvSpPr>
      <xdr:spPr>
        <a:xfrm>
          <a:off x="2428875" y="4648201"/>
          <a:ext cx="295275" cy="121920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9</xdr:col>
      <xdr:colOff>657225</xdr:colOff>
      <xdr:row>28</xdr:row>
      <xdr:rowOff>133350</xdr:rowOff>
    </xdr:from>
    <xdr:to>
      <xdr:col>10</xdr:col>
      <xdr:colOff>190500</xdr:colOff>
      <xdr:row>36</xdr:row>
      <xdr:rowOff>57150</xdr:rowOff>
    </xdr:to>
    <xdr:sp macro="" textlink="">
      <xdr:nvSpPr>
        <xdr:cNvPr id="14" name="Parêntese esquerdo 13">
          <a:extLst>
            <a:ext uri="{FF2B5EF4-FFF2-40B4-BE49-F238E27FC236}">
              <a16:creationId xmlns:a16="http://schemas.microsoft.com/office/drawing/2014/main" id="{D7B076C3-8BC7-464E-9CED-420E6C4CF8C0}"/>
            </a:ext>
          </a:extLst>
        </xdr:cNvPr>
        <xdr:cNvSpPr/>
      </xdr:nvSpPr>
      <xdr:spPr>
        <a:xfrm flipH="1">
          <a:off x="8467725" y="4667250"/>
          <a:ext cx="295275" cy="121920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10</xdr:col>
      <xdr:colOff>504825</xdr:colOff>
      <xdr:row>31</xdr:row>
      <xdr:rowOff>9525</xdr:rowOff>
    </xdr:from>
    <xdr:ext cx="1964127" cy="445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2BEE7B6D-A5C4-4BFD-BC08-9720344FAE97}"/>
                </a:ext>
              </a:extLst>
            </xdr:cNvPr>
            <xdr:cNvSpPr txBox="1"/>
          </xdr:nvSpPr>
          <xdr:spPr>
            <a:xfrm>
              <a:off x="9077325" y="5029200"/>
              <a:ext cx="1964127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(</m:t>
                        </m:r>
                        <m:sSup>
                          <m:sSupPr>
                            <m:ctrlP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p>
                        </m:s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2BEE7B6D-A5C4-4BFD-BC08-9720344FAE97}"/>
                </a:ext>
              </a:extLst>
            </xdr:cNvPr>
            <xdr:cNvSpPr txBox="1"/>
          </xdr:nvSpPr>
          <xdr:spPr>
            <a:xfrm>
              <a:off x="9077325" y="5029200"/>
              <a:ext cx="1964127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〖(</a:t>
              </a:r>
              <a:r>
                <a:rPr lang="pt-PT" sz="2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𝑋^𝑡∗𝑋</a:t>
              </a:r>
              <a:r>
                <a:rPr lang="pt-PT" sz="2800" b="0" i="0">
                  <a:latin typeface="Cambria Math" panose="02040503050406030204" pitchFamily="18" charset="0"/>
                </a:rPr>
                <a:t>)〗^(−1)=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13</xdr:col>
      <xdr:colOff>542925</xdr:colOff>
      <xdr:row>28</xdr:row>
      <xdr:rowOff>123825</xdr:rowOff>
    </xdr:from>
    <xdr:to>
      <xdr:col>14</xdr:col>
      <xdr:colOff>228600</xdr:colOff>
      <xdr:row>36</xdr:row>
      <xdr:rowOff>47625</xdr:rowOff>
    </xdr:to>
    <xdr:sp macro="" textlink="">
      <xdr:nvSpPr>
        <xdr:cNvPr id="16" name="Parêntese esquerdo 15">
          <a:extLst>
            <a:ext uri="{FF2B5EF4-FFF2-40B4-BE49-F238E27FC236}">
              <a16:creationId xmlns:a16="http://schemas.microsoft.com/office/drawing/2014/main" id="{985919CF-B006-461B-A8B8-AC92BE88C6AE}"/>
            </a:ext>
          </a:extLst>
        </xdr:cNvPr>
        <xdr:cNvSpPr/>
      </xdr:nvSpPr>
      <xdr:spPr>
        <a:xfrm>
          <a:off x="10944225" y="4657725"/>
          <a:ext cx="295275" cy="121920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20</xdr:col>
      <xdr:colOff>847725</xdr:colOff>
      <xdr:row>28</xdr:row>
      <xdr:rowOff>114299</xdr:rowOff>
    </xdr:from>
    <xdr:to>
      <xdr:col>21</xdr:col>
      <xdr:colOff>266700</xdr:colOff>
      <xdr:row>36</xdr:row>
      <xdr:rowOff>38099</xdr:rowOff>
    </xdr:to>
    <xdr:sp macro="" textlink="">
      <xdr:nvSpPr>
        <xdr:cNvPr id="17" name="Parêntese esquerdo 16">
          <a:extLst>
            <a:ext uri="{FF2B5EF4-FFF2-40B4-BE49-F238E27FC236}">
              <a16:creationId xmlns:a16="http://schemas.microsoft.com/office/drawing/2014/main" id="{572520F3-2250-4831-B242-913CC696B95C}"/>
            </a:ext>
          </a:extLst>
        </xdr:cNvPr>
        <xdr:cNvSpPr/>
      </xdr:nvSpPr>
      <xdr:spPr>
        <a:xfrm flipH="1">
          <a:off x="15782925" y="4648199"/>
          <a:ext cx="295275" cy="121920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22</xdr:col>
      <xdr:colOff>361950</xdr:colOff>
      <xdr:row>31</xdr:row>
      <xdr:rowOff>38100</xdr:rowOff>
    </xdr:from>
    <xdr:ext cx="1393395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97EC979-F898-427F-A661-434EA34A133E}"/>
                </a:ext>
              </a:extLst>
            </xdr:cNvPr>
            <xdr:cNvSpPr txBox="1"/>
          </xdr:nvSpPr>
          <xdr:spPr>
            <a:xfrm>
              <a:off x="16783050" y="5057775"/>
              <a:ext cx="139339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97EC979-F898-427F-A661-434EA34A133E}"/>
                </a:ext>
              </a:extLst>
            </xdr:cNvPr>
            <xdr:cNvSpPr txBox="1"/>
          </xdr:nvSpPr>
          <xdr:spPr>
            <a:xfrm>
              <a:off x="16783050" y="5057775"/>
              <a:ext cx="139339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𝑋^𝑡∗𝑌=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25</xdr:col>
      <xdr:colOff>761999</xdr:colOff>
      <xdr:row>28</xdr:row>
      <xdr:rowOff>104774</xdr:rowOff>
    </xdr:from>
    <xdr:to>
      <xdr:col>26</xdr:col>
      <xdr:colOff>257174</xdr:colOff>
      <xdr:row>36</xdr:row>
      <xdr:rowOff>76199</xdr:rowOff>
    </xdr:to>
    <xdr:sp macro="" textlink="">
      <xdr:nvSpPr>
        <xdr:cNvPr id="19" name="Parêntese esquerdo 18">
          <a:extLst>
            <a:ext uri="{FF2B5EF4-FFF2-40B4-BE49-F238E27FC236}">
              <a16:creationId xmlns:a16="http://schemas.microsoft.com/office/drawing/2014/main" id="{BC1C05F7-7A36-4129-85BB-B88B53CA6CE4}"/>
            </a:ext>
          </a:extLst>
        </xdr:cNvPr>
        <xdr:cNvSpPr/>
      </xdr:nvSpPr>
      <xdr:spPr>
        <a:xfrm flipH="1">
          <a:off x="19011899" y="4638674"/>
          <a:ext cx="295275" cy="126682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24</xdr:col>
      <xdr:colOff>533400</xdr:colOff>
      <xdr:row>28</xdr:row>
      <xdr:rowOff>114300</xdr:rowOff>
    </xdr:from>
    <xdr:to>
      <xdr:col>25</xdr:col>
      <xdr:colOff>219075</xdr:colOff>
      <xdr:row>36</xdr:row>
      <xdr:rowOff>85725</xdr:rowOff>
    </xdr:to>
    <xdr:sp macro="" textlink="">
      <xdr:nvSpPr>
        <xdr:cNvPr id="20" name="Parêntese esquerdo 19">
          <a:extLst>
            <a:ext uri="{FF2B5EF4-FFF2-40B4-BE49-F238E27FC236}">
              <a16:creationId xmlns:a16="http://schemas.microsoft.com/office/drawing/2014/main" id="{8A26A2CB-E450-4D51-89FC-C619D5EC578E}"/>
            </a:ext>
          </a:extLst>
        </xdr:cNvPr>
        <xdr:cNvSpPr/>
      </xdr:nvSpPr>
      <xdr:spPr>
        <a:xfrm>
          <a:off x="18173700" y="4648200"/>
          <a:ext cx="295275" cy="126682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27</xdr:col>
      <xdr:colOff>123825</xdr:colOff>
      <xdr:row>31</xdr:row>
      <xdr:rowOff>28575</xdr:rowOff>
    </xdr:from>
    <xdr:ext cx="3957494" cy="445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A916EB25-655A-4A79-B39C-1A802E1746CF}"/>
                </a:ext>
              </a:extLst>
            </xdr:cNvPr>
            <xdr:cNvSpPr txBox="1"/>
          </xdr:nvSpPr>
          <xdr:spPr>
            <a:xfrm>
              <a:off x="19783425" y="5048250"/>
              <a:ext cx="3957494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2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𝛽</m:t>
                    </m:r>
                    <m:r>
                      <a:rPr lang="pt-PT" sz="2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p>
                        </m:s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𝑌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A916EB25-655A-4A79-B39C-1A802E1746CF}"/>
                </a:ext>
              </a:extLst>
            </xdr:cNvPr>
            <xdr:cNvSpPr txBox="1"/>
          </xdr:nvSpPr>
          <xdr:spPr>
            <a:xfrm>
              <a:off x="19783425" y="5048250"/>
              <a:ext cx="3957494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𝛽=</a:t>
              </a:r>
              <a:r>
                <a:rPr lang="pt-PT" sz="2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〖(𝑋^𝑡∗𝑋)〗^(−1)∗𝑋^𝑡∗𝑌</a:t>
              </a:r>
              <a:r>
                <a:rPr lang="pt-PT" sz="2800" b="0" i="0">
                  <a:latin typeface="Cambria Math" panose="02040503050406030204" pitchFamily="18" charset="0"/>
                </a:rPr>
                <a:t>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35</xdr:col>
      <xdr:colOff>47624</xdr:colOff>
      <xdr:row>28</xdr:row>
      <xdr:rowOff>104775</xdr:rowOff>
    </xdr:from>
    <xdr:to>
      <xdr:col>35</xdr:col>
      <xdr:colOff>342899</xdr:colOff>
      <xdr:row>36</xdr:row>
      <xdr:rowOff>76200</xdr:rowOff>
    </xdr:to>
    <xdr:sp macro="" textlink="">
      <xdr:nvSpPr>
        <xdr:cNvPr id="22" name="Parêntese esquerdo 21">
          <a:extLst>
            <a:ext uri="{FF2B5EF4-FFF2-40B4-BE49-F238E27FC236}">
              <a16:creationId xmlns:a16="http://schemas.microsoft.com/office/drawing/2014/main" id="{C36561C1-FDFD-4298-94BE-D26FDA5C8966}"/>
            </a:ext>
          </a:extLst>
        </xdr:cNvPr>
        <xdr:cNvSpPr/>
      </xdr:nvSpPr>
      <xdr:spPr>
        <a:xfrm flipH="1">
          <a:off x="24584024" y="4638675"/>
          <a:ext cx="295275" cy="126682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33</xdr:col>
      <xdr:colOff>428625</xdr:colOff>
      <xdr:row>28</xdr:row>
      <xdr:rowOff>114301</xdr:rowOff>
    </xdr:from>
    <xdr:to>
      <xdr:col>34</xdr:col>
      <xdr:colOff>114300</xdr:colOff>
      <xdr:row>36</xdr:row>
      <xdr:rowOff>85726</xdr:rowOff>
    </xdr:to>
    <xdr:sp macro="" textlink="">
      <xdr:nvSpPr>
        <xdr:cNvPr id="23" name="Parêntese esquerdo 22">
          <a:extLst>
            <a:ext uri="{FF2B5EF4-FFF2-40B4-BE49-F238E27FC236}">
              <a16:creationId xmlns:a16="http://schemas.microsoft.com/office/drawing/2014/main" id="{CDDE3435-ED95-41A2-9464-B412897E9EEE}"/>
            </a:ext>
          </a:extLst>
        </xdr:cNvPr>
        <xdr:cNvSpPr/>
      </xdr:nvSpPr>
      <xdr:spPr>
        <a:xfrm>
          <a:off x="23745825" y="4648201"/>
          <a:ext cx="295275" cy="126682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</xdr:col>
      <xdr:colOff>459442</xdr:colOff>
      <xdr:row>43</xdr:row>
      <xdr:rowOff>0</xdr:rowOff>
    </xdr:from>
    <xdr:ext cx="1320800" cy="3556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E9D217C3-27F6-4668-A188-6D13EB888594}"/>
                </a:ext>
              </a:extLst>
            </xdr:cNvPr>
            <xdr:cNvSpPr txBox="1"/>
          </xdr:nvSpPr>
          <xdr:spPr>
            <a:xfrm>
              <a:off x="1145242" y="25107900"/>
              <a:ext cx="13208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𝑛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E9D217C3-27F6-4668-A188-6D13EB888594}"/>
                </a:ext>
              </a:extLst>
            </xdr:cNvPr>
            <xdr:cNvSpPr txBox="1"/>
          </xdr:nvSpPr>
          <xdr:spPr>
            <a:xfrm>
              <a:off x="1145242" y="25107900"/>
              <a:ext cx="13208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〖𝑆𝑄〗_𝑇=𝑌^𝑇 𝑌−𝑛𝑦 ̅^2=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280146</xdr:colOff>
      <xdr:row>44</xdr:row>
      <xdr:rowOff>123265</xdr:rowOff>
    </xdr:from>
    <xdr:ext cx="1549400" cy="3810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5AFE9C7-569A-4F3E-84C3-16DBF1DC9D60}"/>
                </a:ext>
              </a:extLst>
            </xdr:cNvPr>
            <xdr:cNvSpPr txBox="1"/>
          </xdr:nvSpPr>
          <xdr:spPr>
            <a:xfrm>
              <a:off x="965946" y="25393090"/>
              <a:ext cx="1549400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𝑛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5AFE9C7-569A-4F3E-84C3-16DBF1DC9D60}"/>
                </a:ext>
              </a:extLst>
            </xdr:cNvPr>
            <xdr:cNvSpPr txBox="1"/>
          </xdr:nvSpPr>
          <xdr:spPr>
            <a:xfrm>
              <a:off x="965946" y="25393090"/>
              <a:ext cx="1549400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〖𝑆𝑄〗_𝑅=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𝑌−𝑛𝑦 ̅^2=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268942</xdr:colOff>
      <xdr:row>46</xdr:row>
      <xdr:rowOff>123264</xdr:rowOff>
    </xdr:from>
    <xdr:ext cx="1549400" cy="2635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77306437-925B-461D-B29C-13FA684019F1}"/>
                </a:ext>
              </a:extLst>
            </xdr:cNvPr>
            <xdr:cNvSpPr txBox="1"/>
          </xdr:nvSpPr>
          <xdr:spPr>
            <a:xfrm>
              <a:off x="954742" y="25783614"/>
              <a:ext cx="1549400" cy="2635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𝐸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77306437-925B-461D-B29C-13FA684019F1}"/>
                </a:ext>
              </a:extLst>
            </xdr:cNvPr>
            <xdr:cNvSpPr txBox="1"/>
          </xdr:nvSpPr>
          <xdr:spPr>
            <a:xfrm>
              <a:off x="954742" y="25783614"/>
              <a:ext cx="1549400" cy="2635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〖𝑆𝑄〗_𝐸=𝑌^𝑇 𝑌−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190500</xdr:colOff>
      <xdr:row>55</xdr:row>
      <xdr:rowOff>123263</xdr:rowOff>
    </xdr:from>
    <xdr:ext cx="818030" cy="5042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B582979-0F60-4127-87ED-07C721095A99}"/>
                </a:ext>
              </a:extLst>
            </xdr:cNvPr>
            <xdr:cNvSpPr txBox="1"/>
          </xdr:nvSpPr>
          <xdr:spPr>
            <a:xfrm>
              <a:off x="1676400" y="27240938"/>
              <a:ext cx="818030" cy="5042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𝑀</m:t>
                        </m:r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𝑀𝑄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B582979-0F60-4127-87ED-07C721095A99}"/>
                </a:ext>
              </a:extLst>
            </xdr:cNvPr>
            <xdr:cNvSpPr txBox="1"/>
          </xdr:nvSpPr>
          <xdr:spPr>
            <a:xfrm>
              <a:off x="1676400" y="27240938"/>
              <a:ext cx="818030" cy="5042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𝐹_0=(𝑀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𝑄_𝑅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〖𝑀𝑄〗_𝐸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22412</xdr:colOff>
      <xdr:row>49</xdr:row>
      <xdr:rowOff>67236</xdr:rowOff>
    </xdr:from>
    <xdr:ext cx="1053353" cy="3922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5CFE97F-F1AD-4CE8-831C-27B130DA6B54}"/>
                </a:ext>
              </a:extLst>
            </xdr:cNvPr>
            <xdr:cNvSpPr txBox="1"/>
          </xdr:nvSpPr>
          <xdr:spPr>
            <a:xfrm>
              <a:off x="1508312" y="26213361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𝑀</m:t>
                    </m:r>
                    <m:sSub>
                      <m:sSubPr>
                        <m:ctrlP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𝑄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𝑅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𝑔𝑙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5CFE97F-F1AD-4CE8-831C-27B130DA6B54}"/>
                </a:ext>
              </a:extLst>
            </xdr:cNvPr>
            <xdr:cNvSpPr txBox="1"/>
          </xdr:nvSpPr>
          <xdr:spPr>
            <a:xfrm>
              <a:off x="1508312" y="26213361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𝑀𝑄_𝑅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〖𝑆𝑄〗_𝑅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〖𝑔𝑙〗_𝑅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761999</xdr:colOff>
      <xdr:row>52</xdr:row>
      <xdr:rowOff>67236</xdr:rowOff>
    </xdr:from>
    <xdr:ext cx="1053353" cy="3922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04364A92-12C9-46EC-A357-D55046D38024}"/>
                </a:ext>
              </a:extLst>
            </xdr:cNvPr>
            <xdr:cNvSpPr txBox="1"/>
          </xdr:nvSpPr>
          <xdr:spPr>
            <a:xfrm>
              <a:off x="1447799" y="2669913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𝑀</m:t>
                    </m:r>
                    <m:sSub>
                      <m:sSubPr>
                        <m:ctrlP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𝑄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𝐸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𝑔𝑙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04364A92-12C9-46EC-A357-D55046D38024}"/>
                </a:ext>
              </a:extLst>
            </xdr:cNvPr>
            <xdr:cNvSpPr txBox="1"/>
          </xdr:nvSpPr>
          <xdr:spPr>
            <a:xfrm>
              <a:off x="1447799" y="2669913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𝑀𝑄_𝐸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〖𝑆𝑄〗_𝐸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〖𝑔𝑙〗_𝐸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14</xdr:col>
      <xdr:colOff>529479</xdr:colOff>
      <xdr:row>51</xdr:row>
      <xdr:rowOff>136151</xdr:rowOff>
    </xdr:from>
    <xdr:ext cx="806824" cy="2129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E064386E-F2A9-4612-B313-F027D8F7A61A}"/>
                </a:ext>
              </a:extLst>
            </xdr:cNvPr>
            <xdr:cNvSpPr txBox="1"/>
          </xdr:nvSpPr>
          <xdr:spPr>
            <a:xfrm>
              <a:off x="11540379" y="8565776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E064386E-F2A9-4612-B313-F027D8F7A61A}"/>
                </a:ext>
              </a:extLst>
            </xdr:cNvPr>
            <xdr:cNvSpPr txBox="1"/>
          </xdr:nvSpPr>
          <xdr:spPr>
            <a:xfrm>
              <a:off x="11540379" y="8565776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15</xdr:col>
      <xdr:colOff>42582</xdr:colOff>
      <xdr:row>49</xdr:row>
      <xdr:rowOff>142875</xdr:rowOff>
    </xdr:from>
    <xdr:ext cx="806824" cy="2129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4D0035C5-F301-46CB-89D0-668644FC5FAF}"/>
                </a:ext>
              </a:extLst>
            </xdr:cNvPr>
            <xdr:cNvSpPr txBox="1"/>
          </xdr:nvSpPr>
          <xdr:spPr>
            <a:xfrm>
              <a:off x="11672607" y="8248650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4D0035C5-F301-46CB-89D0-668644FC5FAF}"/>
                </a:ext>
              </a:extLst>
            </xdr:cNvPr>
            <xdr:cNvSpPr txBox="1"/>
          </xdr:nvSpPr>
          <xdr:spPr>
            <a:xfrm>
              <a:off x="11672607" y="8248650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𝑇=</a:t>
              </a:r>
              <a:endParaRPr lang="pt-PT" sz="1200"/>
            </a:p>
          </xdr:txBody>
        </xdr:sp>
      </mc:Fallback>
    </mc:AlternateContent>
    <xdr:clientData/>
  </xdr:oneCellAnchor>
  <xdr:twoCellAnchor editAs="oneCell">
    <xdr:from>
      <xdr:col>0</xdr:col>
      <xdr:colOff>100852</xdr:colOff>
      <xdr:row>72</xdr:row>
      <xdr:rowOff>33617</xdr:rowOff>
    </xdr:from>
    <xdr:to>
      <xdr:col>4</xdr:col>
      <xdr:colOff>130459</xdr:colOff>
      <xdr:row>75</xdr:row>
      <xdr:rowOff>96444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632EA194-48BF-4A36-BC74-452071676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52" y="29942117"/>
          <a:ext cx="3382407" cy="548602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123265</xdr:colOff>
      <xdr:row>68</xdr:row>
      <xdr:rowOff>123264</xdr:rowOff>
    </xdr:from>
    <xdr:to>
      <xdr:col>2</xdr:col>
      <xdr:colOff>435023</xdr:colOff>
      <xdr:row>71</xdr:row>
      <xdr:rowOff>147986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94BB5FA5-E7B2-4E06-AFA1-8188D4639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5" y="29384064"/>
          <a:ext cx="1683358" cy="510497"/>
        </a:xfrm>
        <a:prstGeom prst="rect">
          <a:avLst/>
        </a:prstGeom>
      </xdr:spPr>
    </xdr:pic>
    <xdr:clientData/>
  </xdr:twoCellAnchor>
  <xdr:oneCellAnchor>
    <xdr:from>
      <xdr:col>4</xdr:col>
      <xdr:colOff>280147</xdr:colOff>
      <xdr:row>81</xdr:row>
      <xdr:rowOff>89647</xdr:rowOff>
    </xdr:from>
    <xdr:ext cx="4616823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89392060-2B13-4186-8AD4-B30D1F9766A9}"/>
                </a:ext>
              </a:extLst>
            </xdr:cNvPr>
            <xdr:cNvSpPr txBox="1"/>
          </xdr:nvSpPr>
          <xdr:spPr>
            <a:xfrm>
              <a:off x="3642472" y="31474522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=0, 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𝑘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=6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89392060-2B13-4186-8AD4-B30D1F9766A9}"/>
                </a:ext>
              </a:extLst>
            </xdr:cNvPr>
            <xdr:cNvSpPr txBox="1"/>
          </xdr:nvSpPr>
          <xdr:spPr>
            <a:xfrm>
              <a:off x="3642472" y="31474522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600" b="0" i="0">
                  <a:latin typeface="Cambria Math" panose="02040503050406030204" pitchFamily="18" charset="0"/>
                </a:rPr>
                <a:t>0=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𝛽_1=𝛽_2=𝛽_3=𝛽_4=𝛽_5=𝛽_6=0, 𝑘=6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4</xdr:col>
      <xdr:colOff>280147</xdr:colOff>
      <xdr:row>83</xdr:row>
      <xdr:rowOff>112059</xdr:rowOff>
    </xdr:from>
    <xdr:ext cx="4616823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4FBB678D-B03F-47A2-9F03-8A0605EB9AE1}"/>
                </a:ext>
              </a:extLst>
            </xdr:cNvPr>
            <xdr:cNvSpPr txBox="1"/>
          </xdr:nvSpPr>
          <xdr:spPr>
            <a:xfrm>
              <a:off x="3642472" y="31820784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2=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𝑗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𝑝𝑎𝑟𝑎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𝑎𝑙𝑔𝑢𝑚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𝑗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, 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𝑗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=1,2,3,4,5,6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4FBB678D-B03F-47A2-9F03-8A0605EB9AE1}"/>
                </a:ext>
              </a:extLst>
            </xdr:cNvPr>
            <xdr:cNvSpPr txBox="1"/>
          </xdr:nvSpPr>
          <xdr:spPr>
            <a:xfrm>
              <a:off x="3642472" y="31820784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𝐻2=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𝛽_𝑗≠0 𝑝𝑎𝑟𝑎 𝑎𝑙𝑔𝑢𝑚 𝑗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, 𝑗=1,2,3,4,5,6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4</xdr:col>
      <xdr:colOff>459442</xdr:colOff>
      <xdr:row>89</xdr:row>
      <xdr:rowOff>125505</xdr:rowOff>
    </xdr:from>
    <xdr:ext cx="6633882" cy="27404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4AD4CF58-2432-4AE0-A721-5172F0335A6C}"/>
                </a:ext>
              </a:extLst>
            </xdr:cNvPr>
            <xdr:cNvSpPr txBox="1"/>
          </xdr:nvSpPr>
          <xdr:spPr>
            <a:xfrm>
              <a:off x="3821767" y="32815305"/>
              <a:ext cx="6633882" cy="2740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𝐼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.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𝐶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=]</m:t>
                  </m:r>
                  <m:sSub>
                    <m:sSub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𝐽</m:t>
                      </m:r>
                    </m:sub>
                  </m:sSub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/2[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𝑛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+1</m:t>
                      </m:r>
                    </m:e>
                  </m:d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]</m:t>
                  </m:r>
                  <m:rad>
                    <m:radPr>
                      <m:degHide m:val="on"/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𝜎</m:t>
                          </m:r>
                        </m:e>
                        <m:sup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𝐶𝑗𝑗</m:t>
                      </m:r>
                    </m:e>
                  </m:rad>
                </m:oMath>
              </a14:m>
              <a:r>
                <a:rPr lang="pt-PT" sz="1400"/>
                <a:t>,</a:t>
              </a:r>
              <a14:m>
                <m:oMath xmlns:m="http://schemas.openxmlformats.org/officeDocument/2006/math">
                  <m:sSub>
                    <m:sSub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𝐽</m:t>
                      </m:r>
                    </m:sub>
                  </m:sSub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/2[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𝑛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+1</m:t>
                      </m:r>
                    </m:e>
                  </m:d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]</m:t>
                  </m:r>
                  <m:rad>
                    <m:radPr>
                      <m:degHide m:val="on"/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𝜎</m:t>
                          </m:r>
                        </m:e>
                        <m:sup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𝐶𝑗𝑗</m:t>
                      </m:r>
                    </m:e>
                  </m:rad>
                </m:oMath>
              </a14:m>
              <a:r>
                <a:rPr lang="pt-PT" sz="1400"/>
                <a:t>[</a:t>
              </a:r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4AD4CF58-2432-4AE0-A721-5172F0335A6C}"/>
                </a:ext>
              </a:extLst>
            </xdr:cNvPr>
            <xdr:cNvSpPr txBox="1"/>
          </xdr:nvSpPr>
          <xdr:spPr>
            <a:xfrm>
              <a:off x="3821767" y="32815305"/>
              <a:ext cx="6633882" cy="2740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𝐼.𝐶=]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𝛽_𝐽−𝑇1−𝑎/2[𝑛−(𝑘+1)]√(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 𝐶𝑗𝑗)</a:t>
              </a:r>
              <a:r>
                <a:rPr lang="pt-PT" sz="1400"/>
                <a:t>,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𝛽_𝐽+𝑇1−𝑎/2[𝑛−(𝑘+1)]√(𝜎^2 𝐶𝑗𝑗)</a:t>
              </a:r>
              <a:r>
                <a:rPr lang="pt-PT" sz="1400"/>
                <a:t>[</a:t>
              </a:r>
            </a:p>
          </xdr:txBody>
        </xdr:sp>
      </mc:Fallback>
    </mc:AlternateContent>
    <xdr:clientData/>
  </xdr:oneCellAnchor>
  <xdr:oneCellAnchor>
    <xdr:from>
      <xdr:col>2</xdr:col>
      <xdr:colOff>736227</xdr:colOff>
      <xdr:row>96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68E166C-C58E-4518-AFA4-FA402CEBBAF4}"/>
                </a:ext>
              </a:extLst>
            </xdr:cNvPr>
            <xdr:cNvSpPr txBox="1"/>
          </xdr:nvSpPr>
          <xdr:spPr>
            <a:xfrm>
              <a:off x="2222127" y="338350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68E166C-C58E-4518-AFA4-FA402CEBBAF4}"/>
                </a:ext>
              </a:extLst>
            </xdr:cNvPr>
            <xdr:cNvSpPr txBox="1"/>
          </xdr:nvSpPr>
          <xdr:spPr>
            <a:xfrm>
              <a:off x="2222127" y="338350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97</xdr:row>
      <xdr:rowOff>145675</xdr:rowOff>
    </xdr:from>
    <xdr:ext cx="288477" cy="172227"/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D8811ADF-94EC-4CA2-89A2-8B53A4CBAE7A}"/>
            </a:ext>
          </a:extLst>
        </xdr:cNvPr>
        <xdr:cNvSpPr txBox="1"/>
      </xdr:nvSpPr>
      <xdr:spPr>
        <a:xfrm>
          <a:off x="2147047" y="341404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2</xdr:col>
      <xdr:colOff>736227</xdr:colOff>
      <xdr:row>106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239B4CA-A6DC-4D9F-B608-989F68FEE893}"/>
                </a:ext>
              </a:extLst>
            </xdr:cNvPr>
            <xdr:cNvSpPr txBox="1"/>
          </xdr:nvSpPr>
          <xdr:spPr>
            <a:xfrm>
              <a:off x="2222127" y="354733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239B4CA-A6DC-4D9F-B608-989F68FEE893}"/>
                </a:ext>
              </a:extLst>
            </xdr:cNvPr>
            <xdr:cNvSpPr txBox="1"/>
          </xdr:nvSpPr>
          <xdr:spPr>
            <a:xfrm>
              <a:off x="2222127" y="354733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107</xdr:row>
      <xdr:rowOff>145675</xdr:rowOff>
    </xdr:from>
    <xdr:ext cx="288477" cy="172227"/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3BEFC36C-1645-4C6B-94BD-A16DFAEA962D}"/>
            </a:ext>
          </a:extLst>
        </xdr:cNvPr>
        <xdr:cNvSpPr txBox="1"/>
      </xdr:nvSpPr>
      <xdr:spPr>
        <a:xfrm>
          <a:off x="2147047" y="357787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2</xdr:col>
      <xdr:colOff>736227</xdr:colOff>
      <xdr:row>116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CAA739B-5A0F-4AC6-AEF4-0E059448B766}"/>
                </a:ext>
              </a:extLst>
            </xdr:cNvPr>
            <xdr:cNvSpPr txBox="1"/>
          </xdr:nvSpPr>
          <xdr:spPr>
            <a:xfrm>
              <a:off x="2222127" y="371116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CAA739B-5A0F-4AC6-AEF4-0E059448B766}"/>
                </a:ext>
              </a:extLst>
            </xdr:cNvPr>
            <xdr:cNvSpPr txBox="1"/>
          </xdr:nvSpPr>
          <xdr:spPr>
            <a:xfrm>
              <a:off x="2222127" y="371116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117</xdr:row>
      <xdr:rowOff>145675</xdr:rowOff>
    </xdr:from>
    <xdr:ext cx="288477" cy="172227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29041047-5B57-451E-B03B-C26E7D224963}"/>
            </a:ext>
          </a:extLst>
        </xdr:cNvPr>
        <xdr:cNvSpPr txBox="1"/>
      </xdr:nvSpPr>
      <xdr:spPr>
        <a:xfrm>
          <a:off x="2147047" y="374170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2</xdr:col>
      <xdr:colOff>736227</xdr:colOff>
      <xdr:row>126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DD315A9-0FAA-4376-B70C-61C7DE9C1B70}"/>
                </a:ext>
              </a:extLst>
            </xdr:cNvPr>
            <xdr:cNvSpPr txBox="1"/>
          </xdr:nvSpPr>
          <xdr:spPr>
            <a:xfrm>
              <a:off x="2222127" y="387499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DD315A9-0FAA-4376-B70C-61C7DE9C1B70}"/>
                </a:ext>
              </a:extLst>
            </xdr:cNvPr>
            <xdr:cNvSpPr txBox="1"/>
          </xdr:nvSpPr>
          <xdr:spPr>
            <a:xfrm>
              <a:off x="2222127" y="387499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127</xdr:row>
      <xdr:rowOff>145675</xdr:rowOff>
    </xdr:from>
    <xdr:ext cx="288477" cy="172227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B1B3E7EF-226E-48BB-8A66-D3AE5AE06E88}"/>
            </a:ext>
          </a:extLst>
        </xdr:cNvPr>
        <xdr:cNvSpPr txBox="1"/>
      </xdr:nvSpPr>
      <xdr:spPr>
        <a:xfrm>
          <a:off x="2147047" y="390553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2</xdr:col>
      <xdr:colOff>736227</xdr:colOff>
      <xdr:row>136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816C6858-58DD-4B28-AE73-2B5D7640C776}"/>
                </a:ext>
              </a:extLst>
            </xdr:cNvPr>
            <xdr:cNvSpPr txBox="1"/>
          </xdr:nvSpPr>
          <xdr:spPr>
            <a:xfrm>
              <a:off x="2222127" y="403882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816C6858-58DD-4B28-AE73-2B5D7640C776}"/>
                </a:ext>
              </a:extLst>
            </xdr:cNvPr>
            <xdr:cNvSpPr txBox="1"/>
          </xdr:nvSpPr>
          <xdr:spPr>
            <a:xfrm>
              <a:off x="2222127" y="403882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137</xdr:row>
      <xdr:rowOff>145675</xdr:rowOff>
    </xdr:from>
    <xdr:ext cx="288477" cy="172227"/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CA82C8C4-090D-4916-9864-E428DC0666D3}"/>
            </a:ext>
          </a:extLst>
        </xdr:cNvPr>
        <xdr:cNvSpPr txBox="1"/>
      </xdr:nvSpPr>
      <xdr:spPr>
        <a:xfrm>
          <a:off x="2147047" y="406936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C44=</a:t>
          </a:r>
        </a:p>
      </xdr:txBody>
    </xdr:sp>
    <xdr:clientData/>
  </xdr:oneCellAnchor>
  <xdr:oneCellAnchor>
    <xdr:from>
      <xdr:col>2</xdr:col>
      <xdr:colOff>736227</xdr:colOff>
      <xdr:row>146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4710F7C-BF79-475F-80A8-450A85C5A415}"/>
                </a:ext>
              </a:extLst>
            </xdr:cNvPr>
            <xdr:cNvSpPr txBox="1"/>
          </xdr:nvSpPr>
          <xdr:spPr>
            <a:xfrm>
              <a:off x="2222127" y="420265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4710F7C-BF79-475F-80A8-450A85C5A415}"/>
                </a:ext>
              </a:extLst>
            </xdr:cNvPr>
            <xdr:cNvSpPr txBox="1"/>
          </xdr:nvSpPr>
          <xdr:spPr>
            <a:xfrm>
              <a:off x="2222127" y="420265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147</xdr:row>
      <xdr:rowOff>145675</xdr:rowOff>
    </xdr:from>
    <xdr:ext cx="288477" cy="172227"/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3BAD739E-1637-4801-AD85-A81EF93199B8}"/>
            </a:ext>
          </a:extLst>
        </xdr:cNvPr>
        <xdr:cNvSpPr txBox="1"/>
      </xdr:nvSpPr>
      <xdr:spPr>
        <a:xfrm>
          <a:off x="2147047" y="423319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C55=</a:t>
          </a:r>
        </a:p>
      </xdr:txBody>
    </xdr:sp>
    <xdr:clientData/>
  </xdr:oneCellAnchor>
  <xdr:oneCellAnchor>
    <xdr:from>
      <xdr:col>2</xdr:col>
      <xdr:colOff>736227</xdr:colOff>
      <xdr:row>156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C0FB311-C811-4446-A420-1D0CAD27A269}"/>
                </a:ext>
              </a:extLst>
            </xdr:cNvPr>
            <xdr:cNvSpPr txBox="1"/>
          </xdr:nvSpPr>
          <xdr:spPr>
            <a:xfrm>
              <a:off x="2222127" y="436648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C0FB311-C811-4446-A420-1D0CAD27A269}"/>
                </a:ext>
              </a:extLst>
            </xdr:cNvPr>
            <xdr:cNvSpPr txBox="1"/>
          </xdr:nvSpPr>
          <xdr:spPr>
            <a:xfrm>
              <a:off x="2222127" y="436648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157</xdr:row>
      <xdr:rowOff>145675</xdr:rowOff>
    </xdr:from>
    <xdr:ext cx="288477" cy="172227"/>
    <xdr:sp macro="" textlink="">
      <xdr:nvSpPr>
        <xdr:cNvPr id="57" name="CaixaDeTexto 56">
          <a:extLst>
            <a:ext uri="{FF2B5EF4-FFF2-40B4-BE49-F238E27FC236}">
              <a16:creationId xmlns:a16="http://schemas.microsoft.com/office/drawing/2014/main" id="{0AAAA79A-FBB6-4B15-AF8F-ADA8B564882A}"/>
            </a:ext>
          </a:extLst>
        </xdr:cNvPr>
        <xdr:cNvSpPr txBox="1"/>
      </xdr:nvSpPr>
      <xdr:spPr>
        <a:xfrm>
          <a:off x="2147047" y="439702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C66=</a:t>
          </a:r>
        </a:p>
      </xdr:txBody>
    </xdr:sp>
    <xdr:clientData/>
  </xdr:oneCellAnchor>
  <xdr:oneCellAnchor>
    <xdr:from>
      <xdr:col>1</xdr:col>
      <xdr:colOff>456079</xdr:colOff>
      <xdr:row>169</xdr:row>
      <xdr:rowOff>2241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011EBFA-39F7-4A00-9CC5-779310A47182}"/>
                </a:ext>
              </a:extLst>
            </xdr:cNvPr>
            <xdr:cNvSpPr txBox="1"/>
          </xdr:nvSpPr>
          <xdr:spPr>
            <a:xfrm>
              <a:off x="1141879" y="45788916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011EBFA-39F7-4A00-9CC5-779310A47182}"/>
                </a:ext>
              </a:extLst>
            </xdr:cNvPr>
            <xdr:cNvSpPr txBox="1"/>
          </xdr:nvSpPr>
          <xdr:spPr>
            <a:xfrm>
              <a:off x="1141879" y="45788916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672352</xdr:colOff>
      <xdr:row>170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D2E1B7B1-89C6-4D3E-8505-26C3BB9A677F}"/>
                </a:ext>
              </a:extLst>
            </xdr:cNvPr>
            <xdr:cNvSpPr txBox="1"/>
          </xdr:nvSpPr>
          <xdr:spPr>
            <a:xfrm>
              <a:off x="1358152" y="4608306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D2E1B7B1-89C6-4D3E-8505-26C3BB9A677F}"/>
                </a:ext>
              </a:extLst>
            </xdr:cNvPr>
            <xdr:cNvSpPr txBox="1"/>
          </xdr:nvSpPr>
          <xdr:spPr>
            <a:xfrm>
              <a:off x="1358152" y="4608306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25</xdr:col>
      <xdr:colOff>521874</xdr:colOff>
      <xdr:row>172</xdr:row>
      <xdr:rowOff>139274</xdr:rowOff>
    </xdr:from>
    <xdr:to>
      <xdr:col>35</xdr:col>
      <xdr:colOff>29858</xdr:colOff>
      <xdr:row>176</xdr:row>
      <xdr:rowOff>10236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id="{7F883DC5-7720-4BC5-B949-109615ED9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32338" y="28700667"/>
          <a:ext cx="5821699" cy="524105"/>
        </a:xfrm>
        <a:prstGeom prst="rect">
          <a:avLst/>
        </a:prstGeom>
      </xdr:spPr>
    </xdr:pic>
    <xdr:clientData/>
  </xdr:twoCellAnchor>
  <xdr:oneCellAnchor>
    <xdr:from>
      <xdr:col>1</xdr:col>
      <xdr:colOff>694764</xdr:colOff>
      <xdr:row>174</xdr:row>
      <xdr:rowOff>134471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EF6B89EF-8A0A-4D84-9983-1CCD9E74CFB9}"/>
                </a:ext>
              </a:extLst>
            </xdr:cNvPr>
            <xdr:cNvSpPr txBox="1"/>
          </xdr:nvSpPr>
          <xdr:spPr>
            <a:xfrm>
              <a:off x="1380564" y="46730771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EF6B89EF-8A0A-4D84-9983-1CCD9E74CFB9}"/>
                </a:ext>
              </a:extLst>
            </xdr:cNvPr>
            <xdr:cNvSpPr txBox="1"/>
          </xdr:nvSpPr>
          <xdr:spPr>
            <a:xfrm>
              <a:off x="1380564" y="46730771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616324</xdr:colOff>
      <xdr:row>164</xdr:row>
      <xdr:rowOff>168087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22D60226-FB91-482B-A4A0-9CD4910F260A}"/>
                </a:ext>
              </a:extLst>
            </xdr:cNvPr>
            <xdr:cNvSpPr txBox="1"/>
          </xdr:nvSpPr>
          <xdr:spPr>
            <a:xfrm>
              <a:off x="8884024" y="45135612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22D60226-FB91-482B-A4A0-9CD4910F260A}"/>
                </a:ext>
              </a:extLst>
            </xdr:cNvPr>
            <xdr:cNvSpPr txBox="1"/>
          </xdr:nvSpPr>
          <xdr:spPr>
            <a:xfrm>
              <a:off x="8884024" y="45135612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0</xdr:colOff>
      <xdr:row>173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DE080E2-7AB1-49C1-8C2B-F2BF3FD88A1A}"/>
                </a:ext>
              </a:extLst>
            </xdr:cNvPr>
            <xdr:cNvSpPr txBox="1"/>
          </xdr:nvSpPr>
          <xdr:spPr>
            <a:xfrm>
              <a:off x="1485900" y="4643437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DE080E2-7AB1-49C1-8C2B-F2BF3FD88A1A}"/>
                </a:ext>
              </a:extLst>
            </xdr:cNvPr>
            <xdr:cNvSpPr txBox="1"/>
          </xdr:nvSpPr>
          <xdr:spPr>
            <a:xfrm>
              <a:off x="1485900" y="4643437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347382</xdr:colOff>
      <xdr:row>168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715FABC1-3A4A-44E3-BACF-EE5C855CCF7A}"/>
                </a:ext>
              </a:extLst>
            </xdr:cNvPr>
            <xdr:cNvSpPr txBox="1"/>
          </xdr:nvSpPr>
          <xdr:spPr>
            <a:xfrm>
              <a:off x="8615082" y="4574801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715FABC1-3A4A-44E3-BACF-EE5C855CCF7A}"/>
                </a:ext>
              </a:extLst>
            </xdr:cNvPr>
            <xdr:cNvSpPr txBox="1"/>
          </xdr:nvSpPr>
          <xdr:spPr>
            <a:xfrm>
              <a:off x="8615082" y="4574801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299197</xdr:colOff>
      <xdr:row>183</xdr:row>
      <xdr:rowOff>2242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1CEE8B3-65FB-4671-83E3-C1C82E69F47D}"/>
                </a:ext>
              </a:extLst>
            </xdr:cNvPr>
            <xdr:cNvSpPr txBox="1"/>
          </xdr:nvSpPr>
          <xdr:spPr>
            <a:xfrm>
              <a:off x="984997" y="48113017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1CEE8B3-65FB-4671-83E3-C1C82E69F47D}"/>
                </a:ext>
              </a:extLst>
            </xdr:cNvPr>
            <xdr:cNvSpPr txBox="1"/>
          </xdr:nvSpPr>
          <xdr:spPr>
            <a:xfrm>
              <a:off x="984997" y="48113017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672352</xdr:colOff>
      <xdr:row>184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2328B320-706E-435A-A98C-B053804EA27F}"/>
                </a:ext>
              </a:extLst>
            </xdr:cNvPr>
            <xdr:cNvSpPr txBox="1"/>
          </xdr:nvSpPr>
          <xdr:spPr>
            <a:xfrm>
              <a:off x="1358152" y="4840716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2328B320-706E-435A-A98C-B053804EA27F}"/>
                </a:ext>
              </a:extLst>
            </xdr:cNvPr>
            <xdr:cNvSpPr txBox="1"/>
          </xdr:nvSpPr>
          <xdr:spPr>
            <a:xfrm>
              <a:off x="1358152" y="4840716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369794</xdr:colOff>
      <xdr:row>189</xdr:row>
      <xdr:rowOff>11206</xdr:rowOff>
    </xdr:from>
    <xdr:ext cx="1389529" cy="235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905B4877-E7E3-4EC3-BECE-ABB6DD93D9C9}"/>
                </a:ext>
              </a:extLst>
            </xdr:cNvPr>
            <xdr:cNvSpPr txBox="1"/>
          </xdr:nvSpPr>
          <xdr:spPr>
            <a:xfrm>
              <a:off x="1055594" y="49093531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∗(1+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0)=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905B4877-E7E3-4EC3-BECE-ABB6DD93D9C9}"/>
                </a:ext>
              </a:extLst>
            </xdr:cNvPr>
            <xdr:cNvSpPr txBox="1"/>
          </xdr:nvSpPr>
          <xdr:spPr>
            <a:xfrm>
              <a:off x="1055594" y="49093531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2∗(1+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302560</xdr:colOff>
      <xdr:row>178</xdr:row>
      <xdr:rowOff>156881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AB283BD-A5D3-47BE-9BC3-AD40419D4143}"/>
                </a:ext>
              </a:extLst>
            </xdr:cNvPr>
            <xdr:cNvSpPr txBox="1"/>
          </xdr:nvSpPr>
          <xdr:spPr>
            <a:xfrm>
              <a:off x="8570260" y="4744850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AB283BD-A5D3-47BE-9BC3-AD40419D4143}"/>
                </a:ext>
              </a:extLst>
            </xdr:cNvPr>
            <xdr:cNvSpPr txBox="1"/>
          </xdr:nvSpPr>
          <xdr:spPr>
            <a:xfrm>
              <a:off x="8570260" y="4744850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0</xdr:colOff>
      <xdr:row>187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87FA922-14BA-4D07-8428-0C6E93A39E59}"/>
                </a:ext>
              </a:extLst>
            </xdr:cNvPr>
            <xdr:cNvSpPr txBox="1"/>
          </xdr:nvSpPr>
          <xdr:spPr>
            <a:xfrm>
              <a:off x="1485900" y="4875847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87FA922-14BA-4D07-8428-0C6E93A39E59}"/>
                </a:ext>
              </a:extLst>
            </xdr:cNvPr>
            <xdr:cNvSpPr txBox="1"/>
          </xdr:nvSpPr>
          <xdr:spPr>
            <a:xfrm>
              <a:off x="1485900" y="4875847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358588</xdr:colOff>
      <xdr:row>182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C00AB851-5D6B-4815-B875-A188385D0417}"/>
                </a:ext>
              </a:extLst>
            </xdr:cNvPr>
            <xdr:cNvSpPr txBox="1"/>
          </xdr:nvSpPr>
          <xdr:spPr>
            <a:xfrm>
              <a:off x="8626288" y="4807211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C00AB851-5D6B-4815-B875-A188385D0417}"/>
                </a:ext>
              </a:extLst>
            </xdr:cNvPr>
            <xdr:cNvSpPr txBox="1"/>
          </xdr:nvSpPr>
          <xdr:spPr>
            <a:xfrm>
              <a:off x="8626288" y="4807211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24</xdr:col>
      <xdr:colOff>477851</xdr:colOff>
      <xdr:row>183</xdr:row>
      <xdr:rowOff>47225</xdr:rowOff>
    </xdr:from>
    <xdr:to>
      <xdr:col>34</xdr:col>
      <xdr:colOff>71573</xdr:colOff>
      <xdr:row>186</xdr:row>
      <xdr:rowOff>33841</xdr:rowOff>
    </xdr:to>
    <xdr:pic>
      <xdr:nvPicPr>
        <xdr:cNvPr id="73" name="Imagem 72">
          <a:extLst>
            <a:ext uri="{FF2B5EF4-FFF2-40B4-BE49-F238E27FC236}">
              <a16:creationId xmlns:a16="http://schemas.microsoft.com/office/drawing/2014/main" id="{75423993-2874-4437-A053-5648CB3C2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75994" y="30472796"/>
          <a:ext cx="5907436" cy="476474"/>
        </a:xfrm>
        <a:prstGeom prst="rect">
          <a:avLst/>
        </a:prstGeom>
      </xdr:spPr>
    </xdr:pic>
    <xdr:clientData/>
  </xdr:twoCellAnchor>
  <xdr:twoCellAnchor editAs="oneCell">
    <xdr:from>
      <xdr:col>24</xdr:col>
      <xdr:colOff>405814</xdr:colOff>
      <xdr:row>193</xdr:row>
      <xdr:rowOff>76040</xdr:rowOff>
    </xdr:from>
    <xdr:to>
      <xdr:col>33</xdr:col>
      <xdr:colOff>223600</xdr:colOff>
      <xdr:row>209</xdr:row>
      <xdr:rowOff>23715</xdr:rowOff>
    </xdr:to>
    <xdr:pic>
      <xdr:nvPicPr>
        <xdr:cNvPr id="74" name="Imagem 73">
          <a:extLst>
            <a:ext uri="{FF2B5EF4-FFF2-40B4-BE49-F238E27FC236}">
              <a16:creationId xmlns:a16="http://schemas.microsoft.com/office/drawing/2014/main" id="{11261FEF-F0B0-4BA1-A41F-26EF6EEDF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03957" y="32202504"/>
          <a:ext cx="5519179" cy="2560247"/>
        </a:xfrm>
        <a:prstGeom prst="rect">
          <a:avLst/>
        </a:prstGeom>
      </xdr:spPr>
    </xdr:pic>
    <xdr:clientData/>
  </xdr:twoCellAnchor>
  <xdr:oneCellAnchor>
    <xdr:from>
      <xdr:col>1</xdr:col>
      <xdr:colOff>212913</xdr:colOff>
      <xdr:row>193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8438561F-45E3-4C11-A2F3-CA5A104A38FC}"/>
                </a:ext>
              </a:extLst>
            </xdr:cNvPr>
            <xdr:cNvSpPr txBox="1"/>
          </xdr:nvSpPr>
          <xdr:spPr>
            <a:xfrm>
              <a:off x="898713" y="498880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8438561F-45E3-4C11-A2F3-CA5A104A38FC}"/>
                </a:ext>
              </a:extLst>
            </xdr:cNvPr>
            <xdr:cNvSpPr txBox="1"/>
          </xdr:nvSpPr>
          <xdr:spPr>
            <a:xfrm>
              <a:off x="898713" y="498880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𝐻0:𝐵_0=0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195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6D500335-32E7-4F95-B724-D9F9529A5B61}"/>
                </a:ext>
              </a:extLst>
            </xdr:cNvPr>
            <xdr:cNvSpPr txBox="1"/>
          </xdr:nvSpPr>
          <xdr:spPr>
            <a:xfrm>
              <a:off x="909917" y="502342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6D500335-32E7-4F95-B724-D9F9529A5B61}"/>
                </a:ext>
              </a:extLst>
            </xdr:cNvPr>
            <xdr:cNvSpPr txBox="1"/>
          </xdr:nvSpPr>
          <xdr:spPr>
            <a:xfrm>
              <a:off x="909917" y="502342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𝐻1:𝐵_0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198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3E1AA53C-2BF8-425E-AA39-7463AE30C0D1}"/>
                </a:ext>
              </a:extLst>
            </xdr:cNvPr>
            <xdr:cNvSpPr txBox="1"/>
          </xdr:nvSpPr>
          <xdr:spPr>
            <a:xfrm>
              <a:off x="1134036" y="507312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3E1AA53C-2BF8-425E-AA39-7463AE30C0D1}"/>
                </a:ext>
              </a:extLst>
            </xdr:cNvPr>
            <xdr:cNvSpPr txBox="1"/>
          </xdr:nvSpPr>
          <xdr:spPr>
            <a:xfrm>
              <a:off x="1134036" y="507312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193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DBC549E1-FDC6-47A1-BD33-BDA401DB3742}"/>
                </a:ext>
              </a:extLst>
            </xdr:cNvPr>
            <xdr:cNvSpPr txBox="1"/>
          </xdr:nvSpPr>
          <xdr:spPr>
            <a:xfrm>
              <a:off x="2626658" y="498790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00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DBC549E1-FDC6-47A1-BD33-BDA401DB3742}"/>
                </a:ext>
              </a:extLst>
            </xdr:cNvPr>
            <xdr:cNvSpPr txBox="1"/>
          </xdr:nvSpPr>
          <xdr:spPr>
            <a:xfrm>
              <a:off x="2626658" y="498790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400" b="0" i="0">
                  <a:latin typeface="Cambria Math" panose="02040503050406030204" pitchFamily="18" charset="0"/>
                </a:rPr>
                <a:t>0 ) ̂/√(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400" b="0" i="0">
                  <a:latin typeface="Cambria Math" panose="02040503050406030204" pitchFamily="18" charset="0"/>
                </a:rPr>
                <a:t>2∗𝐶_00 )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195</xdr:row>
      <xdr:rowOff>145675</xdr:rowOff>
    </xdr:from>
    <xdr:ext cx="288477" cy="172227"/>
    <xdr:sp macro="" textlink="">
      <xdr:nvSpPr>
        <xdr:cNvPr id="79" name="CaixaDeTexto 78">
          <a:extLst>
            <a:ext uri="{FF2B5EF4-FFF2-40B4-BE49-F238E27FC236}">
              <a16:creationId xmlns:a16="http://schemas.microsoft.com/office/drawing/2014/main" id="{7EB539FC-7A2F-4E6C-9349-D96CBEC7F2E8}"/>
            </a:ext>
          </a:extLst>
        </xdr:cNvPr>
        <xdr:cNvSpPr txBox="1"/>
      </xdr:nvSpPr>
      <xdr:spPr>
        <a:xfrm>
          <a:off x="5924550" y="502567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</xdr:col>
      <xdr:colOff>212913</xdr:colOff>
      <xdr:row>211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5C933E17-8255-484C-AEB2-5AFA8C24EACB}"/>
                </a:ext>
              </a:extLst>
            </xdr:cNvPr>
            <xdr:cNvSpPr txBox="1"/>
          </xdr:nvSpPr>
          <xdr:spPr>
            <a:xfrm>
              <a:off x="898713" y="528217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5C933E17-8255-484C-AEB2-5AFA8C24EACB}"/>
                </a:ext>
              </a:extLst>
            </xdr:cNvPr>
            <xdr:cNvSpPr txBox="1"/>
          </xdr:nvSpPr>
          <xdr:spPr>
            <a:xfrm>
              <a:off x="898713" y="528217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𝐻0:𝐵_1=0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213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FF6970BF-E92A-4CA3-9572-B6398C1985AB}"/>
                </a:ext>
              </a:extLst>
            </xdr:cNvPr>
            <xdr:cNvSpPr txBox="1"/>
          </xdr:nvSpPr>
          <xdr:spPr>
            <a:xfrm>
              <a:off x="909917" y="531679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FF6970BF-E92A-4CA3-9572-B6398C1985AB}"/>
                </a:ext>
              </a:extLst>
            </xdr:cNvPr>
            <xdr:cNvSpPr txBox="1"/>
          </xdr:nvSpPr>
          <xdr:spPr>
            <a:xfrm>
              <a:off x="909917" y="531679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𝐻1:𝐵_1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216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583E07C0-D37D-408A-B046-170156997CA8}"/>
                </a:ext>
              </a:extLst>
            </xdr:cNvPr>
            <xdr:cNvSpPr txBox="1"/>
          </xdr:nvSpPr>
          <xdr:spPr>
            <a:xfrm>
              <a:off x="1134036" y="536649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583E07C0-D37D-408A-B046-170156997CA8}"/>
                </a:ext>
              </a:extLst>
            </xdr:cNvPr>
            <xdr:cNvSpPr txBox="1"/>
          </xdr:nvSpPr>
          <xdr:spPr>
            <a:xfrm>
              <a:off x="1134036" y="536649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211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F07E3DF6-F3B5-4BAB-88AD-9AF35274B288}"/>
                </a:ext>
              </a:extLst>
            </xdr:cNvPr>
            <xdr:cNvSpPr txBox="1"/>
          </xdr:nvSpPr>
          <xdr:spPr>
            <a:xfrm>
              <a:off x="2626658" y="528127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F07E3DF6-F3B5-4BAB-88AD-9AF35274B288}"/>
                </a:ext>
              </a:extLst>
            </xdr:cNvPr>
            <xdr:cNvSpPr txBox="1"/>
          </xdr:nvSpPr>
          <xdr:spPr>
            <a:xfrm>
              <a:off x="2626658" y="528127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𝛽_1 )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2∗𝐶_11 )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213</xdr:row>
      <xdr:rowOff>145675</xdr:rowOff>
    </xdr:from>
    <xdr:ext cx="288477" cy="172227"/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DEA854C7-4C30-4867-9DFC-F3DB4F36468A}"/>
            </a:ext>
          </a:extLst>
        </xdr:cNvPr>
        <xdr:cNvSpPr txBox="1"/>
      </xdr:nvSpPr>
      <xdr:spPr>
        <a:xfrm>
          <a:off x="5924550" y="531904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</xdr:col>
      <xdr:colOff>212913</xdr:colOff>
      <xdr:row>229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1FE3E81C-1EFA-4640-ADD1-5CEB7B61BAD9}"/>
                </a:ext>
              </a:extLst>
            </xdr:cNvPr>
            <xdr:cNvSpPr txBox="1"/>
          </xdr:nvSpPr>
          <xdr:spPr>
            <a:xfrm>
              <a:off x="898713" y="557554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1FE3E81C-1EFA-4640-ADD1-5CEB7B61BAD9}"/>
                </a:ext>
              </a:extLst>
            </xdr:cNvPr>
            <xdr:cNvSpPr txBox="1"/>
          </xdr:nvSpPr>
          <xdr:spPr>
            <a:xfrm>
              <a:off x="898713" y="557554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𝐻0:𝐵_2=0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231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56EB2E82-67F4-493D-836E-E8338C38D7E0}"/>
                </a:ext>
              </a:extLst>
            </xdr:cNvPr>
            <xdr:cNvSpPr txBox="1"/>
          </xdr:nvSpPr>
          <xdr:spPr>
            <a:xfrm>
              <a:off x="909917" y="561016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56EB2E82-67F4-493D-836E-E8338C38D7E0}"/>
                </a:ext>
              </a:extLst>
            </xdr:cNvPr>
            <xdr:cNvSpPr txBox="1"/>
          </xdr:nvSpPr>
          <xdr:spPr>
            <a:xfrm>
              <a:off x="909917" y="561016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𝐻1:𝐵_2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234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4AA19380-B99A-4D9F-B75F-B62840B8E5F4}"/>
                </a:ext>
              </a:extLst>
            </xdr:cNvPr>
            <xdr:cNvSpPr txBox="1"/>
          </xdr:nvSpPr>
          <xdr:spPr>
            <a:xfrm>
              <a:off x="1134036" y="565986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4AA19380-B99A-4D9F-B75F-B62840B8E5F4}"/>
                </a:ext>
              </a:extLst>
            </xdr:cNvPr>
            <xdr:cNvSpPr txBox="1"/>
          </xdr:nvSpPr>
          <xdr:spPr>
            <a:xfrm>
              <a:off x="1134036" y="565986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229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7CD1D4AE-12F8-4CC4-8E29-9EBCEE1641E1}"/>
                </a:ext>
              </a:extLst>
            </xdr:cNvPr>
            <xdr:cNvSpPr txBox="1"/>
          </xdr:nvSpPr>
          <xdr:spPr>
            <a:xfrm>
              <a:off x="2626658" y="557464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22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7CD1D4AE-12F8-4CC4-8E29-9EBCEE1641E1}"/>
                </a:ext>
              </a:extLst>
            </xdr:cNvPr>
            <xdr:cNvSpPr txBox="1"/>
          </xdr:nvSpPr>
          <xdr:spPr>
            <a:xfrm>
              <a:off x="2626658" y="557464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𝛽_2 )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2∗𝐶_22 )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231</xdr:row>
      <xdr:rowOff>145675</xdr:rowOff>
    </xdr:from>
    <xdr:ext cx="288477" cy="172227"/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F580CB3F-946D-40B1-9042-2F308F14A099}"/>
            </a:ext>
          </a:extLst>
        </xdr:cNvPr>
        <xdr:cNvSpPr txBox="1"/>
      </xdr:nvSpPr>
      <xdr:spPr>
        <a:xfrm>
          <a:off x="5924550" y="561241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</xdr:col>
      <xdr:colOff>212913</xdr:colOff>
      <xdr:row>247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125BE94B-0DFF-4863-AD2B-87A87B2E0FD0}"/>
                </a:ext>
              </a:extLst>
            </xdr:cNvPr>
            <xdr:cNvSpPr txBox="1"/>
          </xdr:nvSpPr>
          <xdr:spPr>
            <a:xfrm>
              <a:off x="898713" y="586891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125BE94B-0DFF-4863-AD2B-87A87B2E0FD0}"/>
                </a:ext>
              </a:extLst>
            </xdr:cNvPr>
            <xdr:cNvSpPr txBox="1"/>
          </xdr:nvSpPr>
          <xdr:spPr>
            <a:xfrm>
              <a:off x="898713" y="586891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𝐻0:𝐵_3=0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249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71EA4BB2-0ED3-4A8C-B92D-B602810CE152}"/>
                </a:ext>
              </a:extLst>
            </xdr:cNvPr>
            <xdr:cNvSpPr txBox="1"/>
          </xdr:nvSpPr>
          <xdr:spPr>
            <a:xfrm>
              <a:off x="909917" y="590353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71EA4BB2-0ED3-4A8C-B92D-B602810CE152}"/>
                </a:ext>
              </a:extLst>
            </xdr:cNvPr>
            <xdr:cNvSpPr txBox="1"/>
          </xdr:nvSpPr>
          <xdr:spPr>
            <a:xfrm>
              <a:off x="909917" y="590353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𝐻1:𝐵_3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252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3C5A6138-8581-49D0-AD39-BA673D910C81}"/>
                </a:ext>
              </a:extLst>
            </xdr:cNvPr>
            <xdr:cNvSpPr txBox="1"/>
          </xdr:nvSpPr>
          <xdr:spPr>
            <a:xfrm>
              <a:off x="1134036" y="595323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3C5A6138-8581-49D0-AD39-BA673D910C81}"/>
                </a:ext>
              </a:extLst>
            </xdr:cNvPr>
            <xdr:cNvSpPr txBox="1"/>
          </xdr:nvSpPr>
          <xdr:spPr>
            <a:xfrm>
              <a:off x="1134036" y="595323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247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35E20E3B-4CF2-43C9-9E89-6CCC6911D2A6}"/>
                </a:ext>
              </a:extLst>
            </xdr:cNvPr>
            <xdr:cNvSpPr txBox="1"/>
          </xdr:nvSpPr>
          <xdr:spPr>
            <a:xfrm>
              <a:off x="2626658" y="586801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33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35E20E3B-4CF2-43C9-9E89-6CCC6911D2A6}"/>
                </a:ext>
              </a:extLst>
            </xdr:cNvPr>
            <xdr:cNvSpPr txBox="1"/>
          </xdr:nvSpPr>
          <xdr:spPr>
            <a:xfrm>
              <a:off x="2626658" y="586801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𝛽_3 )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2∗𝐶_33 )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249</xdr:row>
      <xdr:rowOff>145675</xdr:rowOff>
    </xdr:from>
    <xdr:ext cx="288477" cy="172227"/>
    <xdr:sp macro="" textlink="">
      <xdr:nvSpPr>
        <xdr:cNvPr id="97" name="CaixaDeTexto 96">
          <a:extLst>
            <a:ext uri="{FF2B5EF4-FFF2-40B4-BE49-F238E27FC236}">
              <a16:creationId xmlns:a16="http://schemas.microsoft.com/office/drawing/2014/main" id="{53AC92B8-9F57-4EB3-961C-8913CA96BFF8}"/>
            </a:ext>
          </a:extLst>
        </xdr:cNvPr>
        <xdr:cNvSpPr txBox="1"/>
      </xdr:nvSpPr>
      <xdr:spPr>
        <a:xfrm>
          <a:off x="5924550" y="590578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</xdr:col>
      <xdr:colOff>212913</xdr:colOff>
      <xdr:row>265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94BCCD2F-E9F2-442D-951A-EDF51B676680}"/>
                </a:ext>
              </a:extLst>
            </xdr:cNvPr>
            <xdr:cNvSpPr txBox="1"/>
          </xdr:nvSpPr>
          <xdr:spPr>
            <a:xfrm>
              <a:off x="898713" y="616228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94BCCD2F-E9F2-442D-951A-EDF51B676680}"/>
                </a:ext>
              </a:extLst>
            </xdr:cNvPr>
            <xdr:cNvSpPr txBox="1"/>
          </xdr:nvSpPr>
          <xdr:spPr>
            <a:xfrm>
              <a:off x="898713" y="616228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𝐻0:𝐵_4=0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267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C7B00BE1-DCE3-4F48-AE3F-AFFFCFB93CDE}"/>
                </a:ext>
              </a:extLst>
            </xdr:cNvPr>
            <xdr:cNvSpPr txBox="1"/>
          </xdr:nvSpPr>
          <xdr:spPr>
            <a:xfrm>
              <a:off x="909917" y="619690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C7B00BE1-DCE3-4F48-AE3F-AFFFCFB93CDE}"/>
                </a:ext>
              </a:extLst>
            </xdr:cNvPr>
            <xdr:cNvSpPr txBox="1"/>
          </xdr:nvSpPr>
          <xdr:spPr>
            <a:xfrm>
              <a:off x="909917" y="619690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𝐻1:𝐵_4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270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D1D0B7E6-06E4-4769-91D2-9CB88CD2AE3D}"/>
                </a:ext>
              </a:extLst>
            </xdr:cNvPr>
            <xdr:cNvSpPr txBox="1"/>
          </xdr:nvSpPr>
          <xdr:spPr>
            <a:xfrm>
              <a:off x="1134036" y="624660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D1D0B7E6-06E4-4769-91D2-9CB88CD2AE3D}"/>
                </a:ext>
              </a:extLst>
            </xdr:cNvPr>
            <xdr:cNvSpPr txBox="1"/>
          </xdr:nvSpPr>
          <xdr:spPr>
            <a:xfrm>
              <a:off x="1134036" y="624660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265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99210920-BA0E-41C0-B898-3CBF7D1D253F}"/>
                </a:ext>
              </a:extLst>
            </xdr:cNvPr>
            <xdr:cNvSpPr txBox="1"/>
          </xdr:nvSpPr>
          <xdr:spPr>
            <a:xfrm>
              <a:off x="2626658" y="616138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4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44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99210920-BA0E-41C0-B898-3CBF7D1D253F}"/>
                </a:ext>
              </a:extLst>
            </xdr:cNvPr>
            <xdr:cNvSpPr txBox="1"/>
          </xdr:nvSpPr>
          <xdr:spPr>
            <a:xfrm>
              <a:off x="2626658" y="616138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𝛽_4 )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2∗𝐶_44 )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267</xdr:row>
      <xdr:rowOff>145675</xdr:rowOff>
    </xdr:from>
    <xdr:ext cx="288477" cy="172227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6222EADB-8007-4249-B040-D3B9B17C048C}"/>
            </a:ext>
          </a:extLst>
        </xdr:cNvPr>
        <xdr:cNvSpPr txBox="1"/>
      </xdr:nvSpPr>
      <xdr:spPr>
        <a:xfrm>
          <a:off x="5924550" y="619915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C44=</a:t>
          </a:r>
        </a:p>
      </xdr:txBody>
    </xdr:sp>
    <xdr:clientData/>
  </xdr:oneCellAnchor>
  <xdr:oneCellAnchor>
    <xdr:from>
      <xdr:col>1</xdr:col>
      <xdr:colOff>212913</xdr:colOff>
      <xdr:row>283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97DD5349-1D91-4AD3-AE94-F8148236C323}"/>
                </a:ext>
              </a:extLst>
            </xdr:cNvPr>
            <xdr:cNvSpPr txBox="1"/>
          </xdr:nvSpPr>
          <xdr:spPr>
            <a:xfrm>
              <a:off x="898713" y="645565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97DD5349-1D91-4AD3-AE94-F8148236C323}"/>
                </a:ext>
              </a:extLst>
            </xdr:cNvPr>
            <xdr:cNvSpPr txBox="1"/>
          </xdr:nvSpPr>
          <xdr:spPr>
            <a:xfrm>
              <a:off x="898713" y="645565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𝐻0:𝐵_5=0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285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72AF57CB-2070-4035-B072-B42C398E4C81}"/>
                </a:ext>
              </a:extLst>
            </xdr:cNvPr>
            <xdr:cNvSpPr txBox="1"/>
          </xdr:nvSpPr>
          <xdr:spPr>
            <a:xfrm>
              <a:off x="909917" y="649027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72AF57CB-2070-4035-B072-B42C398E4C81}"/>
                </a:ext>
              </a:extLst>
            </xdr:cNvPr>
            <xdr:cNvSpPr txBox="1"/>
          </xdr:nvSpPr>
          <xdr:spPr>
            <a:xfrm>
              <a:off x="909917" y="649027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𝐻1:𝐵_5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288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398C66D4-8158-4560-9A86-4E10E08CA0A7}"/>
                </a:ext>
              </a:extLst>
            </xdr:cNvPr>
            <xdr:cNvSpPr txBox="1"/>
          </xdr:nvSpPr>
          <xdr:spPr>
            <a:xfrm>
              <a:off x="1134036" y="653997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398C66D4-8158-4560-9A86-4E10E08CA0A7}"/>
                </a:ext>
              </a:extLst>
            </xdr:cNvPr>
            <xdr:cNvSpPr txBox="1"/>
          </xdr:nvSpPr>
          <xdr:spPr>
            <a:xfrm>
              <a:off x="1134036" y="653997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283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362D5550-A5B9-40F1-A3BC-4ABAE137B9AE}"/>
                </a:ext>
              </a:extLst>
            </xdr:cNvPr>
            <xdr:cNvSpPr txBox="1"/>
          </xdr:nvSpPr>
          <xdr:spPr>
            <a:xfrm>
              <a:off x="2626658" y="645475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5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55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362D5550-A5B9-40F1-A3BC-4ABAE137B9AE}"/>
                </a:ext>
              </a:extLst>
            </xdr:cNvPr>
            <xdr:cNvSpPr txBox="1"/>
          </xdr:nvSpPr>
          <xdr:spPr>
            <a:xfrm>
              <a:off x="2626658" y="645475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𝛽_5 )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2∗𝐶_55 )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285</xdr:row>
      <xdr:rowOff>145675</xdr:rowOff>
    </xdr:from>
    <xdr:ext cx="288477" cy="172227"/>
    <xdr:sp macro="" textlink="">
      <xdr:nvSpPr>
        <xdr:cNvPr id="109" name="CaixaDeTexto 108">
          <a:extLst>
            <a:ext uri="{FF2B5EF4-FFF2-40B4-BE49-F238E27FC236}">
              <a16:creationId xmlns:a16="http://schemas.microsoft.com/office/drawing/2014/main" id="{F9AF2DA3-739D-4493-AF72-701B1479EAA8}"/>
            </a:ext>
          </a:extLst>
        </xdr:cNvPr>
        <xdr:cNvSpPr txBox="1"/>
      </xdr:nvSpPr>
      <xdr:spPr>
        <a:xfrm>
          <a:off x="5924550" y="649252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C55=</a:t>
          </a:r>
        </a:p>
      </xdr:txBody>
    </xdr:sp>
    <xdr:clientData/>
  </xdr:oneCellAnchor>
  <xdr:oneCellAnchor>
    <xdr:from>
      <xdr:col>1</xdr:col>
      <xdr:colOff>212913</xdr:colOff>
      <xdr:row>301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59C08D03-EA4C-4669-8577-67AF3DFFA953}"/>
                </a:ext>
              </a:extLst>
            </xdr:cNvPr>
            <xdr:cNvSpPr txBox="1"/>
          </xdr:nvSpPr>
          <xdr:spPr>
            <a:xfrm>
              <a:off x="898713" y="674902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59C08D03-EA4C-4669-8577-67AF3DFFA953}"/>
                </a:ext>
              </a:extLst>
            </xdr:cNvPr>
            <xdr:cNvSpPr txBox="1"/>
          </xdr:nvSpPr>
          <xdr:spPr>
            <a:xfrm>
              <a:off x="898713" y="6749022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𝐻0:𝐵_6=0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303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7F16E56-1AAB-42A7-81C1-02E09871E133}"/>
                </a:ext>
              </a:extLst>
            </xdr:cNvPr>
            <xdr:cNvSpPr txBox="1"/>
          </xdr:nvSpPr>
          <xdr:spPr>
            <a:xfrm>
              <a:off x="909917" y="678364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7F16E56-1AAB-42A7-81C1-02E09871E133}"/>
                </a:ext>
              </a:extLst>
            </xdr:cNvPr>
            <xdr:cNvSpPr txBox="1"/>
          </xdr:nvSpPr>
          <xdr:spPr>
            <a:xfrm>
              <a:off x="909917" y="6783648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𝐻1:𝐵_6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306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6E8B4118-C5D5-4424-BFE7-392DE5D90ABF}"/>
                </a:ext>
              </a:extLst>
            </xdr:cNvPr>
            <xdr:cNvSpPr txBox="1"/>
          </xdr:nvSpPr>
          <xdr:spPr>
            <a:xfrm>
              <a:off x="1134036" y="683334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6E8B4118-C5D5-4424-BFE7-392DE5D90ABF}"/>
                </a:ext>
              </a:extLst>
            </xdr:cNvPr>
            <xdr:cNvSpPr txBox="1"/>
          </xdr:nvSpPr>
          <xdr:spPr>
            <a:xfrm>
              <a:off x="1134036" y="683334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301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BE5D7DB5-466C-47FF-8EDB-3B7C1B1F534C}"/>
                </a:ext>
              </a:extLst>
            </xdr:cNvPr>
            <xdr:cNvSpPr txBox="1"/>
          </xdr:nvSpPr>
          <xdr:spPr>
            <a:xfrm>
              <a:off x="2626658" y="674812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6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66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BE5D7DB5-466C-47FF-8EDB-3B7C1B1F534C}"/>
                </a:ext>
              </a:extLst>
            </xdr:cNvPr>
            <xdr:cNvSpPr txBox="1"/>
          </xdr:nvSpPr>
          <xdr:spPr>
            <a:xfrm>
              <a:off x="2626658" y="6748126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𝛽_6 )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2∗𝐶_66 )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303</xdr:row>
      <xdr:rowOff>145675</xdr:rowOff>
    </xdr:from>
    <xdr:ext cx="288477" cy="172227"/>
    <xdr:sp macro="" textlink="">
      <xdr:nvSpPr>
        <xdr:cNvPr id="115" name="CaixaDeTexto 114">
          <a:extLst>
            <a:ext uri="{FF2B5EF4-FFF2-40B4-BE49-F238E27FC236}">
              <a16:creationId xmlns:a16="http://schemas.microsoft.com/office/drawing/2014/main" id="{2EAC6DF5-CE11-44F3-84B8-E06CDBC4DEC0}"/>
            </a:ext>
          </a:extLst>
        </xdr:cNvPr>
        <xdr:cNvSpPr txBox="1"/>
      </xdr:nvSpPr>
      <xdr:spPr>
        <a:xfrm>
          <a:off x="5924550" y="678589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C66=</a:t>
          </a:r>
        </a:p>
      </xdr:txBody>
    </xdr:sp>
    <xdr:clientData/>
  </xdr:oneCellAnchor>
  <xdr:oneCellAnchor>
    <xdr:from>
      <xdr:col>13</xdr:col>
      <xdr:colOff>212913</xdr:colOff>
      <xdr:row>193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983EAA38-A205-4B13-A0E3-E5E473919F6C}"/>
                </a:ext>
              </a:extLst>
            </xdr:cNvPr>
            <xdr:cNvSpPr txBox="1"/>
          </xdr:nvSpPr>
          <xdr:spPr>
            <a:xfrm>
              <a:off x="825234" y="32227318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983EAA38-A205-4B13-A0E3-E5E473919F6C}"/>
                </a:ext>
              </a:extLst>
            </xdr:cNvPr>
            <xdr:cNvSpPr txBox="1"/>
          </xdr:nvSpPr>
          <xdr:spPr>
            <a:xfrm>
              <a:off x="825234" y="32227318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𝐻0:𝐵_0=0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195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5F11920-360D-42F1-85CC-053C97B3DA61}"/>
                </a:ext>
              </a:extLst>
            </xdr:cNvPr>
            <xdr:cNvSpPr txBox="1"/>
          </xdr:nvSpPr>
          <xdr:spPr>
            <a:xfrm>
              <a:off x="836438" y="32576300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5F11920-360D-42F1-85CC-053C97B3DA61}"/>
                </a:ext>
              </a:extLst>
            </xdr:cNvPr>
            <xdr:cNvSpPr txBox="1"/>
          </xdr:nvSpPr>
          <xdr:spPr>
            <a:xfrm>
              <a:off x="836438" y="32576300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𝐻1:𝐵_0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198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4B966347-7525-4996-8D1A-5F69402DB2A3}"/>
                </a:ext>
              </a:extLst>
            </xdr:cNvPr>
            <xdr:cNvSpPr txBox="1"/>
          </xdr:nvSpPr>
          <xdr:spPr>
            <a:xfrm>
              <a:off x="1060557" y="33077363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4B966347-7525-4996-8D1A-5F69402DB2A3}"/>
                </a:ext>
              </a:extLst>
            </xdr:cNvPr>
            <xdr:cNvSpPr txBox="1"/>
          </xdr:nvSpPr>
          <xdr:spPr>
            <a:xfrm>
              <a:off x="1060557" y="33077363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193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5674D2AC-B72B-4018-BEDF-6D6A13472659}"/>
                </a:ext>
              </a:extLst>
            </xdr:cNvPr>
            <xdr:cNvSpPr txBox="1"/>
          </xdr:nvSpPr>
          <xdr:spPr>
            <a:xfrm>
              <a:off x="2520522" y="32218353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00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5674D2AC-B72B-4018-BEDF-6D6A13472659}"/>
                </a:ext>
              </a:extLst>
            </xdr:cNvPr>
            <xdr:cNvSpPr txBox="1"/>
          </xdr:nvSpPr>
          <xdr:spPr>
            <a:xfrm>
              <a:off x="2520522" y="32218353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400" b="0" i="0">
                  <a:latin typeface="Cambria Math" panose="02040503050406030204" pitchFamily="18" charset="0"/>
                </a:rPr>
                <a:t>0 ) ̂/√(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400" b="0" i="0">
                  <a:latin typeface="Cambria Math" panose="02040503050406030204" pitchFamily="18" charset="0"/>
                </a:rPr>
                <a:t>2∗𝐶_00 )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571500</xdr:colOff>
      <xdr:row>195</xdr:row>
      <xdr:rowOff>145675</xdr:rowOff>
    </xdr:from>
    <xdr:ext cx="288477" cy="172227"/>
    <xdr:sp macro="" textlink="">
      <xdr:nvSpPr>
        <xdr:cNvPr id="121" name="CaixaDeTexto 120">
          <a:extLst>
            <a:ext uri="{FF2B5EF4-FFF2-40B4-BE49-F238E27FC236}">
              <a16:creationId xmlns:a16="http://schemas.microsoft.com/office/drawing/2014/main" id="{C04DE9B2-F1D6-4988-9961-863CF5E86F4E}"/>
            </a:ext>
          </a:extLst>
        </xdr:cNvPr>
        <xdr:cNvSpPr txBox="1"/>
      </xdr:nvSpPr>
      <xdr:spPr>
        <a:xfrm>
          <a:off x="5565321" y="32598711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13</xdr:col>
      <xdr:colOff>212913</xdr:colOff>
      <xdr:row>211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FE4E9654-41B7-4974-BB47-8183079447A8}"/>
                </a:ext>
              </a:extLst>
            </xdr:cNvPr>
            <xdr:cNvSpPr txBox="1"/>
          </xdr:nvSpPr>
          <xdr:spPr>
            <a:xfrm>
              <a:off x="825234" y="3519367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FE4E9654-41B7-4974-BB47-8183079447A8}"/>
                </a:ext>
              </a:extLst>
            </xdr:cNvPr>
            <xdr:cNvSpPr txBox="1"/>
          </xdr:nvSpPr>
          <xdr:spPr>
            <a:xfrm>
              <a:off x="825234" y="3519367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𝐻0:𝐵_1=0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213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D7632C56-DB09-4DB4-A1B3-802339A7E1EF}"/>
                </a:ext>
              </a:extLst>
            </xdr:cNvPr>
            <xdr:cNvSpPr txBox="1"/>
          </xdr:nvSpPr>
          <xdr:spPr>
            <a:xfrm>
              <a:off x="836438" y="3554265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D7632C56-DB09-4DB4-A1B3-802339A7E1EF}"/>
                </a:ext>
              </a:extLst>
            </xdr:cNvPr>
            <xdr:cNvSpPr txBox="1"/>
          </xdr:nvSpPr>
          <xdr:spPr>
            <a:xfrm>
              <a:off x="836438" y="3554265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𝐻1:𝐵_1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216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ECA8EF4C-DCCF-4C8C-B862-5EF96B19723F}"/>
                </a:ext>
              </a:extLst>
            </xdr:cNvPr>
            <xdr:cNvSpPr txBox="1"/>
          </xdr:nvSpPr>
          <xdr:spPr>
            <a:xfrm>
              <a:off x="1060557" y="360437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ECA8EF4C-DCCF-4C8C-B862-5EF96B19723F}"/>
                </a:ext>
              </a:extLst>
            </xdr:cNvPr>
            <xdr:cNvSpPr txBox="1"/>
          </xdr:nvSpPr>
          <xdr:spPr>
            <a:xfrm>
              <a:off x="1060557" y="360437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211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3E7696E0-7905-4F5F-A83F-B4D4F6890F0E}"/>
                </a:ext>
              </a:extLst>
            </xdr:cNvPr>
            <xdr:cNvSpPr txBox="1"/>
          </xdr:nvSpPr>
          <xdr:spPr>
            <a:xfrm>
              <a:off x="2520522" y="35184710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3E7696E0-7905-4F5F-A83F-B4D4F6890F0E}"/>
                </a:ext>
              </a:extLst>
            </xdr:cNvPr>
            <xdr:cNvSpPr txBox="1"/>
          </xdr:nvSpPr>
          <xdr:spPr>
            <a:xfrm>
              <a:off x="2520522" y="35184710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𝛽_1 )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2∗𝐶_11 )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571500</xdr:colOff>
      <xdr:row>213</xdr:row>
      <xdr:rowOff>145675</xdr:rowOff>
    </xdr:from>
    <xdr:ext cx="288477" cy="172227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7876F0FF-3665-4673-B866-298A119AF6F3}"/>
            </a:ext>
          </a:extLst>
        </xdr:cNvPr>
        <xdr:cNvSpPr txBox="1"/>
      </xdr:nvSpPr>
      <xdr:spPr>
        <a:xfrm>
          <a:off x="5565321" y="35565068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13</xdr:col>
      <xdr:colOff>212913</xdr:colOff>
      <xdr:row>229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6ACFF829-E34D-4ECD-AC3A-64B255F637C9}"/>
                </a:ext>
              </a:extLst>
            </xdr:cNvPr>
            <xdr:cNvSpPr txBox="1"/>
          </xdr:nvSpPr>
          <xdr:spPr>
            <a:xfrm>
              <a:off x="825234" y="3816003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6ACFF829-E34D-4ECD-AC3A-64B255F637C9}"/>
                </a:ext>
              </a:extLst>
            </xdr:cNvPr>
            <xdr:cNvSpPr txBox="1"/>
          </xdr:nvSpPr>
          <xdr:spPr>
            <a:xfrm>
              <a:off x="825234" y="3816003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𝐻0:𝐵_2=0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231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7D9AB1F1-9A91-4506-9761-609FE16BE22D}"/>
                </a:ext>
              </a:extLst>
            </xdr:cNvPr>
            <xdr:cNvSpPr txBox="1"/>
          </xdr:nvSpPr>
          <xdr:spPr>
            <a:xfrm>
              <a:off x="836438" y="3850901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7D9AB1F1-9A91-4506-9761-609FE16BE22D}"/>
                </a:ext>
              </a:extLst>
            </xdr:cNvPr>
            <xdr:cNvSpPr txBox="1"/>
          </xdr:nvSpPr>
          <xdr:spPr>
            <a:xfrm>
              <a:off x="836438" y="3850901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𝐻1:𝐵_2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234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0015F760-F443-4885-A8A3-896182111F1B}"/>
                </a:ext>
              </a:extLst>
            </xdr:cNvPr>
            <xdr:cNvSpPr txBox="1"/>
          </xdr:nvSpPr>
          <xdr:spPr>
            <a:xfrm>
              <a:off x="1060557" y="3901007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0015F760-F443-4885-A8A3-896182111F1B}"/>
                </a:ext>
              </a:extLst>
            </xdr:cNvPr>
            <xdr:cNvSpPr txBox="1"/>
          </xdr:nvSpPr>
          <xdr:spPr>
            <a:xfrm>
              <a:off x="1060557" y="3901007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229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302F653A-E361-4A9D-935B-0686D1D2E0DE}"/>
                </a:ext>
              </a:extLst>
            </xdr:cNvPr>
            <xdr:cNvSpPr txBox="1"/>
          </xdr:nvSpPr>
          <xdr:spPr>
            <a:xfrm>
              <a:off x="2520522" y="38151068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22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302F653A-E361-4A9D-935B-0686D1D2E0DE}"/>
                </a:ext>
              </a:extLst>
            </xdr:cNvPr>
            <xdr:cNvSpPr txBox="1"/>
          </xdr:nvSpPr>
          <xdr:spPr>
            <a:xfrm>
              <a:off x="2520522" y="38151068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𝛽_2 )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2∗𝐶_22 )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571500</xdr:colOff>
      <xdr:row>231</xdr:row>
      <xdr:rowOff>145675</xdr:rowOff>
    </xdr:from>
    <xdr:ext cx="288477" cy="172227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AB7D85D3-3643-42D0-A94F-F557ABF9C788}"/>
            </a:ext>
          </a:extLst>
        </xdr:cNvPr>
        <xdr:cNvSpPr txBox="1"/>
      </xdr:nvSpPr>
      <xdr:spPr>
        <a:xfrm>
          <a:off x="5565321" y="385314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13</xdr:col>
      <xdr:colOff>212913</xdr:colOff>
      <xdr:row>247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737FBEE9-4153-4F96-AD70-A4D5A785E04C}"/>
                </a:ext>
              </a:extLst>
            </xdr:cNvPr>
            <xdr:cNvSpPr txBox="1"/>
          </xdr:nvSpPr>
          <xdr:spPr>
            <a:xfrm>
              <a:off x="825234" y="41126390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737FBEE9-4153-4F96-AD70-A4D5A785E04C}"/>
                </a:ext>
              </a:extLst>
            </xdr:cNvPr>
            <xdr:cNvSpPr txBox="1"/>
          </xdr:nvSpPr>
          <xdr:spPr>
            <a:xfrm>
              <a:off x="825234" y="41126390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𝐻0:𝐵_3=0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249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8EA47B9B-CC6B-423C-830E-6D13776D90FA}"/>
                </a:ext>
              </a:extLst>
            </xdr:cNvPr>
            <xdr:cNvSpPr txBox="1"/>
          </xdr:nvSpPr>
          <xdr:spPr>
            <a:xfrm>
              <a:off x="836438" y="41475371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8EA47B9B-CC6B-423C-830E-6D13776D90FA}"/>
                </a:ext>
              </a:extLst>
            </xdr:cNvPr>
            <xdr:cNvSpPr txBox="1"/>
          </xdr:nvSpPr>
          <xdr:spPr>
            <a:xfrm>
              <a:off x="836438" y="41475371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𝐻1:𝐵_3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252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51C3CBE-8D70-4A52-A131-6BD6918FEE7A}"/>
                </a:ext>
              </a:extLst>
            </xdr:cNvPr>
            <xdr:cNvSpPr txBox="1"/>
          </xdr:nvSpPr>
          <xdr:spPr>
            <a:xfrm>
              <a:off x="1060557" y="41976434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51C3CBE-8D70-4A52-A131-6BD6918FEE7A}"/>
                </a:ext>
              </a:extLst>
            </xdr:cNvPr>
            <xdr:cNvSpPr txBox="1"/>
          </xdr:nvSpPr>
          <xdr:spPr>
            <a:xfrm>
              <a:off x="1060557" y="41976434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247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6613C76-9B79-423A-B0E3-9E4A85F3C62B}"/>
                </a:ext>
              </a:extLst>
            </xdr:cNvPr>
            <xdr:cNvSpPr txBox="1"/>
          </xdr:nvSpPr>
          <xdr:spPr>
            <a:xfrm>
              <a:off x="2520522" y="41117425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33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6613C76-9B79-423A-B0E3-9E4A85F3C62B}"/>
                </a:ext>
              </a:extLst>
            </xdr:cNvPr>
            <xdr:cNvSpPr txBox="1"/>
          </xdr:nvSpPr>
          <xdr:spPr>
            <a:xfrm>
              <a:off x="2520522" y="41117425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𝛽_3 )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2∗𝐶_33 )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571500</xdr:colOff>
      <xdr:row>249</xdr:row>
      <xdr:rowOff>145675</xdr:rowOff>
    </xdr:from>
    <xdr:ext cx="288477" cy="172227"/>
    <xdr:sp macro="" textlink="">
      <xdr:nvSpPr>
        <xdr:cNvPr id="139" name="CaixaDeTexto 138">
          <a:extLst>
            <a:ext uri="{FF2B5EF4-FFF2-40B4-BE49-F238E27FC236}">
              <a16:creationId xmlns:a16="http://schemas.microsoft.com/office/drawing/2014/main" id="{C1122B57-1E6B-4026-949D-15BA82094319}"/>
            </a:ext>
          </a:extLst>
        </xdr:cNvPr>
        <xdr:cNvSpPr txBox="1"/>
      </xdr:nvSpPr>
      <xdr:spPr>
        <a:xfrm>
          <a:off x="5565321" y="41497782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13</xdr:col>
      <xdr:colOff>212913</xdr:colOff>
      <xdr:row>265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A38F8266-D949-499A-9740-9B63FF14F6B4}"/>
                </a:ext>
              </a:extLst>
            </xdr:cNvPr>
            <xdr:cNvSpPr txBox="1"/>
          </xdr:nvSpPr>
          <xdr:spPr>
            <a:xfrm>
              <a:off x="825234" y="4409274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A38F8266-D949-499A-9740-9B63FF14F6B4}"/>
                </a:ext>
              </a:extLst>
            </xdr:cNvPr>
            <xdr:cNvSpPr txBox="1"/>
          </xdr:nvSpPr>
          <xdr:spPr>
            <a:xfrm>
              <a:off x="825234" y="4409274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𝐻0:𝐵_4=0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267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A3D540BE-3EDF-47BD-A739-10567613178D}"/>
                </a:ext>
              </a:extLst>
            </xdr:cNvPr>
            <xdr:cNvSpPr txBox="1"/>
          </xdr:nvSpPr>
          <xdr:spPr>
            <a:xfrm>
              <a:off x="836438" y="44441728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A3D540BE-3EDF-47BD-A739-10567613178D}"/>
                </a:ext>
              </a:extLst>
            </xdr:cNvPr>
            <xdr:cNvSpPr txBox="1"/>
          </xdr:nvSpPr>
          <xdr:spPr>
            <a:xfrm>
              <a:off x="836438" y="44441728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𝐻1:𝐵_4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270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C63563A9-D6E9-446A-B6CA-7EE3607096CC}"/>
                </a:ext>
              </a:extLst>
            </xdr:cNvPr>
            <xdr:cNvSpPr txBox="1"/>
          </xdr:nvSpPr>
          <xdr:spPr>
            <a:xfrm>
              <a:off x="1060557" y="449427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C63563A9-D6E9-446A-B6CA-7EE3607096CC}"/>
                </a:ext>
              </a:extLst>
            </xdr:cNvPr>
            <xdr:cNvSpPr txBox="1"/>
          </xdr:nvSpPr>
          <xdr:spPr>
            <a:xfrm>
              <a:off x="1060557" y="449427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265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DCA61F56-C444-4FAE-AC29-CA323C11D50D}"/>
                </a:ext>
              </a:extLst>
            </xdr:cNvPr>
            <xdr:cNvSpPr txBox="1"/>
          </xdr:nvSpPr>
          <xdr:spPr>
            <a:xfrm>
              <a:off x="2520522" y="44083782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4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44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DCA61F56-C444-4FAE-AC29-CA323C11D50D}"/>
                </a:ext>
              </a:extLst>
            </xdr:cNvPr>
            <xdr:cNvSpPr txBox="1"/>
          </xdr:nvSpPr>
          <xdr:spPr>
            <a:xfrm>
              <a:off x="2520522" y="44083782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𝛽_4 )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2∗𝐶_44 )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571500</xdr:colOff>
      <xdr:row>267</xdr:row>
      <xdr:rowOff>145675</xdr:rowOff>
    </xdr:from>
    <xdr:ext cx="288477" cy="172227"/>
    <xdr:sp macro="" textlink="">
      <xdr:nvSpPr>
        <xdr:cNvPr id="145" name="CaixaDeTexto 144">
          <a:extLst>
            <a:ext uri="{FF2B5EF4-FFF2-40B4-BE49-F238E27FC236}">
              <a16:creationId xmlns:a16="http://schemas.microsoft.com/office/drawing/2014/main" id="{E900C02F-D3D6-43EF-A7B0-DE0C68E33FC7}"/>
            </a:ext>
          </a:extLst>
        </xdr:cNvPr>
        <xdr:cNvSpPr txBox="1"/>
      </xdr:nvSpPr>
      <xdr:spPr>
        <a:xfrm>
          <a:off x="5565321" y="44464139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C44=</a:t>
          </a:r>
        </a:p>
      </xdr:txBody>
    </xdr:sp>
    <xdr:clientData/>
  </xdr:oneCellAnchor>
  <xdr:oneCellAnchor>
    <xdr:from>
      <xdr:col>13</xdr:col>
      <xdr:colOff>212913</xdr:colOff>
      <xdr:row>283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7FD23A93-FBF5-4E45-9BC4-42EB1B8D4BB6}"/>
                </a:ext>
              </a:extLst>
            </xdr:cNvPr>
            <xdr:cNvSpPr txBox="1"/>
          </xdr:nvSpPr>
          <xdr:spPr>
            <a:xfrm>
              <a:off x="825234" y="470591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7FD23A93-FBF5-4E45-9BC4-42EB1B8D4BB6}"/>
                </a:ext>
              </a:extLst>
            </xdr:cNvPr>
            <xdr:cNvSpPr txBox="1"/>
          </xdr:nvSpPr>
          <xdr:spPr>
            <a:xfrm>
              <a:off x="825234" y="470591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𝐻0:𝐵_5=0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285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4F4CC652-0EAB-4A63-9189-2093A87E7232}"/>
                </a:ext>
              </a:extLst>
            </xdr:cNvPr>
            <xdr:cNvSpPr txBox="1"/>
          </xdr:nvSpPr>
          <xdr:spPr>
            <a:xfrm>
              <a:off x="836438" y="4740808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4F4CC652-0EAB-4A63-9189-2093A87E7232}"/>
                </a:ext>
              </a:extLst>
            </xdr:cNvPr>
            <xdr:cNvSpPr txBox="1"/>
          </xdr:nvSpPr>
          <xdr:spPr>
            <a:xfrm>
              <a:off x="836438" y="4740808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𝐻1:𝐵_5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288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3ABDFFA8-E3D5-415B-9751-A62F4B3EFC6D}"/>
                </a:ext>
              </a:extLst>
            </xdr:cNvPr>
            <xdr:cNvSpPr txBox="1"/>
          </xdr:nvSpPr>
          <xdr:spPr>
            <a:xfrm>
              <a:off x="1060557" y="47909149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3ABDFFA8-E3D5-415B-9751-A62F4B3EFC6D}"/>
                </a:ext>
              </a:extLst>
            </xdr:cNvPr>
            <xdr:cNvSpPr txBox="1"/>
          </xdr:nvSpPr>
          <xdr:spPr>
            <a:xfrm>
              <a:off x="1060557" y="47909149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283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45CE2D33-B330-4FED-A36A-160AF247FA42}"/>
                </a:ext>
              </a:extLst>
            </xdr:cNvPr>
            <xdr:cNvSpPr txBox="1"/>
          </xdr:nvSpPr>
          <xdr:spPr>
            <a:xfrm>
              <a:off x="2520522" y="470501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5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55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45CE2D33-B330-4FED-A36A-160AF247FA42}"/>
                </a:ext>
              </a:extLst>
            </xdr:cNvPr>
            <xdr:cNvSpPr txBox="1"/>
          </xdr:nvSpPr>
          <xdr:spPr>
            <a:xfrm>
              <a:off x="2520522" y="470501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𝛽_5 )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2∗𝐶_55 )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571500</xdr:colOff>
      <xdr:row>285</xdr:row>
      <xdr:rowOff>145675</xdr:rowOff>
    </xdr:from>
    <xdr:ext cx="288477" cy="172227"/>
    <xdr:sp macro="" textlink="">
      <xdr:nvSpPr>
        <xdr:cNvPr id="151" name="CaixaDeTexto 150">
          <a:extLst>
            <a:ext uri="{FF2B5EF4-FFF2-40B4-BE49-F238E27FC236}">
              <a16:creationId xmlns:a16="http://schemas.microsoft.com/office/drawing/2014/main" id="{B40F205E-5331-4DFA-9378-3957F2BE299A}"/>
            </a:ext>
          </a:extLst>
        </xdr:cNvPr>
        <xdr:cNvSpPr txBox="1"/>
      </xdr:nvSpPr>
      <xdr:spPr>
        <a:xfrm>
          <a:off x="5565321" y="47430496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C55=</a:t>
          </a:r>
        </a:p>
      </xdr:txBody>
    </xdr:sp>
    <xdr:clientData/>
  </xdr:oneCellAnchor>
  <xdr:oneCellAnchor>
    <xdr:from>
      <xdr:col>13</xdr:col>
      <xdr:colOff>212913</xdr:colOff>
      <xdr:row>301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683FBDBC-59A3-49A6-9723-B5DAB59AB621}"/>
                </a:ext>
              </a:extLst>
            </xdr:cNvPr>
            <xdr:cNvSpPr txBox="1"/>
          </xdr:nvSpPr>
          <xdr:spPr>
            <a:xfrm>
              <a:off x="825234" y="50025461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683FBDBC-59A3-49A6-9723-B5DAB59AB621}"/>
                </a:ext>
              </a:extLst>
            </xdr:cNvPr>
            <xdr:cNvSpPr txBox="1"/>
          </xdr:nvSpPr>
          <xdr:spPr>
            <a:xfrm>
              <a:off x="825234" y="50025461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𝐻0:𝐵_6=0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303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B8590AE6-51A6-4142-9894-2E6D071F5C2F}"/>
                </a:ext>
              </a:extLst>
            </xdr:cNvPr>
            <xdr:cNvSpPr txBox="1"/>
          </xdr:nvSpPr>
          <xdr:spPr>
            <a:xfrm>
              <a:off x="836438" y="5037444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B8590AE6-51A6-4142-9894-2E6D071F5C2F}"/>
                </a:ext>
              </a:extLst>
            </xdr:cNvPr>
            <xdr:cNvSpPr txBox="1"/>
          </xdr:nvSpPr>
          <xdr:spPr>
            <a:xfrm>
              <a:off x="836438" y="5037444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𝐻1:𝐵_6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306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95064578-D8DD-4744-AFE2-EA050F2A630F}"/>
                </a:ext>
              </a:extLst>
            </xdr:cNvPr>
            <xdr:cNvSpPr txBox="1"/>
          </xdr:nvSpPr>
          <xdr:spPr>
            <a:xfrm>
              <a:off x="1060557" y="5087550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95064578-D8DD-4744-AFE2-EA050F2A630F}"/>
                </a:ext>
              </a:extLst>
            </xdr:cNvPr>
            <xdr:cNvSpPr txBox="1"/>
          </xdr:nvSpPr>
          <xdr:spPr>
            <a:xfrm>
              <a:off x="1060557" y="5087550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301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78F8C099-E7DE-48D1-ACEE-5468ADCDCA39}"/>
                </a:ext>
              </a:extLst>
            </xdr:cNvPr>
            <xdr:cNvSpPr txBox="1"/>
          </xdr:nvSpPr>
          <xdr:spPr>
            <a:xfrm>
              <a:off x="2520522" y="50016496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6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66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78F8C099-E7DE-48D1-ACEE-5468ADCDCA39}"/>
                </a:ext>
              </a:extLst>
            </xdr:cNvPr>
            <xdr:cNvSpPr txBox="1"/>
          </xdr:nvSpPr>
          <xdr:spPr>
            <a:xfrm>
              <a:off x="2520522" y="50016496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𝛽_6 )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2∗𝐶_66 )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571500</xdr:colOff>
      <xdr:row>303</xdr:row>
      <xdr:rowOff>145675</xdr:rowOff>
    </xdr:from>
    <xdr:ext cx="288477" cy="172227"/>
    <xdr:sp macro="" textlink="">
      <xdr:nvSpPr>
        <xdr:cNvPr id="157" name="CaixaDeTexto 156">
          <a:extLst>
            <a:ext uri="{FF2B5EF4-FFF2-40B4-BE49-F238E27FC236}">
              <a16:creationId xmlns:a16="http://schemas.microsoft.com/office/drawing/2014/main" id="{844D0F44-D16D-498B-8931-DD386581ADCE}"/>
            </a:ext>
          </a:extLst>
        </xdr:cNvPr>
        <xdr:cNvSpPr txBox="1"/>
      </xdr:nvSpPr>
      <xdr:spPr>
        <a:xfrm>
          <a:off x="5565321" y="50396854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C66=</a:t>
          </a:r>
        </a:p>
      </xdr:txBody>
    </xdr:sp>
    <xdr:clientData/>
  </xdr:oneCellAnchor>
  <xdr:oneCellAnchor>
    <xdr:from>
      <xdr:col>14</xdr:col>
      <xdr:colOff>296475</xdr:colOff>
      <xdr:row>97</xdr:row>
      <xdr:rowOff>159282</xdr:rowOff>
    </xdr:from>
    <xdr:ext cx="288477" cy="172227"/>
    <xdr:sp macro="" textlink="">
      <xdr:nvSpPr>
        <xdr:cNvPr id="161" name="CaixaDeTexto 160">
          <a:extLst>
            <a:ext uri="{FF2B5EF4-FFF2-40B4-BE49-F238E27FC236}">
              <a16:creationId xmlns:a16="http://schemas.microsoft.com/office/drawing/2014/main" id="{3FD9BF0D-F6A0-4C25-9066-C5C601413D9A}"/>
            </a:ext>
          </a:extLst>
        </xdr:cNvPr>
        <xdr:cNvSpPr txBox="1"/>
      </xdr:nvSpPr>
      <xdr:spPr>
        <a:xfrm>
          <a:off x="11318261" y="16283746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14</xdr:col>
      <xdr:colOff>376999</xdr:colOff>
      <xdr:row>105</xdr:row>
      <xdr:rowOff>151920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B1643F29-8AF1-4EBF-82A9-705F4C09C4FB}"/>
                </a:ext>
              </a:extLst>
            </xdr:cNvPr>
            <xdr:cNvSpPr txBox="1"/>
          </xdr:nvSpPr>
          <xdr:spPr>
            <a:xfrm>
              <a:off x="11398785" y="17609884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B1643F29-8AF1-4EBF-82A9-705F4C09C4FB}"/>
                </a:ext>
              </a:extLst>
            </xdr:cNvPr>
            <xdr:cNvSpPr txBox="1"/>
          </xdr:nvSpPr>
          <xdr:spPr>
            <a:xfrm>
              <a:off x="11398785" y="17609884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310083</xdr:colOff>
      <xdr:row>107</xdr:row>
      <xdr:rowOff>159282</xdr:rowOff>
    </xdr:from>
    <xdr:ext cx="288477" cy="172227"/>
    <xdr:sp macro="" textlink="">
      <xdr:nvSpPr>
        <xdr:cNvPr id="164" name="CaixaDeTexto 163">
          <a:extLst>
            <a:ext uri="{FF2B5EF4-FFF2-40B4-BE49-F238E27FC236}">
              <a16:creationId xmlns:a16="http://schemas.microsoft.com/office/drawing/2014/main" id="{5012446E-BEEC-4B5F-95B9-8E9EB0A0BACA}"/>
            </a:ext>
          </a:extLst>
        </xdr:cNvPr>
        <xdr:cNvSpPr txBox="1"/>
      </xdr:nvSpPr>
      <xdr:spPr>
        <a:xfrm>
          <a:off x="11331869" y="17943818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14</xdr:col>
      <xdr:colOff>349784</xdr:colOff>
      <xdr:row>116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F0CAB17E-C329-45FF-942E-B44ED766B751}"/>
                </a:ext>
              </a:extLst>
            </xdr:cNvPr>
            <xdr:cNvSpPr txBox="1"/>
          </xdr:nvSpPr>
          <xdr:spPr>
            <a:xfrm>
              <a:off x="11371570" y="19283562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F0CAB17E-C329-45FF-942E-B44ED766B751}"/>
                </a:ext>
              </a:extLst>
            </xdr:cNvPr>
            <xdr:cNvSpPr txBox="1"/>
          </xdr:nvSpPr>
          <xdr:spPr>
            <a:xfrm>
              <a:off x="11371570" y="19283562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282869</xdr:colOff>
      <xdr:row>117</xdr:row>
      <xdr:rowOff>118460</xdr:rowOff>
    </xdr:from>
    <xdr:ext cx="288477" cy="172227"/>
    <xdr:sp macro="" textlink="">
      <xdr:nvSpPr>
        <xdr:cNvPr id="167" name="CaixaDeTexto 166">
          <a:extLst>
            <a:ext uri="{FF2B5EF4-FFF2-40B4-BE49-F238E27FC236}">
              <a16:creationId xmlns:a16="http://schemas.microsoft.com/office/drawing/2014/main" id="{003BD34B-A27E-432A-BF0A-93373C0CE91D}"/>
            </a:ext>
          </a:extLst>
        </xdr:cNvPr>
        <xdr:cNvSpPr txBox="1"/>
      </xdr:nvSpPr>
      <xdr:spPr>
        <a:xfrm>
          <a:off x="11304655" y="19563067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14</xdr:col>
      <xdr:colOff>323689</xdr:colOff>
      <xdr:row>128</xdr:row>
      <xdr:rowOff>23212</xdr:rowOff>
    </xdr:from>
    <xdr:ext cx="288477" cy="172227"/>
    <xdr:sp macro="" textlink="">
      <xdr:nvSpPr>
        <xdr:cNvPr id="170" name="CaixaDeTexto 169">
          <a:extLst>
            <a:ext uri="{FF2B5EF4-FFF2-40B4-BE49-F238E27FC236}">
              <a16:creationId xmlns:a16="http://schemas.microsoft.com/office/drawing/2014/main" id="{0F31BF63-C135-4FFB-9E95-92D67271C2AA}"/>
            </a:ext>
          </a:extLst>
        </xdr:cNvPr>
        <xdr:cNvSpPr txBox="1"/>
      </xdr:nvSpPr>
      <xdr:spPr>
        <a:xfrm>
          <a:off x="11345475" y="21291176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14</xdr:col>
      <xdr:colOff>404213</xdr:colOff>
      <xdr:row>136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09C18D9D-1B00-4E16-A5D7-0ABCAF0739FF}"/>
                </a:ext>
              </a:extLst>
            </xdr:cNvPr>
            <xdr:cNvSpPr txBox="1"/>
          </xdr:nvSpPr>
          <xdr:spPr>
            <a:xfrm>
              <a:off x="11425999" y="2260370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09C18D9D-1B00-4E16-A5D7-0ABCAF0739FF}"/>
                </a:ext>
              </a:extLst>
            </xdr:cNvPr>
            <xdr:cNvSpPr txBox="1"/>
          </xdr:nvSpPr>
          <xdr:spPr>
            <a:xfrm>
              <a:off x="11425999" y="2260370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228440</xdr:colOff>
      <xdr:row>137</xdr:row>
      <xdr:rowOff>159283</xdr:rowOff>
    </xdr:from>
    <xdr:ext cx="288477" cy="172227"/>
    <xdr:sp macro="" textlink="">
      <xdr:nvSpPr>
        <xdr:cNvPr id="173" name="CaixaDeTexto 172">
          <a:extLst>
            <a:ext uri="{FF2B5EF4-FFF2-40B4-BE49-F238E27FC236}">
              <a16:creationId xmlns:a16="http://schemas.microsoft.com/office/drawing/2014/main" id="{D6078779-A567-482A-8BA3-3096BEE366DB}"/>
            </a:ext>
          </a:extLst>
        </xdr:cNvPr>
        <xdr:cNvSpPr txBox="1"/>
      </xdr:nvSpPr>
      <xdr:spPr>
        <a:xfrm>
          <a:off x="11250226" y="22924033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C44=</a:t>
          </a:r>
        </a:p>
      </xdr:txBody>
    </xdr:sp>
    <xdr:clientData/>
  </xdr:oneCellAnchor>
  <xdr:oneCellAnchor>
    <xdr:from>
      <xdr:col>14</xdr:col>
      <xdr:colOff>376999</xdr:colOff>
      <xdr:row>146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80AB734B-1927-426E-A485-5B40CE18D29F}"/>
                </a:ext>
              </a:extLst>
            </xdr:cNvPr>
            <xdr:cNvSpPr txBox="1"/>
          </xdr:nvSpPr>
          <xdr:spPr>
            <a:xfrm>
              <a:off x="11398785" y="2426377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80AB734B-1927-426E-A485-5B40CE18D29F}"/>
                </a:ext>
              </a:extLst>
            </xdr:cNvPr>
            <xdr:cNvSpPr txBox="1"/>
          </xdr:nvSpPr>
          <xdr:spPr>
            <a:xfrm>
              <a:off x="11398785" y="2426377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310082</xdr:colOff>
      <xdr:row>147</xdr:row>
      <xdr:rowOff>159282</xdr:rowOff>
    </xdr:from>
    <xdr:ext cx="288477" cy="172227"/>
    <xdr:sp macro="" textlink="">
      <xdr:nvSpPr>
        <xdr:cNvPr id="176" name="CaixaDeTexto 175">
          <a:extLst>
            <a:ext uri="{FF2B5EF4-FFF2-40B4-BE49-F238E27FC236}">
              <a16:creationId xmlns:a16="http://schemas.microsoft.com/office/drawing/2014/main" id="{5143072C-E959-4BEE-8CCC-02DA19800102}"/>
            </a:ext>
          </a:extLst>
        </xdr:cNvPr>
        <xdr:cNvSpPr txBox="1"/>
      </xdr:nvSpPr>
      <xdr:spPr>
        <a:xfrm>
          <a:off x="11331868" y="24584103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C55=</a:t>
          </a:r>
        </a:p>
      </xdr:txBody>
    </xdr:sp>
    <xdr:clientData/>
  </xdr:oneCellAnchor>
  <xdr:oneCellAnchor>
    <xdr:from>
      <xdr:col>14</xdr:col>
      <xdr:colOff>404213</xdr:colOff>
      <xdr:row>155</xdr:row>
      <xdr:rowOff>151920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A54E291C-63B4-4828-967B-30ECAE59B010}"/>
                </a:ext>
              </a:extLst>
            </xdr:cNvPr>
            <xdr:cNvSpPr txBox="1"/>
          </xdr:nvSpPr>
          <xdr:spPr>
            <a:xfrm>
              <a:off x="11425999" y="259102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A54E291C-63B4-4828-967B-30ECAE59B010}"/>
                </a:ext>
              </a:extLst>
            </xdr:cNvPr>
            <xdr:cNvSpPr txBox="1"/>
          </xdr:nvSpPr>
          <xdr:spPr>
            <a:xfrm>
              <a:off x="11425999" y="259102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242048</xdr:colOff>
      <xdr:row>157</xdr:row>
      <xdr:rowOff>159283</xdr:rowOff>
    </xdr:from>
    <xdr:ext cx="288477" cy="172227"/>
    <xdr:sp macro="" textlink="">
      <xdr:nvSpPr>
        <xdr:cNvPr id="179" name="CaixaDeTexto 178">
          <a:extLst>
            <a:ext uri="{FF2B5EF4-FFF2-40B4-BE49-F238E27FC236}">
              <a16:creationId xmlns:a16="http://schemas.microsoft.com/office/drawing/2014/main" id="{BE07766C-59CF-41FF-BF41-F4F4988C0C57}"/>
            </a:ext>
          </a:extLst>
        </xdr:cNvPr>
        <xdr:cNvSpPr txBox="1"/>
      </xdr:nvSpPr>
      <xdr:spPr>
        <a:xfrm>
          <a:off x="11263834" y="26244176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C66=</a:t>
          </a:r>
        </a:p>
      </xdr:txBody>
    </xdr:sp>
    <xdr:clientData/>
  </xdr:oneCellAnchor>
  <xdr:oneCellAnchor>
    <xdr:from>
      <xdr:col>13</xdr:col>
      <xdr:colOff>456079</xdr:colOff>
      <xdr:row>169</xdr:row>
      <xdr:rowOff>2241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2A1ACB53-D5D7-46EC-B92B-E955E0BC778B}"/>
                </a:ext>
              </a:extLst>
            </xdr:cNvPr>
            <xdr:cNvSpPr txBox="1"/>
          </xdr:nvSpPr>
          <xdr:spPr>
            <a:xfrm>
              <a:off x="1068400" y="28073777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2A1ACB53-D5D7-46EC-B92B-E955E0BC778B}"/>
                </a:ext>
              </a:extLst>
            </xdr:cNvPr>
            <xdr:cNvSpPr txBox="1"/>
          </xdr:nvSpPr>
          <xdr:spPr>
            <a:xfrm>
              <a:off x="1068400" y="28073777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129427</xdr:colOff>
      <xdr:row>170</xdr:row>
      <xdr:rowOff>148076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64FDA42-693B-4143-9CE5-F0B8F3D2A821}"/>
                </a:ext>
              </a:extLst>
            </xdr:cNvPr>
            <xdr:cNvSpPr txBox="1"/>
          </xdr:nvSpPr>
          <xdr:spPr>
            <a:xfrm>
              <a:off x="10538891" y="28382897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64FDA42-693B-4143-9CE5-F0B8F3D2A821}"/>
                </a:ext>
              </a:extLst>
            </xdr:cNvPr>
            <xdr:cNvSpPr txBox="1"/>
          </xdr:nvSpPr>
          <xdr:spPr>
            <a:xfrm>
              <a:off x="10538891" y="28382897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160003</xdr:colOff>
      <xdr:row>175</xdr:row>
      <xdr:rowOff>12007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BA355AD4-0621-4E1F-8B34-5FA7035B8EE2}"/>
                </a:ext>
              </a:extLst>
            </xdr:cNvPr>
            <xdr:cNvSpPr txBox="1"/>
          </xdr:nvSpPr>
          <xdr:spPr>
            <a:xfrm>
              <a:off x="10569467" y="29063257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BA355AD4-0621-4E1F-8B34-5FA7035B8EE2}"/>
                </a:ext>
              </a:extLst>
            </xdr:cNvPr>
            <xdr:cNvSpPr txBox="1"/>
          </xdr:nvSpPr>
          <xdr:spPr>
            <a:xfrm>
              <a:off x="10569467" y="29063257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21</xdr:col>
      <xdr:colOff>616324</xdr:colOff>
      <xdr:row>164</xdr:row>
      <xdr:rowOff>168087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1FA990B-9F75-46E0-8D3F-9C1E4BEB8182}"/>
                </a:ext>
              </a:extLst>
            </xdr:cNvPr>
            <xdr:cNvSpPr txBox="1"/>
          </xdr:nvSpPr>
          <xdr:spPr>
            <a:xfrm>
              <a:off x="8426824" y="2740958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1FA990B-9F75-46E0-8D3F-9C1E4BEB8182}"/>
                </a:ext>
              </a:extLst>
            </xdr:cNvPr>
            <xdr:cNvSpPr txBox="1"/>
          </xdr:nvSpPr>
          <xdr:spPr>
            <a:xfrm>
              <a:off x="8426824" y="2740958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13</xdr:col>
      <xdr:colOff>299357</xdr:colOff>
      <xdr:row>173</xdr:row>
      <xdr:rowOff>27214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D7474BCD-6D1D-4D93-B2B5-8D777DF43B24}"/>
                </a:ext>
              </a:extLst>
            </xdr:cNvPr>
            <xdr:cNvSpPr txBox="1"/>
          </xdr:nvSpPr>
          <xdr:spPr>
            <a:xfrm>
              <a:off x="10708821" y="28751893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D7474BCD-6D1D-4D93-B2B5-8D777DF43B24}"/>
                </a:ext>
              </a:extLst>
            </xdr:cNvPr>
            <xdr:cNvSpPr txBox="1"/>
          </xdr:nvSpPr>
          <xdr:spPr>
            <a:xfrm>
              <a:off x="10708821" y="28751893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21</xdr:col>
      <xdr:colOff>347382</xdr:colOff>
      <xdr:row>168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829CCB26-D0D4-4ED1-ABA2-CD2CAD37ACF8}"/>
                </a:ext>
              </a:extLst>
            </xdr:cNvPr>
            <xdr:cNvSpPr txBox="1"/>
          </xdr:nvSpPr>
          <xdr:spPr>
            <a:xfrm>
              <a:off x="8157882" y="2803151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829CCB26-D0D4-4ED1-ABA2-CD2CAD37ACF8}"/>
                </a:ext>
              </a:extLst>
            </xdr:cNvPr>
            <xdr:cNvSpPr txBox="1"/>
          </xdr:nvSpPr>
          <xdr:spPr>
            <a:xfrm>
              <a:off x="8157882" y="2803151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299197</xdr:colOff>
      <xdr:row>183</xdr:row>
      <xdr:rowOff>2242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E2C63E2B-7291-4E80-B824-9FD49F0443E8}"/>
                </a:ext>
              </a:extLst>
            </xdr:cNvPr>
            <xdr:cNvSpPr txBox="1"/>
          </xdr:nvSpPr>
          <xdr:spPr>
            <a:xfrm>
              <a:off x="911518" y="30427813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E2C63E2B-7291-4E80-B824-9FD49F0443E8}"/>
                </a:ext>
              </a:extLst>
            </xdr:cNvPr>
            <xdr:cNvSpPr txBox="1"/>
          </xdr:nvSpPr>
          <xdr:spPr>
            <a:xfrm>
              <a:off x="911518" y="30427813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183855</xdr:colOff>
      <xdr:row>184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0D933593-651E-4B63-9F4C-D99B9DE71B7E}"/>
                </a:ext>
              </a:extLst>
            </xdr:cNvPr>
            <xdr:cNvSpPr txBox="1"/>
          </xdr:nvSpPr>
          <xdr:spPr>
            <a:xfrm>
              <a:off x="10593319" y="3072332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0D933593-651E-4B63-9F4C-D99B9DE71B7E}"/>
                </a:ext>
              </a:extLst>
            </xdr:cNvPr>
            <xdr:cNvSpPr txBox="1"/>
          </xdr:nvSpPr>
          <xdr:spPr>
            <a:xfrm>
              <a:off x="10593319" y="3072332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533079</xdr:colOff>
      <xdr:row>189</xdr:row>
      <xdr:rowOff>11206</xdr:rowOff>
    </xdr:from>
    <xdr:ext cx="1389529" cy="235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8F97EA04-873C-41B6-9766-DB5595342946}"/>
                </a:ext>
              </a:extLst>
            </xdr:cNvPr>
            <xdr:cNvSpPr txBox="1"/>
          </xdr:nvSpPr>
          <xdr:spPr>
            <a:xfrm>
              <a:off x="10330222" y="31416492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∗(1+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0)=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8F97EA04-873C-41B6-9766-DB5595342946}"/>
                </a:ext>
              </a:extLst>
            </xdr:cNvPr>
            <xdr:cNvSpPr txBox="1"/>
          </xdr:nvSpPr>
          <xdr:spPr>
            <a:xfrm>
              <a:off x="10330222" y="31416492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2∗(1+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21</xdr:col>
      <xdr:colOff>302560</xdr:colOff>
      <xdr:row>178</xdr:row>
      <xdr:rowOff>156881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9BB8EE22-394C-47FF-A5C6-0D8529710B47}"/>
                </a:ext>
              </a:extLst>
            </xdr:cNvPr>
            <xdr:cNvSpPr txBox="1"/>
          </xdr:nvSpPr>
          <xdr:spPr>
            <a:xfrm>
              <a:off x="8113060" y="2975241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9BB8EE22-394C-47FF-A5C6-0D8529710B47}"/>
                </a:ext>
              </a:extLst>
            </xdr:cNvPr>
            <xdr:cNvSpPr txBox="1"/>
          </xdr:nvSpPr>
          <xdr:spPr>
            <a:xfrm>
              <a:off x="8113060" y="2975241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13</xdr:col>
      <xdr:colOff>176893</xdr:colOff>
      <xdr:row>186</xdr:row>
      <xdr:rowOff>136070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D2F0E54-711A-4111-A1B1-59AF50C4F2D0}"/>
                </a:ext>
              </a:extLst>
            </xdr:cNvPr>
            <xdr:cNvSpPr txBox="1"/>
          </xdr:nvSpPr>
          <xdr:spPr>
            <a:xfrm>
              <a:off x="10586357" y="3105149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D2F0E54-711A-4111-A1B1-59AF50C4F2D0}"/>
                </a:ext>
              </a:extLst>
            </xdr:cNvPr>
            <xdr:cNvSpPr txBox="1"/>
          </xdr:nvSpPr>
          <xdr:spPr>
            <a:xfrm>
              <a:off x="10586357" y="3105149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21</xdr:col>
      <xdr:colOff>358588</xdr:colOff>
      <xdr:row>182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1221BE67-CBBF-4D69-9072-CDDBE75AF9F2}"/>
                </a:ext>
              </a:extLst>
            </xdr:cNvPr>
            <xdr:cNvSpPr txBox="1"/>
          </xdr:nvSpPr>
          <xdr:spPr>
            <a:xfrm>
              <a:off x="8169088" y="30385550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1221BE67-CBBF-4D69-9072-CDDBE75AF9F2}"/>
                </a:ext>
              </a:extLst>
            </xdr:cNvPr>
            <xdr:cNvSpPr txBox="1"/>
          </xdr:nvSpPr>
          <xdr:spPr>
            <a:xfrm>
              <a:off x="8169088" y="30385550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404213</xdr:colOff>
      <xdr:row>125</xdr:row>
      <xdr:rowOff>151920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A441ACF0-CEAE-4683-BDAC-F351274DDF51}"/>
                </a:ext>
              </a:extLst>
            </xdr:cNvPr>
            <xdr:cNvSpPr txBox="1"/>
          </xdr:nvSpPr>
          <xdr:spPr>
            <a:xfrm>
              <a:off x="11425999" y="259102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A441ACF0-CEAE-4683-BDAC-F351274DDF51}"/>
                </a:ext>
              </a:extLst>
            </xdr:cNvPr>
            <xdr:cNvSpPr txBox="1"/>
          </xdr:nvSpPr>
          <xdr:spPr>
            <a:xfrm>
              <a:off x="11425999" y="259102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404213</xdr:colOff>
      <xdr:row>95</xdr:row>
      <xdr:rowOff>151920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48FFF9BC-21D5-4ED1-84FE-8AD2CBD1B8D5}"/>
                </a:ext>
              </a:extLst>
            </xdr:cNvPr>
            <xdr:cNvSpPr txBox="1"/>
          </xdr:nvSpPr>
          <xdr:spPr>
            <a:xfrm>
              <a:off x="11425999" y="259102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48FFF9BC-21D5-4ED1-84FE-8AD2CBD1B8D5}"/>
                </a:ext>
              </a:extLst>
            </xdr:cNvPr>
            <xdr:cNvSpPr txBox="1"/>
          </xdr:nvSpPr>
          <xdr:spPr>
            <a:xfrm>
              <a:off x="11425999" y="259102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8</xdr:col>
      <xdr:colOff>312964</xdr:colOff>
      <xdr:row>1</xdr:row>
      <xdr:rowOff>13608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4AE11D02-4E1E-4C1F-9B1D-D870CA9A40C5}"/>
                </a:ext>
              </a:extLst>
            </xdr:cNvPr>
            <xdr:cNvSpPr txBox="1"/>
          </xdr:nvSpPr>
          <xdr:spPr>
            <a:xfrm>
              <a:off x="7837714" y="175533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4AE11D02-4E1E-4C1F-9B1D-D870CA9A40C5}"/>
                </a:ext>
              </a:extLst>
            </xdr:cNvPr>
            <xdr:cNvSpPr txBox="1"/>
          </xdr:nvSpPr>
          <xdr:spPr>
            <a:xfrm>
              <a:off x="7837714" y="175533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953559</xdr:colOff>
      <xdr:row>93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7D18725D-E8AF-4AEB-A807-F2D2ACC47DEA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7D18725D-E8AF-4AEB-A807-F2D2ACC47DEA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103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B71714C-403E-498C-91AE-E6D6182236C8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B71714C-403E-498C-91AE-E6D6182236C8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113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AADD5E3-04EA-49C7-B2A1-54C25BFA31E4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AADD5E3-04EA-49C7-B2A1-54C25BFA31E4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123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476729A-60A0-4D2B-9E66-1A2798E20B0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476729A-60A0-4D2B-9E66-1A2798E20B0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133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36D2084-6D2A-4085-8300-E7870606387A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336D2084-6D2A-4085-8300-E7870606387A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143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8877BDB-2197-4FD8-A3A5-7944E1EC9DF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8877BDB-2197-4FD8-A3A5-7944E1EC9DF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153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AAA7652-49C4-4692-82DE-FCA81FE89A5E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AAA7652-49C4-4692-82DE-FCA81FE89A5E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166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85B5A62-2C7D-48D2-AB55-34D661FF8B1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85B5A62-2C7D-48D2-AB55-34D661FF8B1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180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01DE737-2B25-4469-A613-AC49C51E2D51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01DE737-2B25-4469-A613-AC49C51E2D51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202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101C01D-E3FB-4C83-844E-EB0B97EE9A00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101C01D-E3FB-4C83-844E-EB0B97EE9A00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220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F8E78DC-A93E-4E7B-A341-87895D6F2998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F8E78DC-A93E-4E7B-A341-87895D6F2998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238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BC40BF4-1698-42C5-8642-F2C93984B944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BC40BF4-1698-42C5-8642-F2C93984B944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256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FF257BD-2B7C-46EB-BDD0-04C751052AA4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3FF257BD-2B7C-46EB-BDD0-04C751052AA4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274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2518647D-2C4B-4457-A72A-79DA22A812F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2518647D-2C4B-4457-A72A-79DA22A812F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292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82E25A5-7D4B-4CF3-B6E1-5BA201EE500F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82E25A5-7D4B-4CF3-B6E1-5BA201EE500F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310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BD7CB17-99BA-426C-92C8-04572FD3998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BD7CB17-99BA-426C-92C8-04572FD3998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310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9CB825CC-2A51-4A18-A81E-5C9727E872E6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9CB825CC-2A51-4A18-A81E-5C9727E872E6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292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4C4A562-44BA-4D0C-BF60-6C3D1445BB96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4C4A562-44BA-4D0C-BF60-6C3D1445BB96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274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2452FD99-6AE2-4131-91F6-B9C1838F44AB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2452FD99-6AE2-4131-91F6-B9C1838F44AB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256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39E2C51-7C10-4BAD-A4C7-3D896527298B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39E2C51-7C10-4BAD-A4C7-3D896527298B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238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F39DFD8-2392-4966-B836-27FDFA9ACEF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F39DFD8-2392-4966-B836-27FDFA9ACEF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220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DEEB2AC-582F-4E15-B7B3-AA87F2606F6E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DEEB2AC-582F-4E15-B7B3-AA87F2606F6E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202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5404E7D-3054-45A9-BD25-5984734ED81E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5404E7D-3054-45A9-BD25-5984734ED81E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180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9048BE5-6C3E-42AB-8109-A1BEE8310AA9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9048BE5-6C3E-42AB-8109-A1BEE8310AA9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166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9910035-68E7-4AA4-AE72-F3788DF2D734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9910035-68E7-4AA4-AE72-F3788DF2D734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153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7E4555FC-56F6-4DC6-B690-2A59425CCA67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7E4555FC-56F6-4DC6-B690-2A59425CCA67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143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D8A823E-6485-40F6-9AEE-C2F4E75CE5D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D8A823E-6485-40F6-9AEE-C2F4E75CE5D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133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90C90A4-C0D0-4CFF-98E0-7512E12ACEF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90C90A4-C0D0-4CFF-98E0-7512E12ACEF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123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2C1A276C-6247-4E4C-B41F-27CBA86183F0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2C1A276C-6247-4E4C-B41F-27CBA86183F0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113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C0F0873-4FBE-4C99-9A37-5AC0E7B3D8C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BC0F0873-4FBE-4C99-9A37-5AC0E7B3D8C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103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18B658C-8DEA-44BE-9767-BAF5D7B9293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3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18B658C-8DEA-44BE-9767-BAF5D7B9293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93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03FC170-55EC-4270-894A-B51E666CAA45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3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03FC170-55EC-4270-894A-B51E666CAA45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315685</xdr:colOff>
      <xdr:row>2</xdr:row>
      <xdr:rowOff>137433</xdr:rowOff>
    </xdr:from>
    <xdr:ext cx="6324600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3EEA8D04-9C96-4DB4-9AE2-6494923D9BEE}"/>
                </a:ext>
              </a:extLst>
            </xdr:cNvPr>
            <xdr:cNvSpPr txBox="1"/>
          </xdr:nvSpPr>
          <xdr:spPr>
            <a:xfrm>
              <a:off x="8126185" y="464004"/>
              <a:ext cx="632460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6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l-GR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𝜀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3EEA8D04-9C96-4DB4-9AE2-6494923D9BEE}"/>
                </a:ext>
              </a:extLst>
            </xdr:cNvPr>
            <xdr:cNvSpPr txBox="1"/>
          </xdr:nvSpPr>
          <xdr:spPr>
            <a:xfrm>
              <a:off x="8126185" y="464004"/>
              <a:ext cx="632460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𝑌=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600" b="0" i="0">
                  <a:latin typeface="Cambria Math" panose="02040503050406030204" pitchFamily="18" charset="0"/>
                </a:rPr>
                <a:t>0+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𝛽_1 𝑋_1+𝛽_2 𝑋_2+𝛽_3 𝑋_3+𝛽_4 𝑋_4+𝛽_5 𝑋_5+𝛽_6 𝑋_6+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171450</xdr:colOff>
      <xdr:row>13</xdr:row>
      <xdr:rowOff>28575</xdr:rowOff>
    </xdr:from>
    <xdr:ext cx="695325" cy="438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7B4BA9C-8799-4098-BCBC-D9D90DCDE34F}"/>
                </a:ext>
              </a:extLst>
            </xdr:cNvPr>
            <xdr:cNvSpPr txBox="1"/>
          </xdr:nvSpPr>
          <xdr:spPr>
            <a:xfrm>
              <a:off x="7981950" y="2133600"/>
              <a:ext cx="695325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28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7B4BA9C-8799-4098-BCBC-D9D90DCDE34F}"/>
                </a:ext>
              </a:extLst>
            </xdr:cNvPr>
            <xdr:cNvSpPr txBox="1"/>
          </xdr:nvSpPr>
          <xdr:spPr>
            <a:xfrm>
              <a:off x="7981950" y="2133600"/>
              <a:ext cx="695325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11</xdr:col>
      <xdr:colOff>238125</xdr:colOff>
      <xdr:row>7</xdr:row>
      <xdr:rowOff>123824</xdr:rowOff>
    </xdr:from>
    <xdr:to>
      <xdr:col>11</xdr:col>
      <xdr:colOff>533400</xdr:colOff>
      <xdr:row>25</xdr:row>
      <xdr:rowOff>47625</xdr:rowOff>
    </xdr:to>
    <xdr:sp macro="" textlink="">
      <xdr:nvSpPr>
        <xdr:cNvPr id="4" name="Parêntese esquerdo 3">
          <a:extLst>
            <a:ext uri="{FF2B5EF4-FFF2-40B4-BE49-F238E27FC236}">
              <a16:creationId xmlns:a16="http://schemas.microsoft.com/office/drawing/2014/main" id="{529F9BBA-683E-49D0-8E33-CFD205328A93}"/>
            </a:ext>
          </a:extLst>
        </xdr:cNvPr>
        <xdr:cNvSpPr/>
      </xdr:nvSpPr>
      <xdr:spPr>
        <a:xfrm>
          <a:off x="9420225" y="1257299"/>
          <a:ext cx="295275" cy="28384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17</xdr:col>
      <xdr:colOff>514348</xdr:colOff>
      <xdr:row>7</xdr:row>
      <xdr:rowOff>152400</xdr:rowOff>
    </xdr:from>
    <xdr:to>
      <xdr:col>18</xdr:col>
      <xdr:colOff>200023</xdr:colOff>
      <xdr:row>25</xdr:row>
      <xdr:rowOff>9525</xdr:rowOff>
    </xdr:to>
    <xdr:sp macro="" textlink="">
      <xdr:nvSpPr>
        <xdr:cNvPr id="5" name="Parêntese esquerdo 4">
          <a:extLst>
            <a:ext uri="{FF2B5EF4-FFF2-40B4-BE49-F238E27FC236}">
              <a16:creationId xmlns:a16="http://schemas.microsoft.com/office/drawing/2014/main" id="{6DB9638D-3710-4EDE-9B73-E075CD7C29E6}"/>
            </a:ext>
          </a:extLst>
        </xdr:cNvPr>
        <xdr:cNvSpPr/>
      </xdr:nvSpPr>
      <xdr:spPr>
        <a:xfrm flipH="1">
          <a:off x="13496923" y="1285875"/>
          <a:ext cx="304800" cy="277177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19</xdr:col>
      <xdr:colOff>247650</xdr:colOff>
      <xdr:row>10</xdr:row>
      <xdr:rowOff>28575</xdr:rowOff>
    </xdr:from>
    <xdr:ext cx="876300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D5257E7-65CC-45ED-8D24-61E2F65A725A}"/>
                </a:ext>
              </a:extLst>
            </xdr:cNvPr>
            <xdr:cNvSpPr txBox="1"/>
          </xdr:nvSpPr>
          <xdr:spPr>
            <a:xfrm>
              <a:off x="14678025" y="1647825"/>
              <a:ext cx="876300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D5257E7-65CC-45ED-8D24-61E2F65A725A}"/>
                </a:ext>
              </a:extLst>
            </xdr:cNvPr>
            <xdr:cNvSpPr txBox="1"/>
          </xdr:nvSpPr>
          <xdr:spPr>
            <a:xfrm>
              <a:off x="14678025" y="1647825"/>
              <a:ext cx="876300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20</xdr:col>
      <xdr:colOff>581025</xdr:colOff>
      <xdr:row>7</xdr:row>
      <xdr:rowOff>66675</xdr:rowOff>
    </xdr:from>
    <xdr:to>
      <xdr:col>21</xdr:col>
      <xdr:colOff>266700</xdr:colOff>
      <xdr:row>15</xdr:row>
      <xdr:rowOff>123826</xdr:rowOff>
    </xdr:to>
    <xdr:sp macro="" textlink="">
      <xdr:nvSpPr>
        <xdr:cNvPr id="7" name="Parêntese esquerdo 6">
          <a:extLst>
            <a:ext uri="{FF2B5EF4-FFF2-40B4-BE49-F238E27FC236}">
              <a16:creationId xmlns:a16="http://schemas.microsoft.com/office/drawing/2014/main" id="{4CE3656F-3A49-4897-AA69-DD10FA20DA99}"/>
            </a:ext>
          </a:extLst>
        </xdr:cNvPr>
        <xdr:cNvSpPr/>
      </xdr:nvSpPr>
      <xdr:spPr>
        <a:xfrm>
          <a:off x="15630525" y="1200150"/>
          <a:ext cx="561975" cy="13525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37</xdr:col>
      <xdr:colOff>523875</xdr:colOff>
      <xdr:row>7</xdr:row>
      <xdr:rowOff>47625</xdr:rowOff>
    </xdr:from>
    <xdr:to>
      <xdr:col>38</xdr:col>
      <xdr:colOff>209550</xdr:colOff>
      <xdr:row>15</xdr:row>
      <xdr:rowOff>104776</xdr:rowOff>
    </xdr:to>
    <xdr:sp macro="" textlink="">
      <xdr:nvSpPr>
        <xdr:cNvPr id="8" name="Parêntese esquerdo 7">
          <a:extLst>
            <a:ext uri="{FF2B5EF4-FFF2-40B4-BE49-F238E27FC236}">
              <a16:creationId xmlns:a16="http://schemas.microsoft.com/office/drawing/2014/main" id="{EA71057A-3893-4FB1-A1B2-570786D599C3}"/>
            </a:ext>
          </a:extLst>
        </xdr:cNvPr>
        <xdr:cNvSpPr/>
      </xdr:nvSpPr>
      <xdr:spPr>
        <a:xfrm flipH="1">
          <a:off x="26393775" y="1181100"/>
          <a:ext cx="295275" cy="13525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19</xdr:col>
      <xdr:colOff>333375</xdr:colOff>
      <xdr:row>20</xdr:row>
      <xdr:rowOff>9525</xdr:rowOff>
    </xdr:from>
    <xdr:ext cx="832883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C97B0A28-1500-4E80-B99C-1407615EA385}"/>
                </a:ext>
              </a:extLst>
            </xdr:cNvPr>
            <xdr:cNvSpPr txBox="1"/>
          </xdr:nvSpPr>
          <xdr:spPr>
            <a:xfrm>
              <a:off x="14763750" y="3248025"/>
              <a:ext cx="832883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C97B0A28-1500-4E80-B99C-1407615EA385}"/>
                </a:ext>
              </a:extLst>
            </xdr:cNvPr>
            <xdr:cNvSpPr txBox="1"/>
          </xdr:nvSpPr>
          <xdr:spPr>
            <a:xfrm>
              <a:off x="14763750" y="3248025"/>
              <a:ext cx="832883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𝑌^𝑡=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37</xdr:col>
      <xdr:colOff>476248</xdr:colOff>
      <xdr:row>20</xdr:row>
      <xdr:rowOff>85725</xdr:rowOff>
    </xdr:from>
    <xdr:to>
      <xdr:col>38</xdr:col>
      <xdr:colOff>161923</xdr:colOff>
      <xdr:row>22</xdr:row>
      <xdr:rowOff>66676</xdr:rowOff>
    </xdr:to>
    <xdr:sp macro="" textlink="">
      <xdr:nvSpPr>
        <xdr:cNvPr id="10" name="Parêntese esquerdo 9">
          <a:extLst>
            <a:ext uri="{FF2B5EF4-FFF2-40B4-BE49-F238E27FC236}">
              <a16:creationId xmlns:a16="http://schemas.microsoft.com/office/drawing/2014/main" id="{62D40971-E93A-4831-B7A4-2F9CE6114918}"/>
            </a:ext>
          </a:extLst>
        </xdr:cNvPr>
        <xdr:cNvSpPr/>
      </xdr:nvSpPr>
      <xdr:spPr>
        <a:xfrm flipH="1">
          <a:off x="26346148" y="3324225"/>
          <a:ext cx="295275" cy="30480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20</xdr:col>
      <xdr:colOff>581025</xdr:colOff>
      <xdr:row>20</xdr:row>
      <xdr:rowOff>85725</xdr:rowOff>
    </xdr:from>
    <xdr:to>
      <xdr:col>21</xdr:col>
      <xdr:colOff>266700</xdr:colOff>
      <xdr:row>22</xdr:row>
      <xdr:rowOff>66676</xdr:rowOff>
    </xdr:to>
    <xdr:sp macro="" textlink="">
      <xdr:nvSpPr>
        <xdr:cNvPr id="11" name="Parêntese esquerdo 10">
          <a:extLst>
            <a:ext uri="{FF2B5EF4-FFF2-40B4-BE49-F238E27FC236}">
              <a16:creationId xmlns:a16="http://schemas.microsoft.com/office/drawing/2014/main" id="{65CB4B30-B464-4F76-9C06-B9EFB85762DB}"/>
            </a:ext>
          </a:extLst>
        </xdr:cNvPr>
        <xdr:cNvSpPr/>
      </xdr:nvSpPr>
      <xdr:spPr>
        <a:xfrm>
          <a:off x="15630525" y="3324225"/>
          <a:ext cx="561975" cy="30480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</xdr:col>
      <xdr:colOff>333375</xdr:colOff>
      <xdr:row>31</xdr:row>
      <xdr:rowOff>28575</xdr:rowOff>
    </xdr:from>
    <xdr:ext cx="1408655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A08EC93-AA74-4824-A6E6-D83609E002ED}"/>
                </a:ext>
              </a:extLst>
            </xdr:cNvPr>
            <xdr:cNvSpPr txBox="1"/>
          </xdr:nvSpPr>
          <xdr:spPr>
            <a:xfrm>
              <a:off x="942975" y="5048250"/>
              <a:ext cx="140865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A08EC93-AA74-4824-A6E6-D83609E002ED}"/>
                </a:ext>
              </a:extLst>
            </xdr:cNvPr>
            <xdr:cNvSpPr txBox="1"/>
          </xdr:nvSpPr>
          <xdr:spPr>
            <a:xfrm>
              <a:off x="942975" y="5048250"/>
              <a:ext cx="140865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𝑋^𝑡∗𝑋=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3</xdr:col>
      <xdr:colOff>19050</xdr:colOff>
      <xdr:row>28</xdr:row>
      <xdr:rowOff>114301</xdr:rowOff>
    </xdr:from>
    <xdr:to>
      <xdr:col>3</xdr:col>
      <xdr:colOff>314325</xdr:colOff>
      <xdr:row>36</xdr:row>
      <xdr:rowOff>38101</xdr:rowOff>
    </xdr:to>
    <xdr:sp macro="" textlink="">
      <xdr:nvSpPr>
        <xdr:cNvPr id="13" name="Parêntese esquerdo 12">
          <a:extLst>
            <a:ext uri="{FF2B5EF4-FFF2-40B4-BE49-F238E27FC236}">
              <a16:creationId xmlns:a16="http://schemas.microsoft.com/office/drawing/2014/main" id="{258A9DFF-6053-430C-834A-CAD93D21F11F}"/>
            </a:ext>
          </a:extLst>
        </xdr:cNvPr>
        <xdr:cNvSpPr/>
      </xdr:nvSpPr>
      <xdr:spPr>
        <a:xfrm>
          <a:off x="2428875" y="4648201"/>
          <a:ext cx="295275" cy="121920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9</xdr:col>
      <xdr:colOff>657225</xdr:colOff>
      <xdr:row>28</xdr:row>
      <xdr:rowOff>133350</xdr:rowOff>
    </xdr:from>
    <xdr:to>
      <xdr:col>10</xdr:col>
      <xdr:colOff>190500</xdr:colOff>
      <xdr:row>36</xdr:row>
      <xdr:rowOff>57150</xdr:rowOff>
    </xdr:to>
    <xdr:sp macro="" textlink="">
      <xdr:nvSpPr>
        <xdr:cNvPr id="14" name="Parêntese esquerdo 13">
          <a:extLst>
            <a:ext uri="{FF2B5EF4-FFF2-40B4-BE49-F238E27FC236}">
              <a16:creationId xmlns:a16="http://schemas.microsoft.com/office/drawing/2014/main" id="{1647CF4A-A9A2-4718-B9B4-909D229478AB}"/>
            </a:ext>
          </a:extLst>
        </xdr:cNvPr>
        <xdr:cNvSpPr/>
      </xdr:nvSpPr>
      <xdr:spPr>
        <a:xfrm flipH="1">
          <a:off x="8467725" y="4667250"/>
          <a:ext cx="295275" cy="121920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10</xdr:col>
      <xdr:colOff>504825</xdr:colOff>
      <xdr:row>31</xdr:row>
      <xdr:rowOff>9525</xdr:rowOff>
    </xdr:from>
    <xdr:ext cx="1964127" cy="445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3166F57-8FAC-4CEB-857E-B6966164CC39}"/>
                </a:ext>
              </a:extLst>
            </xdr:cNvPr>
            <xdr:cNvSpPr txBox="1"/>
          </xdr:nvSpPr>
          <xdr:spPr>
            <a:xfrm>
              <a:off x="9077325" y="5029200"/>
              <a:ext cx="1964127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(</m:t>
                        </m:r>
                        <m:sSup>
                          <m:sSupPr>
                            <m:ctrlP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p>
                        </m:s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3166F57-8FAC-4CEB-857E-B6966164CC39}"/>
                </a:ext>
              </a:extLst>
            </xdr:cNvPr>
            <xdr:cNvSpPr txBox="1"/>
          </xdr:nvSpPr>
          <xdr:spPr>
            <a:xfrm>
              <a:off x="9077325" y="5029200"/>
              <a:ext cx="1964127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〖(</a:t>
              </a:r>
              <a:r>
                <a:rPr lang="pt-PT" sz="2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𝑋^𝑡∗𝑋</a:t>
              </a:r>
              <a:r>
                <a:rPr lang="pt-PT" sz="2800" b="0" i="0">
                  <a:latin typeface="Cambria Math" panose="02040503050406030204" pitchFamily="18" charset="0"/>
                </a:rPr>
                <a:t>)〗^(−1)=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13</xdr:col>
      <xdr:colOff>542925</xdr:colOff>
      <xdr:row>28</xdr:row>
      <xdr:rowOff>123825</xdr:rowOff>
    </xdr:from>
    <xdr:to>
      <xdr:col>14</xdr:col>
      <xdr:colOff>228600</xdr:colOff>
      <xdr:row>36</xdr:row>
      <xdr:rowOff>47625</xdr:rowOff>
    </xdr:to>
    <xdr:sp macro="" textlink="">
      <xdr:nvSpPr>
        <xdr:cNvPr id="16" name="Parêntese esquerdo 15">
          <a:extLst>
            <a:ext uri="{FF2B5EF4-FFF2-40B4-BE49-F238E27FC236}">
              <a16:creationId xmlns:a16="http://schemas.microsoft.com/office/drawing/2014/main" id="{968AC94A-6EBB-43C2-8316-BE6B077F266C}"/>
            </a:ext>
          </a:extLst>
        </xdr:cNvPr>
        <xdr:cNvSpPr/>
      </xdr:nvSpPr>
      <xdr:spPr>
        <a:xfrm>
          <a:off x="10944225" y="4657725"/>
          <a:ext cx="295275" cy="121920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20</xdr:col>
      <xdr:colOff>847725</xdr:colOff>
      <xdr:row>28</xdr:row>
      <xdr:rowOff>114299</xdr:rowOff>
    </xdr:from>
    <xdr:to>
      <xdr:col>21</xdr:col>
      <xdr:colOff>266700</xdr:colOff>
      <xdr:row>36</xdr:row>
      <xdr:rowOff>38099</xdr:rowOff>
    </xdr:to>
    <xdr:sp macro="" textlink="">
      <xdr:nvSpPr>
        <xdr:cNvPr id="17" name="Parêntese esquerdo 16">
          <a:extLst>
            <a:ext uri="{FF2B5EF4-FFF2-40B4-BE49-F238E27FC236}">
              <a16:creationId xmlns:a16="http://schemas.microsoft.com/office/drawing/2014/main" id="{3344578D-F78E-42BC-A741-6CF480B7EB44}"/>
            </a:ext>
          </a:extLst>
        </xdr:cNvPr>
        <xdr:cNvSpPr/>
      </xdr:nvSpPr>
      <xdr:spPr>
        <a:xfrm flipH="1">
          <a:off x="15897225" y="4648199"/>
          <a:ext cx="295275" cy="121920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22</xdr:col>
      <xdr:colOff>361950</xdr:colOff>
      <xdr:row>31</xdr:row>
      <xdr:rowOff>38100</xdr:rowOff>
    </xdr:from>
    <xdr:ext cx="1393395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FAF97123-F79B-409A-8FC2-0C145EA1026C}"/>
                </a:ext>
              </a:extLst>
            </xdr:cNvPr>
            <xdr:cNvSpPr txBox="1"/>
          </xdr:nvSpPr>
          <xdr:spPr>
            <a:xfrm>
              <a:off x="16897350" y="5057775"/>
              <a:ext cx="139339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FAF97123-F79B-409A-8FC2-0C145EA1026C}"/>
                </a:ext>
              </a:extLst>
            </xdr:cNvPr>
            <xdr:cNvSpPr txBox="1"/>
          </xdr:nvSpPr>
          <xdr:spPr>
            <a:xfrm>
              <a:off x="16897350" y="5057775"/>
              <a:ext cx="139339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𝑋^𝑡∗𝑌=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25</xdr:col>
      <xdr:colOff>761999</xdr:colOff>
      <xdr:row>28</xdr:row>
      <xdr:rowOff>104774</xdr:rowOff>
    </xdr:from>
    <xdr:to>
      <xdr:col>26</xdr:col>
      <xdr:colOff>257174</xdr:colOff>
      <xdr:row>36</xdr:row>
      <xdr:rowOff>76199</xdr:rowOff>
    </xdr:to>
    <xdr:sp macro="" textlink="">
      <xdr:nvSpPr>
        <xdr:cNvPr id="19" name="Parêntese esquerdo 18">
          <a:extLst>
            <a:ext uri="{FF2B5EF4-FFF2-40B4-BE49-F238E27FC236}">
              <a16:creationId xmlns:a16="http://schemas.microsoft.com/office/drawing/2014/main" id="{F9ED10D1-9EC3-423B-B0AA-173C979D6670}"/>
            </a:ext>
          </a:extLst>
        </xdr:cNvPr>
        <xdr:cNvSpPr/>
      </xdr:nvSpPr>
      <xdr:spPr>
        <a:xfrm flipH="1">
          <a:off x="19126199" y="4638674"/>
          <a:ext cx="295275" cy="126682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24</xdr:col>
      <xdr:colOff>533400</xdr:colOff>
      <xdr:row>28</xdr:row>
      <xdr:rowOff>114300</xdr:rowOff>
    </xdr:from>
    <xdr:to>
      <xdr:col>25</xdr:col>
      <xdr:colOff>219075</xdr:colOff>
      <xdr:row>36</xdr:row>
      <xdr:rowOff>85725</xdr:rowOff>
    </xdr:to>
    <xdr:sp macro="" textlink="">
      <xdr:nvSpPr>
        <xdr:cNvPr id="20" name="Parêntese esquerdo 19">
          <a:extLst>
            <a:ext uri="{FF2B5EF4-FFF2-40B4-BE49-F238E27FC236}">
              <a16:creationId xmlns:a16="http://schemas.microsoft.com/office/drawing/2014/main" id="{B5AA6BF3-D276-4F28-AE77-5FA9963B7BDA}"/>
            </a:ext>
          </a:extLst>
        </xdr:cNvPr>
        <xdr:cNvSpPr/>
      </xdr:nvSpPr>
      <xdr:spPr>
        <a:xfrm>
          <a:off x="18288000" y="4648200"/>
          <a:ext cx="295275" cy="126682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27</xdr:col>
      <xdr:colOff>123825</xdr:colOff>
      <xdr:row>31</xdr:row>
      <xdr:rowOff>28575</xdr:rowOff>
    </xdr:from>
    <xdr:ext cx="3957494" cy="445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C089AD5-1DE5-4D14-8B9F-6AF472705DBA}"/>
                </a:ext>
              </a:extLst>
            </xdr:cNvPr>
            <xdr:cNvSpPr txBox="1"/>
          </xdr:nvSpPr>
          <xdr:spPr>
            <a:xfrm>
              <a:off x="19897725" y="5048250"/>
              <a:ext cx="3957494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2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𝛽</m:t>
                    </m:r>
                    <m:r>
                      <a:rPr lang="pt-PT" sz="2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p>
                        </m:s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𝑌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C089AD5-1DE5-4D14-8B9F-6AF472705DBA}"/>
                </a:ext>
              </a:extLst>
            </xdr:cNvPr>
            <xdr:cNvSpPr txBox="1"/>
          </xdr:nvSpPr>
          <xdr:spPr>
            <a:xfrm>
              <a:off x="19897725" y="5048250"/>
              <a:ext cx="3957494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𝛽=</a:t>
              </a:r>
              <a:r>
                <a:rPr lang="pt-PT" sz="2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〖(𝑋^𝑡∗𝑋)〗^(−1)∗𝑋^𝑡∗𝑌</a:t>
              </a:r>
              <a:r>
                <a:rPr lang="pt-PT" sz="2800" b="0" i="0">
                  <a:latin typeface="Cambria Math" panose="02040503050406030204" pitchFamily="18" charset="0"/>
                </a:rPr>
                <a:t>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35</xdr:col>
      <xdr:colOff>47624</xdr:colOff>
      <xdr:row>28</xdr:row>
      <xdr:rowOff>104775</xdr:rowOff>
    </xdr:from>
    <xdr:to>
      <xdr:col>35</xdr:col>
      <xdr:colOff>342899</xdr:colOff>
      <xdr:row>36</xdr:row>
      <xdr:rowOff>76200</xdr:rowOff>
    </xdr:to>
    <xdr:sp macro="" textlink="">
      <xdr:nvSpPr>
        <xdr:cNvPr id="22" name="Parêntese esquerdo 21">
          <a:extLst>
            <a:ext uri="{FF2B5EF4-FFF2-40B4-BE49-F238E27FC236}">
              <a16:creationId xmlns:a16="http://schemas.microsoft.com/office/drawing/2014/main" id="{7738DBA3-6892-4E30-B349-F93701D118C4}"/>
            </a:ext>
          </a:extLst>
        </xdr:cNvPr>
        <xdr:cNvSpPr/>
      </xdr:nvSpPr>
      <xdr:spPr>
        <a:xfrm flipH="1">
          <a:off x="24698324" y="4638675"/>
          <a:ext cx="295275" cy="126682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33</xdr:col>
      <xdr:colOff>428625</xdr:colOff>
      <xdr:row>28</xdr:row>
      <xdr:rowOff>114301</xdr:rowOff>
    </xdr:from>
    <xdr:to>
      <xdr:col>34</xdr:col>
      <xdr:colOff>114300</xdr:colOff>
      <xdr:row>36</xdr:row>
      <xdr:rowOff>85726</xdr:rowOff>
    </xdr:to>
    <xdr:sp macro="" textlink="">
      <xdr:nvSpPr>
        <xdr:cNvPr id="23" name="Parêntese esquerdo 22">
          <a:extLst>
            <a:ext uri="{FF2B5EF4-FFF2-40B4-BE49-F238E27FC236}">
              <a16:creationId xmlns:a16="http://schemas.microsoft.com/office/drawing/2014/main" id="{439469E0-5BA7-4FF6-A37A-63DFF8622E0D}"/>
            </a:ext>
          </a:extLst>
        </xdr:cNvPr>
        <xdr:cNvSpPr/>
      </xdr:nvSpPr>
      <xdr:spPr>
        <a:xfrm>
          <a:off x="23860125" y="4648201"/>
          <a:ext cx="295275" cy="126682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</xdr:col>
      <xdr:colOff>459442</xdr:colOff>
      <xdr:row>43</xdr:row>
      <xdr:rowOff>0</xdr:rowOff>
    </xdr:from>
    <xdr:ext cx="1320800" cy="3556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9D7FA2A-820B-49D2-B377-5A06C9F7A6F3}"/>
                </a:ext>
              </a:extLst>
            </xdr:cNvPr>
            <xdr:cNvSpPr txBox="1"/>
          </xdr:nvSpPr>
          <xdr:spPr>
            <a:xfrm>
              <a:off x="1069042" y="7067550"/>
              <a:ext cx="13208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𝑛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9D7FA2A-820B-49D2-B377-5A06C9F7A6F3}"/>
                </a:ext>
              </a:extLst>
            </xdr:cNvPr>
            <xdr:cNvSpPr txBox="1"/>
          </xdr:nvSpPr>
          <xdr:spPr>
            <a:xfrm>
              <a:off x="1069042" y="7067550"/>
              <a:ext cx="13208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〖𝑆𝑄〗_𝑇=𝑌^𝑇 𝑌−𝑛𝑦 ̅^2=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280146</xdr:colOff>
      <xdr:row>44</xdr:row>
      <xdr:rowOff>123265</xdr:rowOff>
    </xdr:from>
    <xdr:ext cx="1549400" cy="3810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DC430E90-7916-4B16-AF8B-5BBBD1BC06F0}"/>
                </a:ext>
              </a:extLst>
            </xdr:cNvPr>
            <xdr:cNvSpPr txBox="1"/>
          </xdr:nvSpPr>
          <xdr:spPr>
            <a:xfrm>
              <a:off x="889746" y="7352740"/>
              <a:ext cx="1549400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𝑛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DC430E90-7916-4B16-AF8B-5BBBD1BC06F0}"/>
                </a:ext>
              </a:extLst>
            </xdr:cNvPr>
            <xdr:cNvSpPr txBox="1"/>
          </xdr:nvSpPr>
          <xdr:spPr>
            <a:xfrm>
              <a:off x="889746" y="7352740"/>
              <a:ext cx="1549400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〖𝑆𝑄〗_𝑅=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𝑌−𝑛𝑦 ̅^2=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268942</xdr:colOff>
      <xdr:row>46</xdr:row>
      <xdr:rowOff>123264</xdr:rowOff>
    </xdr:from>
    <xdr:ext cx="1549400" cy="2635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1EE95E2-8E82-422B-AC97-0B0FC672D76D}"/>
                </a:ext>
              </a:extLst>
            </xdr:cNvPr>
            <xdr:cNvSpPr txBox="1"/>
          </xdr:nvSpPr>
          <xdr:spPr>
            <a:xfrm>
              <a:off x="878542" y="7743264"/>
              <a:ext cx="1549400" cy="2635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𝐸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1EE95E2-8E82-422B-AC97-0B0FC672D76D}"/>
                </a:ext>
              </a:extLst>
            </xdr:cNvPr>
            <xdr:cNvSpPr txBox="1"/>
          </xdr:nvSpPr>
          <xdr:spPr>
            <a:xfrm>
              <a:off x="878542" y="7743264"/>
              <a:ext cx="1549400" cy="2635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〖𝑆𝑄〗_𝐸=𝑌^𝑇 𝑌−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190500</xdr:colOff>
      <xdr:row>55</xdr:row>
      <xdr:rowOff>123263</xdr:rowOff>
    </xdr:from>
    <xdr:ext cx="818030" cy="5042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639B1F9-394E-40B9-80E9-A25956DFE166}"/>
                </a:ext>
              </a:extLst>
            </xdr:cNvPr>
            <xdr:cNvSpPr txBox="1"/>
          </xdr:nvSpPr>
          <xdr:spPr>
            <a:xfrm>
              <a:off x="1562100" y="9200588"/>
              <a:ext cx="818030" cy="5042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𝑀</m:t>
                        </m:r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𝑀𝑄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639B1F9-394E-40B9-80E9-A25956DFE166}"/>
                </a:ext>
              </a:extLst>
            </xdr:cNvPr>
            <xdr:cNvSpPr txBox="1"/>
          </xdr:nvSpPr>
          <xdr:spPr>
            <a:xfrm>
              <a:off x="1562100" y="9200588"/>
              <a:ext cx="818030" cy="5042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𝐹_0=(𝑀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𝑄_𝑅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〖𝑀𝑄〗_𝐸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22412</xdr:colOff>
      <xdr:row>49</xdr:row>
      <xdr:rowOff>67236</xdr:rowOff>
    </xdr:from>
    <xdr:ext cx="1053353" cy="3922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CCADFFEC-32BC-48A0-8EE8-F7D9301A9EC8}"/>
                </a:ext>
              </a:extLst>
            </xdr:cNvPr>
            <xdr:cNvSpPr txBox="1"/>
          </xdr:nvSpPr>
          <xdr:spPr>
            <a:xfrm>
              <a:off x="1394012" y="8173011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𝑀</m:t>
                    </m:r>
                    <m:sSub>
                      <m:sSubPr>
                        <m:ctrlP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𝑄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𝑅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𝑔𝑙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CCADFFEC-32BC-48A0-8EE8-F7D9301A9EC8}"/>
                </a:ext>
              </a:extLst>
            </xdr:cNvPr>
            <xdr:cNvSpPr txBox="1"/>
          </xdr:nvSpPr>
          <xdr:spPr>
            <a:xfrm>
              <a:off x="1394012" y="8173011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𝑀𝑄_𝑅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〖𝑆𝑄〗_𝑅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〖𝑔𝑙〗_𝑅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761999</xdr:colOff>
      <xdr:row>52</xdr:row>
      <xdr:rowOff>67236</xdr:rowOff>
    </xdr:from>
    <xdr:ext cx="1053353" cy="3922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2A55CC0-F113-423C-9079-BAEEDABFF895}"/>
                </a:ext>
              </a:extLst>
            </xdr:cNvPr>
            <xdr:cNvSpPr txBox="1"/>
          </xdr:nvSpPr>
          <xdr:spPr>
            <a:xfrm>
              <a:off x="1371599" y="865878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𝑀</m:t>
                    </m:r>
                    <m:sSub>
                      <m:sSubPr>
                        <m:ctrlP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𝑄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𝐸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𝑔𝑙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2A55CC0-F113-423C-9079-BAEEDABFF895}"/>
                </a:ext>
              </a:extLst>
            </xdr:cNvPr>
            <xdr:cNvSpPr txBox="1"/>
          </xdr:nvSpPr>
          <xdr:spPr>
            <a:xfrm>
              <a:off x="1371599" y="865878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𝑀𝑄_𝐸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〖𝑆𝑄〗_𝐸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〖𝑔𝑙〗_𝐸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14</xdr:col>
      <xdr:colOff>529479</xdr:colOff>
      <xdr:row>51</xdr:row>
      <xdr:rowOff>136151</xdr:rowOff>
    </xdr:from>
    <xdr:ext cx="806824" cy="2129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3297C207-A784-42A9-B8AD-68E92073F681}"/>
                </a:ext>
              </a:extLst>
            </xdr:cNvPr>
            <xdr:cNvSpPr txBox="1"/>
          </xdr:nvSpPr>
          <xdr:spPr>
            <a:xfrm>
              <a:off x="11540379" y="8565776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3297C207-A784-42A9-B8AD-68E92073F681}"/>
                </a:ext>
              </a:extLst>
            </xdr:cNvPr>
            <xdr:cNvSpPr txBox="1"/>
          </xdr:nvSpPr>
          <xdr:spPr>
            <a:xfrm>
              <a:off x="11540379" y="8565776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15</xdr:col>
      <xdr:colOff>42582</xdr:colOff>
      <xdr:row>49</xdr:row>
      <xdr:rowOff>142875</xdr:rowOff>
    </xdr:from>
    <xdr:ext cx="806824" cy="2129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2FFBEB12-6977-40A0-B4AE-BEBAA70C1CD3}"/>
                </a:ext>
              </a:extLst>
            </xdr:cNvPr>
            <xdr:cNvSpPr txBox="1"/>
          </xdr:nvSpPr>
          <xdr:spPr>
            <a:xfrm>
              <a:off x="11672607" y="8248650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2FFBEB12-6977-40A0-B4AE-BEBAA70C1CD3}"/>
                </a:ext>
              </a:extLst>
            </xdr:cNvPr>
            <xdr:cNvSpPr txBox="1"/>
          </xdr:nvSpPr>
          <xdr:spPr>
            <a:xfrm>
              <a:off x="11672607" y="8248650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𝑇=</a:t>
              </a:r>
              <a:endParaRPr lang="pt-PT" sz="1200"/>
            </a:p>
          </xdr:txBody>
        </xdr:sp>
      </mc:Fallback>
    </mc:AlternateContent>
    <xdr:clientData/>
  </xdr:oneCellAnchor>
  <xdr:twoCellAnchor editAs="oneCell">
    <xdr:from>
      <xdr:col>0</xdr:col>
      <xdr:colOff>100852</xdr:colOff>
      <xdr:row>72</xdr:row>
      <xdr:rowOff>33617</xdr:rowOff>
    </xdr:from>
    <xdr:to>
      <xdr:col>4</xdr:col>
      <xdr:colOff>130459</xdr:colOff>
      <xdr:row>75</xdr:row>
      <xdr:rowOff>96444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C7DF87C3-DBAB-4680-86A1-9A00786E5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52" y="11901767"/>
          <a:ext cx="3382407" cy="548602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123265</xdr:colOff>
      <xdr:row>68</xdr:row>
      <xdr:rowOff>123264</xdr:rowOff>
    </xdr:from>
    <xdr:to>
      <xdr:col>2</xdr:col>
      <xdr:colOff>435023</xdr:colOff>
      <xdr:row>71</xdr:row>
      <xdr:rowOff>147986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8B2EDFD3-9777-49FE-A84F-E3D47044E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5" y="11343714"/>
          <a:ext cx="1683358" cy="510497"/>
        </a:xfrm>
        <a:prstGeom prst="rect">
          <a:avLst/>
        </a:prstGeom>
      </xdr:spPr>
    </xdr:pic>
    <xdr:clientData/>
  </xdr:twoCellAnchor>
  <xdr:oneCellAnchor>
    <xdr:from>
      <xdr:col>4</xdr:col>
      <xdr:colOff>280147</xdr:colOff>
      <xdr:row>81</xdr:row>
      <xdr:rowOff>89647</xdr:rowOff>
    </xdr:from>
    <xdr:ext cx="4616823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7534298-1698-43FB-B37F-A2263C195DE5}"/>
                </a:ext>
              </a:extLst>
            </xdr:cNvPr>
            <xdr:cNvSpPr txBox="1"/>
          </xdr:nvSpPr>
          <xdr:spPr>
            <a:xfrm>
              <a:off x="3632947" y="13434172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=0, 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𝑘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=6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7534298-1698-43FB-B37F-A2263C195DE5}"/>
                </a:ext>
              </a:extLst>
            </xdr:cNvPr>
            <xdr:cNvSpPr txBox="1"/>
          </xdr:nvSpPr>
          <xdr:spPr>
            <a:xfrm>
              <a:off x="3632947" y="13434172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600" b="0" i="0">
                  <a:latin typeface="Cambria Math" panose="02040503050406030204" pitchFamily="18" charset="0"/>
                </a:rPr>
                <a:t>0=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𝛽_1=𝛽_2=𝛽_3=𝛽_4=𝛽_5=𝛽_6=0, 𝑘=6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4</xdr:col>
      <xdr:colOff>280147</xdr:colOff>
      <xdr:row>83</xdr:row>
      <xdr:rowOff>112059</xdr:rowOff>
    </xdr:from>
    <xdr:ext cx="4616823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83632B08-8571-4E8E-9C67-723F34BC3BE9}"/>
                </a:ext>
              </a:extLst>
            </xdr:cNvPr>
            <xdr:cNvSpPr txBox="1"/>
          </xdr:nvSpPr>
          <xdr:spPr>
            <a:xfrm>
              <a:off x="3632947" y="13780434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2=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𝑗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𝑝𝑎𝑟𝑎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𝑎𝑙𝑔𝑢𝑚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𝑗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, 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𝑗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=1,2,3,4,5,6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83632B08-8571-4E8E-9C67-723F34BC3BE9}"/>
                </a:ext>
              </a:extLst>
            </xdr:cNvPr>
            <xdr:cNvSpPr txBox="1"/>
          </xdr:nvSpPr>
          <xdr:spPr>
            <a:xfrm>
              <a:off x="3632947" y="13780434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𝐻2=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𝛽_𝑗≠0 𝑝𝑎𝑟𝑎 𝑎𝑙𝑔𝑢𝑚 𝑗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, 𝑗=1,2,3,4,5,6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4</xdr:col>
      <xdr:colOff>459442</xdr:colOff>
      <xdr:row>89</xdr:row>
      <xdr:rowOff>125505</xdr:rowOff>
    </xdr:from>
    <xdr:ext cx="6633882" cy="27404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BDF1C31D-7B8E-4FDF-87D1-EE4797F91E70}"/>
                </a:ext>
              </a:extLst>
            </xdr:cNvPr>
            <xdr:cNvSpPr txBox="1"/>
          </xdr:nvSpPr>
          <xdr:spPr>
            <a:xfrm>
              <a:off x="3812242" y="14774955"/>
              <a:ext cx="6633882" cy="2740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𝐼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.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𝐶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=]</m:t>
                  </m:r>
                  <m:sSub>
                    <m:sSub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𝐽</m:t>
                      </m:r>
                    </m:sub>
                  </m:sSub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/2[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𝑛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+1</m:t>
                      </m:r>
                    </m:e>
                  </m:d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]</m:t>
                  </m:r>
                  <m:rad>
                    <m:radPr>
                      <m:degHide m:val="on"/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𝜎</m:t>
                          </m:r>
                        </m:e>
                        <m:sup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𝐶𝑗𝑗</m:t>
                      </m:r>
                    </m:e>
                  </m:rad>
                </m:oMath>
              </a14:m>
              <a:r>
                <a:rPr lang="pt-PT" sz="1400"/>
                <a:t>,</a:t>
              </a:r>
              <a14:m>
                <m:oMath xmlns:m="http://schemas.openxmlformats.org/officeDocument/2006/math">
                  <m:sSub>
                    <m:sSub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𝐽</m:t>
                      </m:r>
                    </m:sub>
                  </m:sSub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/2[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𝑛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+1</m:t>
                      </m:r>
                    </m:e>
                  </m:d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]</m:t>
                  </m:r>
                  <m:rad>
                    <m:radPr>
                      <m:degHide m:val="on"/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𝜎</m:t>
                          </m:r>
                        </m:e>
                        <m:sup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𝐶𝑗𝑗</m:t>
                      </m:r>
                    </m:e>
                  </m:rad>
                </m:oMath>
              </a14:m>
              <a:r>
                <a:rPr lang="pt-PT" sz="1400"/>
                <a:t>[</a:t>
              </a:r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BDF1C31D-7B8E-4FDF-87D1-EE4797F91E70}"/>
                </a:ext>
              </a:extLst>
            </xdr:cNvPr>
            <xdr:cNvSpPr txBox="1"/>
          </xdr:nvSpPr>
          <xdr:spPr>
            <a:xfrm>
              <a:off x="3812242" y="14774955"/>
              <a:ext cx="6633882" cy="2740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𝐼.𝐶=]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𝛽_𝐽−𝑇1−𝑎/2[𝑛−(𝑘+1)]√(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 𝐶𝑗𝑗)</a:t>
              </a:r>
              <a:r>
                <a:rPr lang="pt-PT" sz="1400"/>
                <a:t>,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𝛽_𝐽+𝑇1−𝑎/2[𝑛−(𝑘+1)]√(𝜎^2 𝐶𝑗𝑗)</a:t>
              </a:r>
              <a:r>
                <a:rPr lang="pt-PT" sz="1400"/>
                <a:t>[</a:t>
              </a:r>
            </a:p>
          </xdr:txBody>
        </xdr:sp>
      </mc:Fallback>
    </mc:AlternateContent>
    <xdr:clientData/>
  </xdr:oneCellAnchor>
  <xdr:oneCellAnchor>
    <xdr:from>
      <xdr:col>2</xdr:col>
      <xdr:colOff>736227</xdr:colOff>
      <xdr:row>96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7E694A7-F004-4E51-8556-919B9FFC13D9}"/>
                </a:ext>
              </a:extLst>
            </xdr:cNvPr>
            <xdr:cNvSpPr txBox="1"/>
          </xdr:nvSpPr>
          <xdr:spPr>
            <a:xfrm>
              <a:off x="2107827" y="157946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7E694A7-F004-4E51-8556-919B9FFC13D9}"/>
                </a:ext>
              </a:extLst>
            </xdr:cNvPr>
            <xdr:cNvSpPr txBox="1"/>
          </xdr:nvSpPr>
          <xdr:spPr>
            <a:xfrm>
              <a:off x="2107827" y="157946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97</xdr:row>
      <xdr:rowOff>145675</xdr:rowOff>
    </xdr:from>
    <xdr:ext cx="288477" cy="172227"/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F90D4996-034A-4B77-9BFB-D8DB3938321E}"/>
            </a:ext>
          </a:extLst>
        </xdr:cNvPr>
        <xdr:cNvSpPr txBox="1"/>
      </xdr:nvSpPr>
      <xdr:spPr>
        <a:xfrm>
          <a:off x="2032747" y="161000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2</xdr:col>
      <xdr:colOff>736227</xdr:colOff>
      <xdr:row>106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556C8D1E-0AA0-4EA0-860F-74AD4E8701ED}"/>
                </a:ext>
              </a:extLst>
            </xdr:cNvPr>
            <xdr:cNvSpPr txBox="1"/>
          </xdr:nvSpPr>
          <xdr:spPr>
            <a:xfrm>
              <a:off x="2107827" y="174329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556C8D1E-0AA0-4EA0-860F-74AD4E8701ED}"/>
                </a:ext>
              </a:extLst>
            </xdr:cNvPr>
            <xdr:cNvSpPr txBox="1"/>
          </xdr:nvSpPr>
          <xdr:spPr>
            <a:xfrm>
              <a:off x="2107827" y="174329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107</xdr:row>
      <xdr:rowOff>145675</xdr:rowOff>
    </xdr:from>
    <xdr:ext cx="288477" cy="172227"/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12A21C64-95CA-42A3-ADDD-287A25918FF7}"/>
            </a:ext>
          </a:extLst>
        </xdr:cNvPr>
        <xdr:cNvSpPr txBox="1"/>
      </xdr:nvSpPr>
      <xdr:spPr>
        <a:xfrm>
          <a:off x="2032747" y="177383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2</xdr:col>
      <xdr:colOff>736227</xdr:colOff>
      <xdr:row>116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F1829D5D-96F1-4D04-82A1-1A7413D95D77}"/>
                </a:ext>
              </a:extLst>
            </xdr:cNvPr>
            <xdr:cNvSpPr txBox="1"/>
          </xdr:nvSpPr>
          <xdr:spPr>
            <a:xfrm>
              <a:off x="2107827" y="190712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F1829D5D-96F1-4D04-82A1-1A7413D95D77}"/>
                </a:ext>
              </a:extLst>
            </xdr:cNvPr>
            <xdr:cNvSpPr txBox="1"/>
          </xdr:nvSpPr>
          <xdr:spPr>
            <a:xfrm>
              <a:off x="2107827" y="190712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117</xdr:row>
      <xdr:rowOff>145675</xdr:rowOff>
    </xdr:from>
    <xdr:ext cx="288477" cy="172227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727589C9-FE54-45F7-83AE-E459A047B8D0}"/>
            </a:ext>
          </a:extLst>
        </xdr:cNvPr>
        <xdr:cNvSpPr txBox="1"/>
      </xdr:nvSpPr>
      <xdr:spPr>
        <a:xfrm>
          <a:off x="2032747" y="193766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2</xdr:col>
      <xdr:colOff>736227</xdr:colOff>
      <xdr:row>126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1A06D3C2-1262-4037-973C-05B5025329BF}"/>
                </a:ext>
              </a:extLst>
            </xdr:cNvPr>
            <xdr:cNvSpPr txBox="1"/>
          </xdr:nvSpPr>
          <xdr:spPr>
            <a:xfrm>
              <a:off x="2107827" y="207095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1A06D3C2-1262-4037-973C-05B5025329BF}"/>
                </a:ext>
              </a:extLst>
            </xdr:cNvPr>
            <xdr:cNvSpPr txBox="1"/>
          </xdr:nvSpPr>
          <xdr:spPr>
            <a:xfrm>
              <a:off x="2107827" y="207095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127</xdr:row>
      <xdr:rowOff>145675</xdr:rowOff>
    </xdr:from>
    <xdr:ext cx="288477" cy="172227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9D940DC3-0F3F-49F7-9B53-78CE94463206}"/>
            </a:ext>
          </a:extLst>
        </xdr:cNvPr>
        <xdr:cNvSpPr txBox="1"/>
      </xdr:nvSpPr>
      <xdr:spPr>
        <a:xfrm>
          <a:off x="2032747" y="210149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2</xdr:col>
      <xdr:colOff>736227</xdr:colOff>
      <xdr:row>136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986756E6-4C2A-4A9D-8131-8412C8C9AA62}"/>
                </a:ext>
              </a:extLst>
            </xdr:cNvPr>
            <xdr:cNvSpPr txBox="1"/>
          </xdr:nvSpPr>
          <xdr:spPr>
            <a:xfrm>
              <a:off x="2107827" y="223478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986756E6-4C2A-4A9D-8131-8412C8C9AA62}"/>
                </a:ext>
              </a:extLst>
            </xdr:cNvPr>
            <xdr:cNvSpPr txBox="1"/>
          </xdr:nvSpPr>
          <xdr:spPr>
            <a:xfrm>
              <a:off x="2107827" y="223478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137</xdr:row>
      <xdr:rowOff>145675</xdr:rowOff>
    </xdr:from>
    <xdr:ext cx="288477" cy="172227"/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C9E9FE75-4559-4893-9A27-9072157683D2}"/>
            </a:ext>
          </a:extLst>
        </xdr:cNvPr>
        <xdr:cNvSpPr txBox="1"/>
      </xdr:nvSpPr>
      <xdr:spPr>
        <a:xfrm>
          <a:off x="2032747" y="226532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C44=</a:t>
          </a:r>
        </a:p>
      </xdr:txBody>
    </xdr:sp>
    <xdr:clientData/>
  </xdr:oneCellAnchor>
  <xdr:oneCellAnchor>
    <xdr:from>
      <xdr:col>2</xdr:col>
      <xdr:colOff>736227</xdr:colOff>
      <xdr:row>146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C2072DC1-C9E1-4B8C-8594-13B293EF4CE1}"/>
                </a:ext>
              </a:extLst>
            </xdr:cNvPr>
            <xdr:cNvSpPr txBox="1"/>
          </xdr:nvSpPr>
          <xdr:spPr>
            <a:xfrm>
              <a:off x="2107827" y="239861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C2072DC1-C9E1-4B8C-8594-13B293EF4CE1}"/>
                </a:ext>
              </a:extLst>
            </xdr:cNvPr>
            <xdr:cNvSpPr txBox="1"/>
          </xdr:nvSpPr>
          <xdr:spPr>
            <a:xfrm>
              <a:off x="2107827" y="239861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147</xdr:row>
      <xdr:rowOff>145675</xdr:rowOff>
    </xdr:from>
    <xdr:ext cx="288477" cy="172227"/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34927714-342A-4899-BBE8-1D13B59F3F4A}"/>
            </a:ext>
          </a:extLst>
        </xdr:cNvPr>
        <xdr:cNvSpPr txBox="1"/>
      </xdr:nvSpPr>
      <xdr:spPr>
        <a:xfrm>
          <a:off x="2032747" y="242915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C55=</a:t>
          </a:r>
        </a:p>
      </xdr:txBody>
    </xdr:sp>
    <xdr:clientData/>
  </xdr:oneCellAnchor>
  <xdr:oneCellAnchor>
    <xdr:from>
      <xdr:col>2</xdr:col>
      <xdr:colOff>736227</xdr:colOff>
      <xdr:row>156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C4CFA072-A1BA-4155-893F-F7A7D9EB1BB2}"/>
                </a:ext>
              </a:extLst>
            </xdr:cNvPr>
            <xdr:cNvSpPr txBox="1"/>
          </xdr:nvSpPr>
          <xdr:spPr>
            <a:xfrm>
              <a:off x="2107827" y="256244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C4CFA072-A1BA-4155-893F-F7A7D9EB1BB2}"/>
                </a:ext>
              </a:extLst>
            </xdr:cNvPr>
            <xdr:cNvSpPr txBox="1"/>
          </xdr:nvSpPr>
          <xdr:spPr>
            <a:xfrm>
              <a:off x="2107827" y="256244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157</xdr:row>
      <xdr:rowOff>145675</xdr:rowOff>
    </xdr:from>
    <xdr:ext cx="288477" cy="172227"/>
    <xdr:sp macro="" textlink="">
      <xdr:nvSpPr>
        <xdr:cNvPr id="57" name="CaixaDeTexto 56">
          <a:extLst>
            <a:ext uri="{FF2B5EF4-FFF2-40B4-BE49-F238E27FC236}">
              <a16:creationId xmlns:a16="http://schemas.microsoft.com/office/drawing/2014/main" id="{FF07A28D-95E2-4B06-831E-ABD476E0A7EE}"/>
            </a:ext>
          </a:extLst>
        </xdr:cNvPr>
        <xdr:cNvSpPr txBox="1"/>
      </xdr:nvSpPr>
      <xdr:spPr>
        <a:xfrm>
          <a:off x="2032747" y="259298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C66=</a:t>
          </a:r>
        </a:p>
      </xdr:txBody>
    </xdr:sp>
    <xdr:clientData/>
  </xdr:oneCellAnchor>
  <xdr:oneCellAnchor>
    <xdr:from>
      <xdr:col>1</xdr:col>
      <xdr:colOff>456079</xdr:colOff>
      <xdr:row>169</xdr:row>
      <xdr:rowOff>2241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9248198-A366-4148-89F6-CC80A8A029BF}"/>
                </a:ext>
              </a:extLst>
            </xdr:cNvPr>
            <xdr:cNvSpPr txBox="1"/>
          </xdr:nvSpPr>
          <xdr:spPr>
            <a:xfrm>
              <a:off x="1065679" y="27748566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9248198-A366-4148-89F6-CC80A8A029BF}"/>
                </a:ext>
              </a:extLst>
            </xdr:cNvPr>
            <xdr:cNvSpPr txBox="1"/>
          </xdr:nvSpPr>
          <xdr:spPr>
            <a:xfrm>
              <a:off x="1065679" y="27748566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672352</xdr:colOff>
      <xdr:row>170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78F95A25-9767-4B36-AE1D-4CA4CD1BB14C}"/>
                </a:ext>
              </a:extLst>
            </xdr:cNvPr>
            <xdr:cNvSpPr txBox="1"/>
          </xdr:nvSpPr>
          <xdr:spPr>
            <a:xfrm>
              <a:off x="1281952" y="2804271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78F95A25-9767-4B36-AE1D-4CA4CD1BB14C}"/>
                </a:ext>
              </a:extLst>
            </xdr:cNvPr>
            <xdr:cNvSpPr txBox="1"/>
          </xdr:nvSpPr>
          <xdr:spPr>
            <a:xfrm>
              <a:off x="1281952" y="2804271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694764</xdr:colOff>
      <xdr:row>174</xdr:row>
      <xdr:rowOff>134471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AD641CE-4DBA-458C-9291-05DF3223F3CA}"/>
                </a:ext>
              </a:extLst>
            </xdr:cNvPr>
            <xdr:cNvSpPr txBox="1"/>
          </xdr:nvSpPr>
          <xdr:spPr>
            <a:xfrm>
              <a:off x="1304364" y="28690421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AD641CE-4DBA-458C-9291-05DF3223F3CA}"/>
                </a:ext>
              </a:extLst>
            </xdr:cNvPr>
            <xdr:cNvSpPr txBox="1"/>
          </xdr:nvSpPr>
          <xdr:spPr>
            <a:xfrm>
              <a:off x="1304364" y="28690421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616324</xdr:colOff>
      <xdr:row>164</xdr:row>
      <xdr:rowOff>168087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767B2F8-3402-4686-85C0-6B9F3EC0FCCD}"/>
                </a:ext>
              </a:extLst>
            </xdr:cNvPr>
            <xdr:cNvSpPr txBox="1"/>
          </xdr:nvSpPr>
          <xdr:spPr>
            <a:xfrm>
              <a:off x="8426824" y="27095262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767B2F8-3402-4686-85C0-6B9F3EC0FCCD}"/>
                </a:ext>
              </a:extLst>
            </xdr:cNvPr>
            <xdr:cNvSpPr txBox="1"/>
          </xdr:nvSpPr>
          <xdr:spPr>
            <a:xfrm>
              <a:off x="8426824" y="27095262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0</xdr:colOff>
      <xdr:row>173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9CB64879-719F-4F0C-BAED-1A0AD07AB7D3}"/>
                </a:ext>
              </a:extLst>
            </xdr:cNvPr>
            <xdr:cNvSpPr txBox="1"/>
          </xdr:nvSpPr>
          <xdr:spPr>
            <a:xfrm>
              <a:off x="1371600" y="2839402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9CB64879-719F-4F0C-BAED-1A0AD07AB7D3}"/>
                </a:ext>
              </a:extLst>
            </xdr:cNvPr>
            <xdr:cNvSpPr txBox="1"/>
          </xdr:nvSpPr>
          <xdr:spPr>
            <a:xfrm>
              <a:off x="1371600" y="2839402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347382</xdr:colOff>
      <xdr:row>168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B0B1079D-AF2C-410E-8707-243A54AB300E}"/>
                </a:ext>
              </a:extLst>
            </xdr:cNvPr>
            <xdr:cNvSpPr txBox="1"/>
          </xdr:nvSpPr>
          <xdr:spPr>
            <a:xfrm>
              <a:off x="8157882" y="2770766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B0B1079D-AF2C-410E-8707-243A54AB300E}"/>
                </a:ext>
              </a:extLst>
            </xdr:cNvPr>
            <xdr:cNvSpPr txBox="1"/>
          </xdr:nvSpPr>
          <xdr:spPr>
            <a:xfrm>
              <a:off x="8157882" y="2770766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299197</xdr:colOff>
      <xdr:row>183</xdr:row>
      <xdr:rowOff>2242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4B84B14-EBD1-485C-82B7-C2A9CAC82B98}"/>
                </a:ext>
              </a:extLst>
            </xdr:cNvPr>
            <xdr:cNvSpPr txBox="1"/>
          </xdr:nvSpPr>
          <xdr:spPr>
            <a:xfrm>
              <a:off x="908797" y="30072667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4B84B14-EBD1-485C-82B7-C2A9CAC82B98}"/>
                </a:ext>
              </a:extLst>
            </xdr:cNvPr>
            <xdr:cNvSpPr txBox="1"/>
          </xdr:nvSpPr>
          <xdr:spPr>
            <a:xfrm>
              <a:off x="908797" y="30072667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672352</xdr:colOff>
      <xdr:row>184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88B97CC7-3563-40A2-AEEF-1576F2F10657}"/>
                </a:ext>
              </a:extLst>
            </xdr:cNvPr>
            <xdr:cNvSpPr txBox="1"/>
          </xdr:nvSpPr>
          <xdr:spPr>
            <a:xfrm>
              <a:off x="1281952" y="3036681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88B97CC7-3563-40A2-AEEF-1576F2F10657}"/>
                </a:ext>
              </a:extLst>
            </xdr:cNvPr>
            <xdr:cNvSpPr txBox="1"/>
          </xdr:nvSpPr>
          <xdr:spPr>
            <a:xfrm>
              <a:off x="1281952" y="3036681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369794</xdr:colOff>
      <xdr:row>189</xdr:row>
      <xdr:rowOff>11206</xdr:rowOff>
    </xdr:from>
    <xdr:ext cx="1389529" cy="235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D223F201-888C-48B8-9CE5-A71F7338E9DB}"/>
                </a:ext>
              </a:extLst>
            </xdr:cNvPr>
            <xdr:cNvSpPr txBox="1"/>
          </xdr:nvSpPr>
          <xdr:spPr>
            <a:xfrm>
              <a:off x="979394" y="31053181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∗(1+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0)=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D223F201-888C-48B8-9CE5-A71F7338E9DB}"/>
                </a:ext>
              </a:extLst>
            </xdr:cNvPr>
            <xdr:cNvSpPr txBox="1"/>
          </xdr:nvSpPr>
          <xdr:spPr>
            <a:xfrm>
              <a:off x="979394" y="31053181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2∗(1+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302560</xdr:colOff>
      <xdr:row>178</xdr:row>
      <xdr:rowOff>156881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BE47F25-552B-4E18-BDED-C7B3F770BCEE}"/>
                </a:ext>
              </a:extLst>
            </xdr:cNvPr>
            <xdr:cNvSpPr txBox="1"/>
          </xdr:nvSpPr>
          <xdr:spPr>
            <a:xfrm>
              <a:off x="8113060" y="2940815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BE47F25-552B-4E18-BDED-C7B3F770BCEE}"/>
                </a:ext>
              </a:extLst>
            </xdr:cNvPr>
            <xdr:cNvSpPr txBox="1"/>
          </xdr:nvSpPr>
          <xdr:spPr>
            <a:xfrm>
              <a:off x="8113060" y="2940815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0</xdr:colOff>
      <xdr:row>187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90069F6F-4937-4B0D-85D6-D68E8DA0A769}"/>
                </a:ext>
              </a:extLst>
            </xdr:cNvPr>
            <xdr:cNvSpPr txBox="1"/>
          </xdr:nvSpPr>
          <xdr:spPr>
            <a:xfrm>
              <a:off x="1371600" y="3071812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90069F6F-4937-4B0D-85D6-D68E8DA0A769}"/>
                </a:ext>
              </a:extLst>
            </xdr:cNvPr>
            <xdr:cNvSpPr txBox="1"/>
          </xdr:nvSpPr>
          <xdr:spPr>
            <a:xfrm>
              <a:off x="1371600" y="3071812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358588</xdr:colOff>
      <xdr:row>182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31F38832-0E08-49E7-8E1C-41A8869F3B80}"/>
                </a:ext>
              </a:extLst>
            </xdr:cNvPr>
            <xdr:cNvSpPr txBox="1"/>
          </xdr:nvSpPr>
          <xdr:spPr>
            <a:xfrm>
              <a:off x="8169088" y="3003176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31F38832-0E08-49E7-8E1C-41A8869F3B80}"/>
                </a:ext>
              </a:extLst>
            </xdr:cNvPr>
            <xdr:cNvSpPr txBox="1"/>
          </xdr:nvSpPr>
          <xdr:spPr>
            <a:xfrm>
              <a:off x="8169088" y="3003176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212913</xdr:colOff>
      <xdr:row>193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C8261018-DC38-4968-9FFA-6AACB6822823}"/>
                </a:ext>
              </a:extLst>
            </xdr:cNvPr>
            <xdr:cNvSpPr txBox="1"/>
          </xdr:nvSpPr>
          <xdr:spPr>
            <a:xfrm>
              <a:off x="822513" y="318476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C8261018-DC38-4968-9FFA-6AACB6822823}"/>
                </a:ext>
              </a:extLst>
            </xdr:cNvPr>
            <xdr:cNvSpPr txBox="1"/>
          </xdr:nvSpPr>
          <xdr:spPr>
            <a:xfrm>
              <a:off x="822513" y="318476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𝐻0:𝐵_0=0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195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2884D6B4-9F90-4484-83BF-339348DFE634}"/>
                </a:ext>
              </a:extLst>
            </xdr:cNvPr>
            <xdr:cNvSpPr txBox="1"/>
          </xdr:nvSpPr>
          <xdr:spPr>
            <a:xfrm>
              <a:off x="833717" y="321939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2884D6B4-9F90-4484-83BF-339348DFE634}"/>
                </a:ext>
              </a:extLst>
            </xdr:cNvPr>
            <xdr:cNvSpPr txBox="1"/>
          </xdr:nvSpPr>
          <xdr:spPr>
            <a:xfrm>
              <a:off x="833717" y="321939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𝐻1:𝐵_0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198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EAD9BDCE-98C3-4703-B155-F9486D74A654}"/>
                </a:ext>
              </a:extLst>
            </xdr:cNvPr>
            <xdr:cNvSpPr txBox="1"/>
          </xdr:nvSpPr>
          <xdr:spPr>
            <a:xfrm>
              <a:off x="1057836" y="326909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EAD9BDCE-98C3-4703-B155-F9486D74A654}"/>
                </a:ext>
              </a:extLst>
            </xdr:cNvPr>
            <xdr:cNvSpPr txBox="1"/>
          </xdr:nvSpPr>
          <xdr:spPr>
            <a:xfrm>
              <a:off x="1057836" y="326909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193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0238F97-CFC7-4B0C-AA8A-6C76114E86C6}"/>
                </a:ext>
              </a:extLst>
            </xdr:cNvPr>
            <xdr:cNvSpPr txBox="1"/>
          </xdr:nvSpPr>
          <xdr:spPr>
            <a:xfrm>
              <a:off x="2521883" y="318387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00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0238F97-CFC7-4B0C-AA8A-6C76114E86C6}"/>
                </a:ext>
              </a:extLst>
            </xdr:cNvPr>
            <xdr:cNvSpPr txBox="1"/>
          </xdr:nvSpPr>
          <xdr:spPr>
            <a:xfrm>
              <a:off x="2521883" y="318387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400" b="0" i="0">
                  <a:latin typeface="Cambria Math" panose="02040503050406030204" pitchFamily="18" charset="0"/>
                </a:rPr>
                <a:t>0 ) ̂/√(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400" b="0" i="0">
                  <a:latin typeface="Cambria Math" panose="02040503050406030204" pitchFamily="18" charset="0"/>
                </a:rPr>
                <a:t>2∗𝐶_00 )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195</xdr:row>
      <xdr:rowOff>145675</xdr:rowOff>
    </xdr:from>
    <xdr:ext cx="288477" cy="172227"/>
    <xdr:sp macro="" textlink="">
      <xdr:nvSpPr>
        <xdr:cNvPr id="79" name="CaixaDeTexto 78">
          <a:extLst>
            <a:ext uri="{FF2B5EF4-FFF2-40B4-BE49-F238E27FC236}">
              <a16:creationId xmlns:a16="http://schemas.microsoft.com/office/drawing/2014/main" id="{4B55CC80-CCB7-4EFD-B10B-5913083C5838}"/>
            </a:ext>
          </a:extLst>
        </xdr:cNvPr>
        <xdr:cNvSpPr txBox="1"/>
      </xdr:nvSpPr>
      <xdr:spPr>
        <a:xfrm>
          <a:off x="5572125" y="322163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</xdr:col>
      <xdr:colOff>212913</xdr:colOff>
      <xdr:row>211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B77408B-6E98-467F-B338-9648897D005A}"/>
                </a:ext>
              </a:extLst>
            </xdr:cNvPr>
            <xdr:cNvSpPr txBox="1"/>
          </xdr:nvSpPr>
          <xdr:spPr>
            <a:xfrm>
              <a:off x="822513" y="347813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B77408B-6E98-467F-B338-9648897D005A}"/>
                </a:ext>
              </a:extLst>
            </xdr:cNvPr>
            <xdr:cNvSpPr txBox="1"/>
          </xdr:nvSpPr>
          <xdr:spPr>
            <a:xfrm>
              <a:off x="822513" y="347813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𝐻0:𝐵_1=0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213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FFAF17D-97F0-49A9-A127-72ADCC6A3368}"/>
                </a:ext>
              </a:extLst>
            </xdr:cNvPr>
            <xdr:cNvSpPr txBox="1"/>
          </xdr:nvSpPr>
          <xdr:spPr>
            <a:xfrm>
              <a:off x="833717" y="351276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FFAF17D-97F0-49A9-A127-72ADCC6A3368}"/>
                </a:ext>
              </a:extLst>
            </xdr:cNvPr>
            <xdr:cNvSpPr txBox="1"/>
          </xdr:nvSpPr>
          <xdr:spPr>
            <a:xfrm>
              <a:off x="833717" y="351276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𝐻1:𝐵_1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216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882FE546-DF10-4A83-9ADF-3EAA7317078A}"/>
                </a:ext>
              </a:extLst>
            </xdr:cNvPr>
            <xdr:cNvSpPr txBox="1"/>
          </xdr:nvSpPr>
          <xdr:spPr>
            <a:xfrm>
              <a:off x="1057836" y="356246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882FE546-DF10-4A83-9ADF-3EAA7317078A}"/>
                </a:ext>
              </a:extLst>
            </xdr:cNvPr>
            <xdr:cNvSpPr txBox="1"/>
          </xdr:nvSpPr>
          <xdr:spPr>
            <a:xfrm>
              <a:off x="1057836" y="356246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211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00874534-D1B2-4BAE-A330-D9DDB454A038}"/>
                </a:ext>
              </a:extLst>
            </xdr:cNvPr>
            <xdr:cNvSpPr txBox="1"/>
          </xdr:nvSpPr>
          <xdr:spPr>
            <a:xfrm>
              <a:off x="2521883" y="347724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00874534-D1B2-4BAE-A330-D9DDB454A038}"/>
                </a:ext>
              </a:extLst>
            </xdr:cNvPr>
            <xdr:cNvSpPr txBox="1"/>
          </xdr:nvSpPr>
          <xdr:spPr>
            <a:xfrm>
              <a:off x="2521883" y="347724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𝛽_1 )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2∗𝐶_11 )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213</xdr:row>
      <xdr:rowOff>145675</xdr:rowOff>
    </xdr:from>
    <xdr:ext cx="288477" cy="172227"/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51262B67-ED58-4558-9256-769C31E5E0AD}"/>
            </a:ext>
          </a:extLst>
        </xdr:cNvPr>
        <xdr:cNvSpPr txBox="1"/>
      </xdr:nvSpPr>
      <xdr:spPr>
        <a:xfrm>
          <a:off x="5572125" y="351500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</xdr:col>
      <xdr:colOff>212913</xdr:colOff>
      <xdr:row>229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44FCFEB9-D961-4A85-90F8-7ED310AE8444}"/>
                </a:ext>
              </a:extLst>
            </xdr:cNvPr>
            <xdr:cNvSpPr txBox="1"/>
          </xdr:nvSpPr>
          <xdr:spPr>
            <a:xfrm>
              <a:off x="822513" y="377150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44FCFEB9-D961-4A85-90F8-7ED310AE8444}"/>
                </a:ext>
              </a:extLst>
            </xdr:cNvPr>
            <xdr:cNvSpPr txBox="1"/>
          </xdr:nvSpPr>
          <xdr:spPr>
            <a:xfrm>
              <a:off x="822513" y="377150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𝐻0:𝐵_2=0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231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428AC59A-4A8D-41B0-8128-271B967DDE95}"/>
                </a:ext>
              </a:extLst>
            </xdr:cNvPr>
            <xdr:cNvSpPr txBox="1"/>
          </xdr:nvSpPr>
          <xdr:spPr>
            <a:xfrm>
              <a:off x="833717" y="380613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428AC59A-4A8D-41B0-8128-271B967DDE95}"/>
                </a:ext>
              </a:extLst>
            </xdr:cNvPr>
            <xdr:cNvSpPr txBox="1"/>
          </xdr:nvSpPr>
          <xdr:spPr>
            <a:xfrm>
              <a:off x="833717" y="380613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𝐻1:𝐵_2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234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05B8BA7-D722-44D7-90BA-06792EA6305E}"/>
                </a:ext>
              </a:extLst>
            </xdr:cNvPr>
            <xdr:cNvSpPr txBox="1"/>
          </xdr:nvSpPr>
          <xdr:spPr>
            <a:xfrm>
              <a:off x="1057836" y="385583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05B8BA7-D722-44D7-90BA-06792EA6305E}"/>
                </a:ext>
              </a:extLst>
            </xdr:cNvPr>
            <xdr:cNvSpPr txBox="1"/>
          </xdr:nvSpPr>
          <xdr:spPr>
            <a:xfrm>
              <a:off x="1057836" y="385583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229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60B79435-FB11-4FE5-8AC2-F6EE68B36252}"/>
                </a:ext>
              </a:extLst>
            </xdr:cNvPr>
            <xdr:cNvSpPr txBox="1"/>
          </xdr:nvSpPr>
          <xdr:spPr>
            <a:xfrm>
              <a:off x="2521883" y="377061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22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60B79435-FB11-4FE5-8AC2-F6EE68B36252}"/>
                </a:ext>
              </a:extLst>
            </xdr:cNvPr>
            <xdr:cNvSpPr txBox="1"/>
          </xdr:nvSpPr>
          <xdr:spPr>
            <a:xfrm>
              <a:off x="2521883" y="377061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𝛽_2 )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2∗𝐶_22 )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231</xdr:row>
      <xdr:rowOff>145675</xdr:rowOff>
    </xdr:from>
    <xdr:ext cx="288477" cy="172227"/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25EA5FB1-212A-4624-A208-B0857D30D81F}"/>
            </a:ext>
          </a:extLst>
        </xdr:cNvPr>
        <xdr:cNvSpPr txBox="1"/>
      </xdr:nvSpPr>
      <xdr:spPr>
        <a:xfrm>
          <a:off x="5572125" y="380837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</xdr:col>
      <xdr:colOff>212913</xdr:colOff>
      <xdr:row>247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CCA0E5F9-86C9-4EDA-BA1E-84A6D9BCF5F7}"/>
                </a:ext>
              </a:extLst>
            </xdr:cNvPr>
            <xdr:cNvSpPr txBox="1"/>
          </xdr:nvSpPr>
          <xdr:spPr>
            <a:xfrm>
              <a:off x="822513" y="406487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CCA0E5F9-86C9-4EDA-BA1E-84A6D9BCF5F7}"/>
                </a:ext>
              </a:extLst>
            </xdr:cNvPr>
            <xdr:cNvSpPr txBox="1"/>
          </xdr:nvSpPr>
          <xdr:spPr>
            <a:xfrm>
              <a:off x="822513" y="406487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𝐻0:𝐵_3=0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249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4369DECF-A000-4573-AFAC-B626C10BB7EA}"/>
                </a:ext>
              </a:extLst>
            </xdr:cNvPr>
            <xdr:cNvSpPr txBox="1"/>
          </xdr:nvSpPr>
          <xdr:spPr>
            <a:xfrm>
              <a:off x="833717" y="409950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4369DECF-A000-4573-AFAC-B626C10BB7EA}"/>
                </a:ext>
              </a:extLst>
            </xdr:cNvPr>
            <xdr:cNvSpPr txBox="1"/>
          </xdr:nvSpPr>
          <xdr:spPr>
            <a:xfrm>
              <a:off x="833717" y="409950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𝐻1:𝐵_3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252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D9CBB5C-CBB7-42D9-964A-7AFD4292F4FB}"/>
                </a:ext>
              </a:extLst>
            </xdr:cNvPr>
            <xdr:cNvSpPr txBox="1"/>
          </xdr:nvSpPr>
          <xdr:spPr>
            <a:xfrm>
              <a:off x="1057836" y="414920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D9CBB5C-CBB7-42D9-964A-7AFD4292F4FB}"/>
                </a:ext>
              </a:extLst>
            </xdr:cNvPr>
            <xdr:cNvSpPr txBox="1"/>
          </xdr:nvSpPr>
          <xdr:spPr>
            <a:xfrm>
              <a:off x="1057836" y="414920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247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2F5535F8-A196-4E4E-94EB-1E98DABC6054}"/>
                </a:ext>
              </a:extLst>
            </xdr:cNvPr>
            <xdr:cNvSpPr txBox="1"/>
          </xdr:nvSpPr>
          <xdr:spPr>
            <a:xfrm>
              <a:off x="2521883" y="406398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33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2F5535F8-A196-4E4E-94EB-1E98DABC6054}"/>
                </a:ext>
              </a:extLst>
            </xdr:cNvPr>
            <xdr:cNvSpPr txBox="1"/>
          </xdr:nvSpPr>
          <xdr:spPr>
            <a:xfrm>
              <a:off x="2521883" y="406398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𝛽_3 )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2∗𝐶_33 )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249</xdr:row>
      <xdr:rowOff>145675</xdr:rowOff>
    </xdr:from>
    <xdr:ext cx="288477" cy="172227"/>
    <xdr:sp macro="" textlink="">
      <xdr:nvSpPr>
        <xdr:cNvPr id="97" name="CaixaDeTexto 96">
          <a:extLst>
            <a:ext uri="{FF2B5EF4-FFF2-40B4-BE49-F238E27FC236}">
              <a16:creationId xmlns:a16="http://schemas.microsoft.com/office/drawing/2014/main" id="{640D2CA6-039A-4473-B53C-A91A60A91DBE}"/>
            </a:ext>
          </a:extLst>
        </xdr:cNvPr>
        <xdr:cNvSpPr txBox="1"/>
      </xdr:nvSpPr>
      <xdr:spPr>
        <a:xfrm>
          <a:off x="5572125" y="410174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</xdr:col>
      <xdr:colOff>212913</xdr:colOff>
      <xdr:row>265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A7C7CFBE-4782-4A64-9838-BEE4121E743A}"/>
                </a:ext>
              </a:extLst>
            </xdr:cNvPr>
            <xdr:cNvSpPr txBox="1"/>
          </xdr:nvSpPr>
          <xdr:spPr>
            <a:xfrm>
              <a:off x="822513" y="435824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A7C7CFBE-4782-4A64-9838-BEE4121E743A}"/>
                </a:ext>
              </a:extLst>
            </xdr:cNvPr>
            <xdr:cNvSpPr txBox="1"/>
          </xdr:nvSpPr>
          <xdr:spPr>
            <a:xfrm>
              <a:off x="822513" y="435824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𝐻0:𝐵_4=0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267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A17D3557-5FE0-4F18-A8F8-2E7787DDA31E}"/>
                </a:ext>
              </a:extLst>
            </xdr:cNvPr>
            <xdr:cNvSpPr txBox="1"/>
          </xdr:nvSpPr>
          <xdr:spPr>
            <a:xfrm>
              <a:off x="833717" y="439287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A17D3557-5FE0-4F18-A8F8-2E7787DDA31E}"/>
                </a:ext>
              </a:extLst>
            </xdr:cNvPr>
            <xdr:cNvSpPr txBox="1"/>
          </xdr:nvSpPr>
          <xdr:spPr>
            <a:xfrm>
              <a:off x="833717" y="439287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𝐻1:𝐵_4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270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D2B81A24-535C-47C1-AAF8-2F325DED5F8B}"/>
                </a:ext>
              </a:extLst>
            </xdr:cNvPr>
            <xdr:cNvSpPr txBox="1"/>
          </xdr:nvSpPr>
          <xdr:spPr>
            <a:xfrm>
              <a:off x="1057836" y="444257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D2B81A24-535C-47C1-AAF8-2F325DED5F8B}"/>
                </a:ext>
              </a:extLst>
            </xdr:cNvPr>
            <xdr:cNvSpPr txBox="1"/>
          </xdr:nvSpPr>
          <xdr:spPr>
            <a:xfrm>
              <a:off x="1057836" y="444257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265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96EE4108-05BF-4CA1-B72E-D42B91315E35}"/>
                </a:ext>
              </a:extLst>
            </xdr:cNvPr>
            <xdr:cNvSpPr txBox="1"/>
          </xdr:nvSpPr>
          <xdr:spPr>
            <a:xfrm>
              <a:off x="2521883" y="435735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4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44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96EE4108-05BF-4CA1-B72E-D42B91315E35}"/>
                </a:ext>
              </a:extLst>
            </xdr:cNvPr>
            <xdr:cNvSpPr txBox="1"/>
          </xdr:nvSpPr>
          <xdr:spPr>
            <a:xfrm>
              <a:off x="2521883" y="435735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𝛽_4 )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2∗𝐶_44 )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267</xdr:row>
      <xdr:rowOff>145675</xdr:rowOff>
    </xdr:from>
    <xdr:ext cx="288477" cy="172227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30603B00-F045-4645-B56B-733BAF789BE5}"/>
            </a:ext>
          </a:extLst>
        </xdr:cNvPr>
        <xdr:cNvSpPr txBox="1"/>
      </xdr:nvSpPr>
      <xdr:spPr>
        <a:xfrm>
          <a:off x="5572125" y="439511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C44=</a:t>
          </a:r>
        </a:p>
      </xdr:txBody>
    </xdr:sp>
    <xdr:clientData/>
  </xdr:oneCellAnchor>
  <xdr:oneCellAnchor>
    <xdr:from>
      <xdr:col>1</xdr:col>
      <xdr:colOff>212913</xdr:colOff>
      <xdr:row>283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687A1C19-E19C-4738-BBEC-35140AE5CE3D}"/>
                </a:ext>
              </a:extLst>
            </xdr:cNvPr>
            <xdr:cNvSpPr txBox="1"/>
          </xdr:nvSpPr>
          <xdr:spPr>
            <a:xfrm>
              <a:off x="822513" y="465161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687A1C19-E19C-4738-BBEC-35140AE5CE3D}"/>
                </a:ext>
              </a:extLst>
            </xdr:cNvPr>
            <xdr:cNvSpPr txBox="1"/>
          </xdr:nvSpPr>
          <xdr:spPr>
            <a:xfrm>
              <a:off x="822513" y="465161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𝐻0:𝐵_5=0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285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B09A4DA8-C898-4BF8-A714-873D467DE47E}"/>
                </a:ext>
              </a:extLst>
            </xdr:cNvPr>
            <xdr:cNvSpPr txBox="1"/>
          </xdr:nvSpPr>
          <xdr:spPr>
            <a:xfrm>
              <a:off x="833717" y="468624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B09A4DA8-C898-4BF8-A714-873D467DE47E}"/>
                </a:ext>
              </a:extLst>
            </xdr:cNvPr>
            <xdr:cNvSpPr txBox="1"/>
          </xdr:nvSpPr>
          <xdr:spPr>
            <a:xfrm>
              <a:off x="833717" y="468624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𝐻1:𝐵_5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288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37FA7013-B01D-4A08-8224-9130BF2AF418}"/>
                </a:ext>
              </a:extLst>
            </xdr:cNvPr>
            <xdr:cNvSpPr txBox="1"/>
          </xdr:nvSpPr>
          <xdr:spPr>
            <a:xfrm>
              <a:off x="1057836" y="473594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37FA7013-B01D-4A08-8224-9130BF2AF418}"/>
                </a:ext>
              </a:extLst>
            </xdr:cNvPr>
            <xdr:cNvSpPr txBox="1"/>
          </xdr:nvSpPr>
          <xdr:spPr>
            <a:xfrm>
              <a:off x="1057836" y="473594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283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DFC0906D-AC9D-43BC-815D-0583CF68C685}"/>
                </a:ext>
              </a:extLst>
            </xdr:cNvPr>
            <xdr:cNvSpPr txBox="1"/>
          </xdr:nvSpPr>
          <xdr:spPr>
            <a:xfrm>
              <a:off x="2521883" y="465072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5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55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DFC0906D-AC9D-43BC-815D-0583CF68C685}"/>
                </a:ext>
              </a:extLst>
            </xdr:cNvPr>
            <xdr:cNvSpPr txBox="1"/>
          </xdr:nvSpPr>
          <xdr:spPr>
            <a:xfrm>
              <a:off x="2521883" y="465072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𝛽_5 )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2∗𝐶_55 )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285</xdr:row>
      <xdr:rowOff>145675</xdr:rowOff>
    </xdr:from>
    <xdr:ext cx="288477" cy="172227"/>
    <xdr:sp macro="" textlink="">
      <xdr:nvSpPr>
        <xdr:cNvPr id="109" name="CaixaDeTexto 108">
          <a:extLst>
            <a:ext uri="{FF2B5EF4-FFF2-40B4-BE49-F238E27FC236}">
              <a16:creationId xmlns:a16="http://schemas.microsoft.com/office/drawing/2014/main" id="{2FC889EE-3081-4AD2-BD15-27FBEAE68904}"/>
            </a:ext>
          </a:extLst>
        </xdr:cNvPr>
        <xdr:cNvSpPr txBox="1"/>
      </xdr:nvSpPr>
      <xdr:spPr>
        <a:xfrm>
          <a:off x="5572125" y="468848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C55=</a:t>
          </a:r>
        </a:p>
      </xdr:txBody>
    </xdr:sp>
    <xdr:clientData/>
  </xdr:oneCellAnchor>
  <xdr:oneCellAnchor>
    <xdr:from>
      <xdr:col>1</xdr:col>
      <xdr:colOff>212913</xdr:colOff>
      <xdr:row>301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E384732D-F582-49F1-927A-077129DFBD34}"/>
                </a:ext>
              </a:extLst>
            </xdr:cNvPr>
            <xdr:cNvSpPr txBox="1"/>
          </xdr:nvSpPr>
          <xdr:spPr>
            <a:xfrm>
              <a:off x="822513" y="494498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E384732D-F582-49F1-927A-077129DFBD34}"/>
                </a:ext>
              </a:extLst>
            </xdr:cNvPr>
            <xdr:cNvSpPr txBox="1"/>
          </xdr:nvSpPr>
          <xdr:spPr>
            <a:xfrm>
              <a:off x="822513" y="494498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𝐻0:𝐵_6=0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303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81B9B485-84B8-4108-964E-67A6F4075749}"/>
                </a:ext>
              </a:extLst>
            </xdr:cNvPr>
            <xdr:cNvSpPr txBox="1"/>
          </xdr:nvSpPr>
          <xdr:spPr>
            <a:xfrm>
              <a:off x="833717" y="497961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81B9B485-84B8-4108-964E-67A6F4075749}"/>
                </a:ext>
              </a:extLst>
            </xdr:cNvPr>
            <xdr:cNvSpPr txBox="1"/>
          </xdr:nvSpPr>
          <xdr:spPr>
            <a:xfrm>
              <a:off x="833717" y="497961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𝐻1:𝐵_6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306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B07A8F96-6264-457D-9E54-B7FC26CB3FB4}"/>
                </a:ext>
              </a:extLst>
            </xdr:cNvPr>
            <xdr:cNvSpPr txBox="1"/>
          </xdr:nvSpPr>
          <xdr:spPr>
            <a:xfrm>
              <a:off x="1057836" y="502931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B07A8F96-6264-457D-9E54-B7FC26CB3FB4}"/>
                </a:ext>
              </a:extLst>
            </xdr:cNvPr>
            <xdr:cNvSpPr txBox="1"/>
          </xdr:nvSpPr>
          <xdr:spPr>
            <a:xfrm>
              <a:off x="1057836" y="502931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301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8629A259-7E5B-4E9C-B3B7-88D19CEC7028}"/>
                </a:ext>
              </a:extLst>
            </xdr:cNvPr>
            <xdr:cNvSpPr txBox="1"/>
          </xdr:nvSpPr>
          <xdr:spPr>
            <a:xfrm>
              <a:off x="2521883" y="494409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6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66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8629A259-7E5B-4E9C-B3B7-88D19CEC7028}"/>
                </a:ext>
              </a:extLst>
            </xdr:cNvPr>
            <xdr:cNvSpPr txBox="1"/>
          </xdr:nvSpPr>
          <xdr:spPr>
            <a:xfrm>
              <a:off x="2521883" y="494409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𝛽_6 )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2∗𝐶_66 )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303</xdr:row>
      <xdr:rowOff>145675</xdr:rowOff>
    </xdr:from>
    <xdr:ext cx="288477" cy="172227"/>
    <xdr:sp macro="" textlink="">
      <xdr:nvSpPr>
        <xdr:cNvPr id="115" name="CaixaDeTexto 114">
          <a:extLst>
            <a:ext uri="{FF2B5EF4-FFF2-40B4-BE49-F238E27FC236}">
              <a16:creationId xmlns:a16="http://schemas.microsoft.com/office/drawing/2014/main" id="{5A0683FD-3A5B-49F5-A4C3-387198C15716}"/>
            </a:ext>
          </a:extLst>
        </xdr:cNvPr>
        <xdr:cNvSpPr txBox="1"/>
      </xdr:nvSpPr>
      <xdr:spPr>
        <a:xfrm>
          <a:off x="5572125" y="498185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C66=</a:t>
          </a:r>
        </a:p>
      </xdr:txBody>
    </xdr:sp>
    <xdr:clientData/>
  </xdr:oneCellAnchor>
  <xdr:twoCellAnchor editAs="oneCell">
    <xdr:from>
      <xdr:col>25</xdr:col>
      <xdr:colOff>521874</xdr:colOff>
      <xdr:row>172</xdr:row>
      <xdr:rowOff>139274</xdr:rowOff>
    </xdr:from>
    <xdr:to>
      <xdr:col>35</xdr:col>
      <xdr:colOff>29858</xdr:colOff>
      <xdr:row>176</xdr:row>
      <xdr:rowOff>10236</xdr:rowOff>
    </xdr:to>
    <xdr:pic>
      <xdr:nvPicPr>
        <xdr:cNvPr id="117" name="Imagem 116">
          <a:extLst>
            <a:ext uri="{FF2B5EF4-FFF2-40B4-BE49-F238E27FC236}">
              <a16:creationId xmlns:a16="http://schemas.microsoft.com/office/drawing/2014/main" id="{6D00E4E6-ADAB-47F9-95A6-735B51D10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86074" y="28371374"/>
          <a:ext cx="5794484" cy="518662"/>
        </a:xfrm>
        <a:prstGeom prst="rect">
          <a:avLst/>
        </a:prstGeom>
      </xdr:spPr>
    </xdr:pic>
    <xdr:clientData/>
  </xdr:twoCellAnchor>
  <xdr:twoCellAnchor editAs="oneCell">
    <xdr:from>
      <xdr:col>24</xdr:col>
      <xdr:colOff>477851</xdr:colOff>
      <xdr:row>183</xdr:row>
      <xdr:rowOff>47225</xdr:rowOff>
    </xdr:from>
    <xdr:to>
      <xdr:col>34</xdr:col>
      <xdr:colOff>71573</xdr:colOff>
      <xdr:row>186</xdr:row>
      <xdr:rowOff>33841</xdr:rowOff>
    </xdr:to>
    <xdr:pic>
      <xdr:nvPicPr>
        <xdr:cNvPr id="118" name="Imagem 117">
          <a:extLst>
            <a:ext uri="{FF2B5EF4-FFF2-40B4-BE49-F238E27FC236}">
              <a16:creationId xmlns:a16="http://schemas.microsoft.com/office/drawing/2014/main" id="{0FD169D8-1DDC-4200-9E9D-C624A5A4C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32451" y="30117650"/>
          <a:ext cx="5880222" cy="472391"/>
        </a:xfrm>
        <a:prstGeom prst="rect">
          <a:avLst/>
        </a:prstGeom>
      </xdr:spPr>
    </xdr:pic>
    <xdr:clientData/>
  </xdr:twoCellAnchor>
  <xdr:twoCellAnchor editAs="oneCell">
    <xdr:from>
      <xdr:col>24</xdr:col>
      <xdr:colOff>405814</xdr:colOff>
      <xdr:row>193</xdr:row>
      <xdr:rowOff>76040</xdr:rowOff>
    </xdr:from>
    <xdr:to>
      <xdr:col>33</xdr:col>
      <xdr:colOff>223600</xdr:colOff>
      <xdr:row>209</xdr:row>
      <xdr:rowOff>23715</xdr:rowOff>
    </xdr:to>
    <xdr:pic>
      <xdr:nvPicPr>
        <xdr:cNvPr id="119" name="Imagem 118">
          <a:extLst>
            <a:ext uri="{FF2B5EF4-FFF2-40B4-BE49-F238E27FC236}">
              <a16:creationId xmlns:a16="http://schemas.microsoft.com/office/drawing/2014/main" id="{DF3A1C07-87CC-4225-A243-0CCDF5B3C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60414" y="31822865"/>
          <a:ext cx="5494686" cy="2538475"/>
        </a:xfrm>
        <a:prstGeom prst="rect">
          <a:avLst/>
        </a:prstGeom>
      </xdr:spPr>
    </xdr:pic>
    <xdr:clientData/>
  </xdr:twoCellAnchor>
  <xdr:oneCellAnchor>
    <xdr:from>
      <xdr:col>13</xdr:col>
      <xdr:colOff>212913</xdr:colOff>
      <xdr:row>193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76737A18-C69B-4049-98EB-7D5365EA53F7}"/>
                </a:ext>
              </a:extLst>
            </xdr:cNvPr>
            <xdr:cNvSpPr txBox="1"/>
          </xdr:nvSpPr>
          <xdr:spPr>
            <a:xfrm>
              <a:off x="10614213" y="318476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76737A18-C69B-4049-98EB-7D5365EA53F7}"/>
                </a:ext>
              </a:extLst>
            </xdr:cNvPr>
            <xdr:cNvSpPr txBox="1"/>
          </xdr:nvSpPr>
          <xdr:spPr>
            <a:xfrm>
              <a:off x="10614213" y="318476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𝐻0:𝐵_0=0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195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C4DDDCCD-990B-4C13-8797-A1620B5A6E3C}"/>
                </a:ext>
              </a:extLst>
            </xdr:cNvPr>
            <xdr:cNvSpPr txBox="1"/>
          </xdr:nvSpPr>
          <xdr:spPr>
            <a:xfrm>
              <a:off x="10625417" y="321939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C4DDDCCD-990B-4C13-8797-A1620B5A6E3C}"/>
                </a:ext>
              </a:extLst>
            </xdr:cNvPr>
            <xdr:cNvSpPr txBox="1"/>
          </xdr:nvSpPr>
          <xdr:spPr>
            <a:xfrm>
              <a:off x="10625417" y="321939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𝐻1:𝐵_0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198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1271B99D-777D-423E-BDD8-C115B2814335}"/>
                </a:ext>
              </a:extLst>
            </xdr:cNvPr>
            <xdr:cNvSpPr txBox="1"/>
          </xdr:nvSpPr>
          <xdr:spPr>
            <a:xfrm>
              <a:off x="10849536" y="326909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1271B99D-777D-423E-BDD8-C115B2814335}"/>
                </a:ext>
              </a:extLst>
            </xdr:cNvPr>
            <xdr:cNvSpPr txBox="1"/>
          </xdr:nvSpPr>
          <xdr:spPr>
            <a:xfrm>
              <a:off x="10849536" y="326909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193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EB07EF84-918D-4AB1-A6F7-8E81440DBE4C}"/>
                </a:ext>
              </a:extLst>
            </xdr:cNvPr>
            <xdr:cNvSpPr txBox="1"/>
          </xdr:nvSpPr>
          <xdr:spPr>
            <a:xfrm>
              <a:off x="11742083" y="318387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00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EB07EF84-918D-4AB1-A6F7-8E81440DBE4C}"/>
                </a:ext>
              </a:extLst>
            </xdr:cNvPr>
            <xdr:cNvSpPr txBox="1"/>
          </xdr:nvSpPr>
          <xdr:spPr>
            <a:xfrm>
              <a:off x="11742083" y="318387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400" b="0" i="0">
                  <a:latin typeface="Cambria Math" panose="02040503050406030204" pitchFamily="18" charset="0"/>
                </a:rPr>
                <a:t>0 ) ̂/√(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400" b="0" i="0">
                  <a:latin typeface="Cambria Math" panose="02040503050406030204" pitchFamily="18" charset="0"/>
                </a:rPr>
                <a:t>2∗𝐶_00 )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571500</xdr:colOff>
      <xdr:row>195</xdr:row>
      <xdr:rowOff>145675</xdr:rowOff>
    </xdr:from>
    <xdr:ext cx="288477" cy="172227"/>
    <xdr:sp macro="" textlink="">
      <xdr:nvSpPr>
        <xdr:cNvPr id="124" name="CaixaDeTexto 123">
          <a:extLst>
            <a:ext uri="{FF2B5EF4-FFF2-40B4-BE49-F238E27FC236}">
              <a16:creationId xmlns:a16="http://schemas.microsoft.com/office/drawing/2014/main" id="{FD9351BC-C8B9-4CB9-9C70-0968E2B34634}"/>
            </a:ext>
          </a:extLst>
        </xdr:cNvPr>
        <xdr:cNvSpPr txBox="1"/>
      </xdr:nvSpPr>
      <xdr:spPr>
        <a:xfrm>
          <a:off x="14173200" y="322163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13</xdr:col>
      <xdr:colOff>212913</xdr:colOff>
      <xdr:row>211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5AF10FF6-3CAE-4B28-8930-76BB511B2205}"/>
                </a:ext>
              </a:extLst>
            </xdr:cNvPr>
            <xdr:cNvSpPr txBox="1"/>
          </xdr:nvSpPr>
          <xdr:spPr>
            <a:xfrm>
              <a:off x="10614213" y="347813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5AF10FF6-3CAE-4B28-8930-76BB511B2205}"/>
                </a:ext>
              </a:extLst>
            </xdr:cNvPr>
            <xdr:cNvSpPr txBox="1"/>
          </xdr:nvSpPr>
          <xdr:spPr>
            <a:xfrm>
              <a:off x="10614213" y="347813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𝐻0:𝐵_1=0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213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BDC33EE2-6062-4625-A971-DE33DBCC3625}"/>
                </a:ext>
              </a:extLst>
            </xdr:cNvPr>
            <xdr:cNvSpPr txBox="1"/>
          </xdr:nvSpPr>
          <xdr:spPr>
            <a:xfrm>
              <a:off x="10625417" y="351276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BDC33EE2-6062-4625-A971-DE33DBCC3625}"/>
                </a:ext>
              </a:extLst>
            </xdr:cNvPr>
            <xdr:cNvSpPr txBox="1"/>
          </xdr:nvSpPr>
          <xdr:spPr>
            <a:xfrm>
              <a:off x="10625417" y="351276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𝐻1:𝐵_1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216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AA4CDD65-B916-4AE2-97AD-47D20FEA5477}"/>
                </a:ext>
              </a:extLst>
            </xdr:cNvPr>
            <xdr:cNvSpPr txBox="1"/>
          </xdr:nvSpPr>
          <xdr:spPr>
            <a:xfrm>
              <a:off x="10849536" y="356246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AA4CDD65-B916-4AE2-97AD-47D20FEA5477}"/>
                </a:ext>
              </a:extLst>
            </xdr:cNvPr>
            <xdr:cNvSpPr txBox="1"/>
          </xdr:nvSpPr>
          <xdr:spPr>
            <a:xfrm>
              <a:off x="10849536" y="356246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211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5A46A2BA-B638-440C-A94B-E692A5FC4145}"/>
                </a:ext>
              </a:extLst>
            </xdr:cNvPr>
            <xdr:cNvSpPr txBox="1"/>
          </xdr:nvSpPr>
          <xdr:spPr>
            <a:xfrm>
              <a:off x="11742083" y="347724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5A46A2BA-B638-440C-A94B-E692A5FC4145}"/>
                </a:ext>
              </a:extLst>
            </xdr:cNvPr>
            <xdr:cNvSpPr txBox="1"/>
          </xdr:nvSpPr>
          <xdr:spPr>
            <a:xfrm>
              <a:off x="11742083" y="347724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𝛽_1 )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2∗𝐶_11 )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571500</xdr:colOff>
      <xdr:row>213</xdr:row>
      <xdr:rowOff>145675</xdr:rowOff>
    </xdr:from>
    <xdr:ext cx="288477" cy="172227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EFA5002A-BFE8-42B0-9A50-3E89438C474C}"/>
            </a:ext>
          </a:extLst>
        </xdr:cNvPr>
        <xdr:cNvSpPr txBox="1"/>
      </xdr:nvSpPr>
      <xdr:spPr>
        <a:xfrm>
          <a:off x="14173200" y="351500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13</xdr:col>
      <xdr:colOff>212913</xdr:colOff>
      <xdr:row>229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9174AC40-A1E6-484F-BEB7-33296898197B}"/>
                </a:ext>
              </a:extLst>
            </xdr:cNvPr>
            <xdr:cNvSpPr txBox="1"/>
          </xdr:nvSpPr>
          <xdr:spPr>
            <a:xfrm>
              <a:off x="10614213" y="377150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9174AC40-A1E6-484F-BEB7-33296898197B}"/>
                </a:ext>
              </a:extLst>
            </xdr:cNvPr>
            <xdr:cNvSpPr txBox="1"/>
          </xdr:nvSpPr>
          <xdr:spPr>
            <a:xfrm>
              <a:off x="10614213" y="377150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𝐻0:𝐵_2=0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231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920D3265-0339-4106-839E-427F362B3F54}"/>
                </a:ext>
              </a:extLst>
            </xdr:cNvPr>
            <xdr:cNvSpPr txBox="1"/>
          </xdr:nvSpPr>
          <xdr:spPr>
            <a:xfrm>
              <a:off x="10625417" y="380613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920D3265-0339-4106-839E-427F362B3F54}"/>
                </a:ext>
              </a:extLst>
            </xdr:cNvPr>
            <xdr:cNvSpPr txBox="1"/>
          </xdr:nvSpPr>
          <xdr:spPr>
            <a:xfrm>
              <a:off x="10625417" y="380613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𝐻1:𝐵_2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234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EF2993E9-A5E5-4BDC-8CC0-F686063DEAA6}"/>
                </a:ext>
              </a:extLst>
            </xdr:cNvPr>
            <xdr:cNvSpPr txBox="1"/>
          </xdr:nvSpPr>
          <xdr:spPr>
            <a:xfrm>
              <a:off x="10849536" y="385583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EF2993E9-A5E5-4BDC-8CC0-F686063DEAA6}"/>
                </a:ext>
              </a:extLst>
            </xdr:cNvPr>
            <xdr:cNvSpPr txBox="1"/>
          </xdr:nvSpPr>
          <xdr:spPr>
            <a:xfrm>
              <a:off x="10849536" y="385583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229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22BB563B-F49B-4FC2-AA5A-EF8CE222B31E}"/>
                </a:ext>
              </a:extLst>
            </xdr:cNvPr>
            <xdr:cNvSpPr txBox="1"/>
          </xdr:nvSpPr>
          <xdr:spPr>
            <a:xfrm>
              <a:off x="11742083" y="377061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22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22BB563B-F49B-4FC2-AA5A-EF8CE222B31E}"/>
                </a:ext>
              </a:extLst>
            </xdr:cNvPr>
            <xdr:cNvSpPr txBox="1"/>
          </xdr:nvSpPr>
          <xdr:spPr>
            <a:xfrm>
              <a:off x="11742083" y="377061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𝛽_2 )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2∗𝐶_22 )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571500</xdr:colOff>
      <xdr:row>231</xdr:row>
      <xdr:rowOff>145675</xdr:rowOff>
    </xdr:from>
    <xdr:ext cx="288477" cy="172227"/>
    <xdr:sp macro="" textlink="">
      <xdr:nvSpPr>
        <xdr:cNvPr id="136" name="CaixaDeTexto 135">
          <a:extLst>
            <a:ext uri="{FF2B5EF4-FFF2-40B4-BE49-F238E27FC236}">
              <a16:creationId xmlns:a16="http://schemas.microsoft.com/office/drawing/2014/main" id="{1CB2F6FA-26D5-41EA-969E-EFAD2AD590E6}"/>
            </a:ext>
          </a:extLst>
        </xdr:cNvPr>
        <xdr:cNvSpPr txBox="1"/>
      </xdr:nvSpPr>
      <xdr:spPr>
        <a:xfrm>
          <a:off x="14173200" y="380837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13</xdr:col>
      <xdr:colOff>212913</xdr:colOff>
      <xdr:row>247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3366474D-6F14-4BEE-B5D7-D965B0D887A6}"/>
                </a:ext>
              </a:extLst>
            </xdr:cNvPr>
            <xdr:cNvSpPr txBox="1"/>
          </xdr:nvSpPr>
          <xdr:spPr>
            <a:xfrm>
              <a:off x="10614213" y="406487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3366474D-6F14-4BEE-B5D7-D965B0D887A6}"/>
                </a:ext>
              </a:extLst>
            </xdr:cNvPr>
            <xdr:cNvSpPr txBox="1"/>
          </xdr:nvSpPr>
          <xdr:spPr>
            <a:xfrm>
              <a:off x="10614213" y="406487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𝐻0:𝐵_3=0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249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68E3C981-EB1F-4D97-A090-7D7D52C7F088}"/>
                </a:ext>
              </a:extLst>
            </xdr:cNvPr>
            <xdr:cNvSpPr txBox="1"/>
          </xdr:nvSpPr>
          <xdr:spPr>
            <a:xfrm>
              <a:off x="10625417" y="409950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68E3C981-EB1F-4D97-A090-7D7D52C7F088}"/>
                </a:ext>
              </a:extLst>
            </xdr:cNvPr>
            <xdr:cNvSpPr txBox="1"/>
          </xdr:nvSpPr>
          <xdr:spPr>
            <a:xfrm>
              <a:off x="10625417" y="409950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𝐻1:𝐵_3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252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4519A87E-C972-4133-B1B0-EE015490A299}"/>
                </a:ext>
              </a:extLst>
            </xdr:cNvPr>
            <xdr:cNvSpPr txBox="1"/>
          </xdr:nvSpPr>
          <xdr:spPr>
            <a:xfrm>
              <a:off x="10849536" y="414920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4519A87E-C972-4133-B1B0-EE015490A299}"/>
                </a:ext>
              </a:extLst>
            </xdr:cNvPr>
            <xdr:cNvSpPr txBox="1"/>
          </xdr:nvSpPr>
          <xdr:spPr>
            <a:xfrm>
              <a:off x="10849536" y="414920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247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A1E94809-6C8E-47A0-B81F-F51CC5AF7D0A}"/>
                </a:ext>
              </a:extLst>
            </xdr:cNvPr>
            <xdr:cNvSpPr txBox="1"/>
          </xdr:nvSpPr>
          <xdr:spPr>
            <a:xfrm>
              <a:off x="11742083" y="406398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33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A1E94809-6C8E-47A0-B81F-F51CC5AF7D0A}"/>
                </a:ext>
              </a:extLst>
            </xdr:cNvPr>
            <xdr:cNvSpPr txBox="1"/>
          </xdr:nvSpPr>
          <xdr:spPr>
            <a:xfrm>
              <a:off x="11742083" y="406398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𝛽_3 )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2∗𝐶_33 )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571500</xdr:colOff>
      <xdr:row>249</xdr:row>
      <xdr:rowOff>145675</xdr:rowOff>
    </xdr:from>
    <xdr:ext cx="288477" cy="172227"/>
    <xdr:sp macro="" textlink="">
      <xdr:nvSpPr>
        <xdr:cNvPr id="142" name="CaixaDeTexto 141">
          <a:extLst>
            <a:ext uri="{FF2B5EF4-FFF2-40B4-BE49-F238E27FC236}">
              <a16:creationId xmlns:a16="http://schemas.microsoft.com/office/drawing/2014/main" id="{AC0BED74-0B98-45FB-8054-5982CEE64B1C}"/>
            </a:ext>
          </a:extLst>
        </xdr:cNvPr>
        <xdr:cNvSpPr txBox="1"/>
      </xdr:nvSpPr>
      <xdr:spPr>
        <a:xfrm>
          <a:off x="14173200" y="410174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13</xdr:col>
      <xdr:colOff>212913</xdr:colOff>
      <xdr:row>265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B6A7C33E-6AE5-44EE-B0AB-B84207E09204}"/>
                </a:ext>
              </a:extLst>
            </xdr:cNvPr>
            <xdr:cNvSpPr txBox="1"/>
          </xdr:nvSpPr>
          <xdr:spPr>
            <a:xfrm>
              <a:off x="10614213" y="435824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B6A7C33E-6AE5-44EE-B0AB-B84207E09204}"/>
                </a:ext>
              </a:extLst>
            </xdr:cNvPr>
            <xdr:cNvSpPr txBox="1"/>
          </xdr:nvSpPr>
          <xdr:spPr>
            <a:xfrm>
              <a:off x="10614213" y="435824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𝐻0:𝐵_4=0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267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E93DBB67-FC06-43B0-B5AF-75578CCECE93}"/>
                </a:ext>
              </a:extLst>
            </xdr:cNvPr>
            <xdr:cNvSpPr txBox="1"/>
          </xdr:nvSpPr>
          <xdr:spPr>
            <a:xfrm>
              <a:off x="10625417" y="439287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E93DBB67-FC06-43B0-B5AF-75578CCECE93}"/>
                </a:ext>
              </a:extLst>
            </xdr:cNvPr>
            <xdr:cNvSpPr txBox="1"/>
          </xdr:nvSpPr>
          <xdr:spPr>
            <a:xfrm>
              <a:off x="10625417" y="439287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𝐻1:𝐵_4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270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742028F6-0BC2-41E6-87EA-A705EDAB9D27}"/>
                </a:ext>
              </a:extLst>
            </xdr:cNvPr>
            <xdr:cNvSpPr txBox="1"/>
          </xdr:nvSpPr>
          <xdr:spPr>
            <a:xfrm>
              <a:off x="10849536" y="444257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742028F6-0BC2-41E6-87EA-A705EDAB9D27}"/>
                </a:ext>
              </a:extLst>
            </xdr:cNvPr>
            <xdr:cNvSpPr txBox="1"/>
          </xdr:nvSpPr>
          <xdr:spPr>
            <a:xfrm>
              <a:off x="10849536" y="444257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265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56AD9665-7173-4D53-A321-D10EC9771FA4}"/>
                </a:ext>
              </a:extLst>
            </xdr:cNvPr>
            <xdr:cNvSpPr txBox="1"/>
          </xdr:nvSpPr>
          <xdr:spPr>
            <a:xfrm>
              <a:off x="11742083" y="435735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4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44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56AD9665-7173-4D53-A321-D10EC9771FA4}"/>
                </a:ext>
              </a:extLst>
            </xdr:cNvPr>
            <xdr:cNvSpPr txBox="1"/>
          </xdr:nvSpPr>
          <xdr:spPr>
            <a:xfrm>
              <a:off x="11742083" y="435735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𝛽_4 )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2∗𝐶_44 )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571500</xdr:colOff>
      <xdr:row>267</xdr:row>
      <xdr:rowOff>145675</xdr:rowOff>
    </xdr:from>
    <xdr:ext cx="288477" cy="172227"/>
    <xdr:sp macro="" textlink="">
      <xdr:nvSpPr>
        <xdr:cNvPr id="148" name="CaixaDeTexto 147">
          <a:extLst>
            <a:ext uri="{FF2B5EF4-FFF2-40B4-BE49-F238E27FC236}">
              <a16:creationId xmlns:a16="http://schemas.microsoft.com/office/drawing/2014/main" id="{CFACA61B-1FD4-4261-981F-0C7B165CB83E}"/>
            </a:ext>
          </a:extLst>
        </xdr:cNvPr>
        <xdr:cNvSpPr txBox="1"/>
      </xdr:nvSpPr>
      <xdr:spPr>
        <a:xfrm>
          <a:off x="14173200" y="439511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C44=</a:t>
          </a:r>
        </a:p>
      </xdr:txBody>
    </xdr:sp>
    <xdr:clientData/>
  </xdr:oneCellAnchor>
  <xdr:oneCellAnchor>
    <xdr:from>
      <xdr:col>13</xdr:col>
      <xdr:colOff>212913</xdr:colOff>
      <xdr:row>283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546EC135-1387-4E27-9416-6E860AF696BA}"/>
                </a:ext>
              </a:extLst>
            </xdr:cNvPr>
            <xdr:cNvSpPr txBox="1"/>
          </xdr:nvSpPr>
          <xdr:spPr>
            <a:xfrm>
              <a:off x="10614213" y="465161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546EC135-1387-4E27-9416-6E860AF696BA}"/>
                </a:ext>
              </a:extLst>
            </xdr:cNvPr>
            <xdr:cNvSpPr txBox="1"/>
          </xdr:nvSpPr>
          <xdr:spPr>
            <a:xfrm>
              <a:off x="10614213" y="465161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𝐻0:𝐵_5=0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285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EDE2215E-CDBF-4B06-9F13-501B5EFF2162}"/>
                </a:ext>
              </a:extLst>
            </xdr:cNvPr>
            <xdr:cNvSpPr txBox="1"/>
          </xdr:nvSpPr>
          <xdr:spPr>
            <a:xfrm>
              <a:off x="10625417" y="468624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EDE2215E-CDBF-4B06-9F13-501B5EFF2162}"/>
                </a:ext>
              </a:extLst>
            </xdr:cNvPr>
            <xdr:cNvSpPr txBox="1"/>
          </xdr:nvSpPr>
          <xdr:spPr>
            <a:xfrm>
              <a:off x="10625417" y="468624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𝐻1:𝐵_5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288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15CCF841-7A05-49EE-83F6-5CB92DD4B784}"/>
                </a:ext>
              </a:extLst>
            </xdr:cNvPr>
            <xdr:cNvSpPr txBox="1"/>
          </xdr:nvSpPr>
          <xdr:spPr>
            <a:xfrm>
              <a:off x="10849536" y="473594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15CCF841-7A05-49EE-83F6-5CB92DD4B784}"/>
                </a:ext>
              </a:extLst>
            </xdr:cNvPr>
            <xdr:cNvSpPr txBox="1"/>
          </xdr:nvSpPr>
          <xdr:spPr>
            <a:xfrm>
              <a:off x="10849536" y="473594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283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A06B8E2C-8C72-4A7B-89C3-63BCA6D23DC5}"/>
                </a:ext>
              </a:extLst>
            </xdr:cNvPr>
            <xdr:cNvSpPr txBox="1"/>
          </xdr:nvSpPr>
          <xdr:spPr>
            <a:xfrm>
              <a:off x="11742083" y="465072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5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55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A06B8E2C-8C72-4A7B-89C3-63BCA6D23DC5}"/>
                </a:ext>
              </a:extLst>
            </xdr:cNvPr>
            <xdr:cNvSpPr txBox="1"/>
          </xdr:nvSpPr>
          <xdr:spPr>
            <a:xfrm>
              <a:off x="11742083" y="465072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𝛽_5 )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2∗𝐶_55 )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571500</xdr:colOff>
      <xdr:row>285</xdr:row>
      <xdr:rowOff>145675</xdr:rowOff>
    </xdr:from>
    <xdr:ext cx="288477" cy="172227"/>
    <xdr:sp macro="" textlink="">
      <xdr:nvSpPr>
        <xdr:cNvPr id="154" name="CaixaDeTexto 153">
          <a:extLst>
            <a:ext uri="{FF2B5EF4-FFF2-40B4-BE49-F238E27FC236}">
              <a16:creationId xmlns:a16="http://schemas.microsoft.com/office/drawing/2014/main" id="{C7979699-88B6-450D-8DCF-756752F22729}"/>
            </a:ext>
          </a:extLst>
        </xdr:cNvPr>
        <xdr:cNvSpPr txBox="1"/>
      </xdr:nvSpPr>
      <xdr:spPr>
        <a:xfrm>
          <a:off x="14173200" y="468848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C55=</a:t>
          </a:r>
        </a:p>
      </xdr:txBody>
    </xdr:sp>
    <xdr:clientData/>
  </xdr:oneCellAnchor>
  <xdr:oneCellAnchor>
    <xdr:from>
      <xdr:col>13</xdr:col>
      <xdr:colOff>212913</xdr:colOff>
      <xdr:row>301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A7EF23EF-CA45-457A-BAB1-DD4D19E32468}"/>
                </a:ext>
              </a:extLst>
            </xdr:cNvPr>
            <xdr:cNvSpPr txBox="1"/>
          </xdr:nvSpPr>
          <xdr:spPr>
            <a:xfrm>
              <a:off x="10614213" y="494498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A7EF23EF-CA45-457A-BAB1-DD4D19E32468}"/>
                </a:ext>
              </a:extLst>
            </xdr:cNvPr>
            <xdr:cNvSpPr txBox="1"/>
          </xdr:nvSpPr>
          <xdr:spPr>
            <a:xfrm>
              <a:off x="10614213" y="4944987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𝐻0:𝐵_6=0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303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EE1895EC-0497-46AC-92B1-F801DCDB321E}"/>
                </a:ext>
              </a:extLst>
            </xdr:cNvPr>
            <xdr:cNvSpPr txBox="1"/>
          </xdr:nvSpPr>
          <xdr:spPr>
            <a:xfrm>
              <a:off x="10625417" y="497961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6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EE1895EC-0497-46AC-92B1-F801DCDB321E}"/>
                </a:ext>
              </a:extLst>
            </xdr:cNvPr>
            <xdr:cNvSpPr txBox="1"/>
          </xdr:nvSpPr>
          <xdr:spPr>
            <a:xfrm>
              <a:off x="10625417" y="4979613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𝐻1:𝐵_6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306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FDC1E567-D2E2-46DD-A070-E8EEE8717E45}"/>
                </a:ext>
              </a:extLst>
            </xdr:cNvPr>
            <xdr:cNvSpPr txBox="1"/>
          </xdr:nvSpPr>
          <xdr:spPr>
            <a:xfrm>
              <a:off x="10849536" y="502931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FDC1E567-D2E2-46DD-A070-E8EEE8717E45}"/>
                </a:ext>
              </a:extLst>
            </xdr:cNvPr>
            <xdr:cNvSpPr txBox="1"/>
          </xdr:nvSpPr>
          <xdr:spPr>
            <a:xfrm>
              <a:off x="10849536" y="5029312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301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3FC7FD32-A9B3-46EC-82D3-F51D93573CA4}"/>
                </a:ext>
              </a:extLst>
            </xdr:cNvPr>
            <xdr:cNvSpPr txBox="1"/>
          </xdr:nvSpPr>
          <xdr:spPr>
            <a:xfrm>
              <a:off x="11742083" y="494409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6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66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3FC7FD32-A9B3-46EC-82D3-F51D93573CA4}"/>
                </a:ext>
              </a:extLst>
            </xdr:cNvPr>
            <xdr:cNvSpPr txBox="1"/>
          </xdr:nvSpPr>
          <xdr:spPr>
            <a:xfrm>
              <a:off x="11742083" y="49440914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𝛽_6 )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2∗𝐶_66 )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571500</xdr:colOff>
      <xdr:row>303</xdr:row>
      <xdr:rowOff>145675</xdr:rowOff>
    </xdr:from>
    <xdr:ext cx="288477" cy="172227"/>
    <xdr:sp macro="" textlink="">
      <xdr:nvSpPr>
        <xdr:cNvPr id="160" name="CaixaDeTexto 159">
          <a:extLst>
            <a:ext uri="{FF2B5EF4-FFF2-40B4-BE49-F238E27FC236}">
              <a16:creationId xmlns:a16="http://schemas.microsoft.com/office/drawing/2014/main" id="{7A0D247B-5A64-4B93-B5DB-40423A3A53B7}"/>
            </a:ext>
          </a:extLst>
        </xdr:cNvPr>
        <xdr:cNvSpPr txBox="1"/>
      </xdr:nvSpPr>
      <xdr:spPr>
        <a:xfrm>
          <a:off x="14173200" y="498185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C66=</a:t>
          </a:r>
        </a:p>
      </xdr:txBody>
    </xdr:sp>
    <xdr:clientData/>
  </xdr:oneCellAnchor>
  <xdr:oneCellAnchor>
    <xdr:from>
      <xdr:col>14</xdr:col>
      <xdr:colOff>296475</xdr:colOff>
      <xdr:row>97</xdr:row>
      <xdr:rowOff>159282</xdr:rowOff>
    </xdr:from>
    <xdr:ext cx="288477" cy="172227"/>
    <xdr:sp macro="" textlink="">
      <xdr:nvSpPr>
        <xdr:cNvPr id="163" name="CaixaDeTexto 162">
          <a:extLst>
            <a:ext uri="{FF2B5EF4-FFF2-40B4-BE49-F238E27FC236}">
              <a16:creationId xmlns:a16="http://schemas.microsoft.com/office/drawing/2014/main" id="{B66C8041-E846-4125-964F-1AF974417A8C}"/>
            </a:ext>
          </a:extLst>
        </xdr:cNvPr>
        <xdr:cNvSpPr txBox="1"/>
      </xdr:nvSpPr>
      <xdr:spPr>
        <a:xfrm>
          <a:off x="11307375" y="16113657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14</xdr:col>
      <xdr:colOff>376999</xdr:colOff>
      <xdr:row>105</xdr:row>
      <xdr:rowOff>151920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A8955F3E-4DD0-4A96-9918-C5EBEC956E48}"/>
                </a:ext>
              </a:extLst>
            </xdr:cNvPr>
            <xdr:cNvSpPr txBox="1"/>
          </xdr:nvSpPr>
          <xdr:spPr>
            <a:xfrm>
              <a:off x="11387899" y="174207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A8955F3E-4DD0-4A96-9918-C5EBEC956E48}"/>
                </a:ext>
              </a:extLst>
            </xdr:cNvPr>
            <xdr:cNvSpPr txBox="1"/>
          </xdr:nvSpPr>
          <xdr:spPr>
            <a:xfrm>
              <a:off x="11387899" y="174207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310083</xdr:colOff>
      <xdr:row>107</xdr:row>
      <xdr:rowOff>159282</xdr:rowOff>
    </xdr:from>
    <xdr:ext cx="288477" cy="172227"/>
    <xdr:sp macro="" textlink="">
      <xdr:nvSpPr>
        <xdr:cNvPr id="166" name="CaixaDeTexto 165">
          <a:extLst>
            <a:ext uri="{FF2B5EF4-FFF2-40B4-BE49-F238E27FC236}">
              <a16:creationId xmlns:a16="http://schemas.microsoft.com/office/drawing/2014/main" id="{0644CAC7-556B-4864-AA64-82BD901BD442}"/>
            </a:ext>
          </a:extLst>
        </xdr:cNvPr>
        <xdr:cNvSpPr txBox="1"/>
      </xdr:nvSpPr>
      <xdr:spPr>
        <a:xfrm>
          <a:off x="11320983" y="17751957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14</xdr:col>
      <xdr:colOff>349784</xdr:colOff>
      <xdr:row>116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F365D715-D2D4-400C-83C7-AD2207017AA9}"/>
                </a:ext>
              </a:extLst>
            </xdr:cNvPr>
            <xdr:cNvSpPr txBox="1"/>
          </xdr:nvSpPr>
          <xdr:spPr>
            <a:xfrm>
              <a:off x="11360684" y="190712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F365D715-D2D4-400C-83C7-AD2207017AA9}"/>
                </a:ext>
              </a:extLst>
            </xdr:cNvPr>
            <xdr:cNvSpPr txBox="1"/>
          </xdr:nvSpPr>
          <xdr:spPr>
            <a:xfrm>
              <a:off x="11360684" y="190712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282869</xdr:colOff>
      <xdr:row>117</xdr:row>
      <xdr:rowOff>118460</xdr:rowOff>
    </xdr:from>
    <xdr:ext cx="288477" cy="172227"/>
    <xdr:sp macro="" textlink="">
      <xdr:nvSpPr>
        <xdr:cNvPr id="169" name="CaixaDeTexto 168">
          <a:extLst>
            <a:ext uri="{FF2B5EF4-FFF2-40B4-BE49-F238E27FC236}">
              <a16:creationId xmlns:a16="http://schemas.microsoft.com/office/drawing/2014/main" id="{ACCD3310-DA34-463A-8EB6-99AE115007D4}"/>
            </a:ext>
          </a:extLst>
        </xdr:cNvPr>
        <xdr:cNvSpPr txBox="1"/>
      </xdr:nvSpPr>
      <xdr:spPr>
        <a:xfrm>
          <a:off x="11293769" y="1934943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14</xdr:col>
      <xdr:colOff>323689</xdr:colOff>
      <xdr:row>128</xdr:row>
      <xdr:rowOff>23212</xdr:rowOff>
    </xdr:from>
    <xdr:ext cx="288477" cy="172227"/>
    <xdr:sp macro="" textlink="">
      <xdr:nvSpPr>
        <xdr:cNvPr id="171" name="CaixaDeTexto 170">
          <a:extLst>
            <a:ext uri="{FF2B5EF4-FFF2-40B4-BE49-F238E27FC236}">
              <a16:creationId xmlns:a16="http://schemas.microsoft.com/office/drawing/2014/main" id="{17604086-DA4F-4F51-B172-B8EC439BB4E1}"/>
            </a:ext>
          </a:extLst>
        </xdr:cNvPr>
        <xdr:cNvSpPr txBox="1"/>
      </xdr:nvSpPr>
      <xdr:spPr>
        <a:xfrm>
          <a:off x="11334589" y="21054412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14</xdr:col>
      <xdr:colOff>404213</xdr:colOff>
      <xdr:row>136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B1EF84B9-9555-4562-8A66-D12F3D9F72A6}"/>
                </a:ext>
              </a:extLst>
            </xdr:cNvPr>
            <xdr:cNvSpPr txBox="1"/>
          </xdr:nvSpPr>
          <xdr:spPr>
            <a:xfrm>
              <a:off x="11415113" y="223478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B1EF84B9-9555-4562-8A66-D12F3D9F72A6}"/>
                </a:ext>
              </a:extLst>
            </xdr:cNvPr>
            <xdr:cNvSpPr txBox="1"/>
          </xdr:nvSpPr>
          <xdr:spPr>
            <a:xfrm>
              <a:off x="11415113" y="223478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228440</xdr:colOff>
      <xdr:row>137</xdr:row>
      <xdr:rowOff>159283</xdr:rowOff>
    </xdr:from>
    <xdr:ext cx="288477" cy="172227"/>
    <xdr:sp macro="" textlink="">
      <xdr:nvSpPr>
        <xdr:cNvPr id="174" name="CaixaDeTexto 173">
          <a:extLst>
            <a:ext uri="{FF2B5EF4-FFF2-40B4-BE49-F238E27FC236}">
              <a16:creationId xmlns:a16="http://schemas.microsoft.com/office/drawing/2014/main" id="{C8B10A4D-A677-4B2D-97B7-3DC9A3A5B904}"/>
            </a:ext>
          </a:extLst>
        </xdr:cNvPr>
        <xdr:cNvSpPr txBox="1"/>
      </xdr:nvSpPr>
      <xdr:spPr>
        <a:xfrm>
          <a:off x="11239340" y="22666858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C44=</a:t>
          </a:r>
        </a:p>
      </xdr:txBody>
    </xdr:sp>
    <xdr:clientData/>
  </xdr:oneCellAnchor>
  <xdr:oneCellAnchor>
    <xdr:from>
      <xdr:col>14</xdr:col>
      <xdr:colOff>376999</xdr:colOff>
      <xdr:row>146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DC517B5-636B-40B6-8A5D-8A036F8BFB43}"/>
                </a:ext>
              </a:extLst>
            </xdr:cNvPr>
            <xdr:cNvSpPr txBox="1"/>
          </xdr:nvSpPr>
          <xdr:spPr>
            <a:xfrm>
              <a:off x="11387899" y="239861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DC517B5-636B-40B6-8A5D-8A036F8BFB43}"/>
                </a:ext>
              </a:extLst>
            </xdr:cNvPr>
            <xdr:cNvSpPr txBox="1"/>
          </xdr:nvSpPr>
          <xdr:spPr>
            <a:xfrm>
              <a:off x="11387899" y="239861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310082</xdr:colOff>
      <xdr:row>147</xdr:row>
      <xdr:rowOff>159282</xdr:rowOff>
    </xdr:from>
    <xdr:ext cx="288477" cy="172227"/>
    <xdr:sp macro="" textlink="">
      <xdr:nvSpPr>
        <xdr:cNvPr id="177" name="CaixaDeTexto 176">
          <a:extLst>
            <a:ext uri="{FF2B5EF4-FFF2-40B4-BE49-F238E27FC236}">
              <a16:creationId xmlns:a16="http://schemas.microsoft.com/office/drawing/2014/main" id="{180C8FA3-CDD7-4D0C-8F5F-6E48D7C0A6AA}"/>
            </a:ext>
          </a:extLst>
        </xdr:cNvPr>
        <xdr:cNvSpPr txBox="1"/>
      </xdr:nvSpPr>
      <xdr:spPr>
        <a:xfrm>
          <a:off x="11320982" y="24305157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C55=</a:t>
          </a:r>
        </a:p>
      </xdr:txBody>
    </xdr:sp>
    <xdr:clientData/>
  </xdr:oneCellAnchor>
  <xdr:oneCellAnchor>
    <xdr:from>
      <xdr:col>14</xdr:col>
      <xdr:colOff>404213</xdr:colOff>
      <xdr:row>155</xdr:row>
      <xdr:rowOff>151920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851B4ABE-7550-457A-AC67-6DD7F10EAD31}"/>
                </a:ext>
              </a:extLst>
            </xdr:cNvPr>
            <xdr:cNvSpPr txBox="1"/>
          </xdr:nvSpPr>
          <xdr:spPr>
            <a:xfrm>
              <a:off x="11415113" y="256122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851B4ABE-7550-457A-AC67-6DD7F10EAD31}"/>
                </a:ext>
              </a:extLst>
            </xdr:cNvPr>
            <xdr:cNvSpPr txBox="1"/>
          </xdr:nvSpPr>
          <xdr:spPr>
            <a:xfrm>
              <a:off x="11415113" y="256122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242048</xdr:colOff>
      <xdr:row>157</xdr:row>
      <xdr:rowOff>159283</xdr:rowOff>
    </xdr:from>
    <xdr:ext cx="288477" cy="172227"/>
    <xdr:sp macro="" textlink="">
      <xdr:nvSpPr>
        <xdr:cNvPr id="180" name="CaixaDeTexto 179">
          <a:extLst>
            <a:ext uri="{FF2B5EF4-FFF2-40B4-BE49-F238E27FC236}">
              <a16:creationId xmlns:a16="http://schemas.microsoft.com/office/drawing/2014/main" id="{E06EB715-FC0A-4277-91F7-58AD27BBD6CA}"/>
            </a:ext>
          </a:extLst>
        </xdr:cNvPr>
        <xdr:cNvSpPr txBox="1"/>
      </xdr:nvSpPr>
      <xdr:spPr>
        <a:xfrm>
          <a:off x="11252948" y="25943458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C66=</a:t>
          </a:r>
        </a:p>
      </xdr:txBody>
    </xdr:sp>
    <xdr:clientData/>
  </xdr:oneCellAnchor>
  <xdr:oneCellAnchor>
    <xdr:from>
      <xdr:col>13</xdr:col>
      <xdr:colOff>456079</xdr:colOff>
      <xdr:row>169</xdr:row>
      <xdr:rowOff>2241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A109A0D2-7B31-4FC5-BDF8-C1F924B51318}"/>
                </a:ext>
              </a:extLst>
            </xdr:cNvPr>
            <xdr:cNvSpPr txBox="1"/>
          </xdr:nvSpPr>
          <xdr:spPr>
            <a:xfrm>
              <a:off x="10857379" y="27748566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A109A0D2-7B31-4FC5-BDF8-C1F924B51318}"/>
                </a:ext>
              </a:extLst>
            </xdr:cNvPr>
            <xdr:cNvSpPr txBox="1"/>
          </xdr:nvSpPr>
          <xdr:spPr>
            <a:xfrm>
              <a:off x="10857379" y="27748566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129427</xdr:colOff>
      <xdr:row>170</xdr:row>
      <xdr:rowOff>148076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56020CD3-09E2-4F0D-8AD9-A7643EEEC8F1}"/>
                </a:ext>
              </a:extLst>
            </xdr:cNvPr>
            <xdr:cNvSpPr txBox="1"/>
          </xdr:nvSpPr>
          <xdr:spPr>
            <a:xfrm>
              <a:off x="10530727" y="2805632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56020CD3-09E2-4F0D-8AD9-A7643EEEC8F1}"/>
                </a:ext>
              </a:extLst>
            </xdr:cNvPr>
            <xdr:cNvSpPr txBox="1"/>
          </xdr:nvSpPr>
          <xdr:spPr>
            <a:xfrm>
              <a:off x="10530727" y="2805632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160003</xdr:colOff>
      <xdr:row>175</xdr:row>
      <xdr:rowOff>12007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D5C4E805-7282-4A55-B344-12DDC7963629}"/>
                </a:ext>
              </a:extLst>
            </xdr:cNvPr>
            <xdr:cNvSpPr txBox="1"/>
          </xdr:nvSpPr>
          <xdr:spPr>
            <a:xfrm>
              <a:off x="10561303" y="28729882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D5C4E805-7282-4A55-B344-12DDC7963629}"/>
                </a:ext>
              </a:extLst>
            </xdr:cNvPr>
            <xdr:cNvSpPr txBox="1"/>
          </xdr:nvSpPr>
          <xdr:spPr>
            <a:xfrm>
              <a:off x="10561303" y="28729882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21</xdr:col>
      <xdr:colOff>616324</xdr:colOff>
      <xdr:row>164</xdr:row>
      <xdr:rowOff>168087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67B19119-CF3F-427C-894D-4EEF18C55C84}"/>
                </a:ext>
              </a:extLst>
            </xdr:cNvPr>
            <xdr:cNvSpPr txBox="1"/>
          </xdr:nvSpPr>
          <xdr:spPr>
            <a:xfrm>
              <a:off x="16532599" y="27095262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67B19119-CF3F-427C-894D-4EEF18C55C84}"/>
                </a:ext>
              </a:extLst>
            </xdr:cNvPr>
            <xdr:cNvSpPr txBox="1"/>
          </xdr:nvSpPr>
          <xdr:spPr>
            <a:xfrm>
              <a:off x="16532599" y="27095262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13</xdr:col>
      <xdr:colOff>299357</xdr:colOff>
      <xdr:row>173</xdr:row>
      <xdr:rowOff>27214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A0185FAD-8023-45D5-B2CF-916FFFFBA585}"/>
                </a:ext>
              </a:extLst>
            </xdr:cNvPr>
            <xdr:cNvSpPr txBox="1"/>
          </xdr:nvSpPr>
          <xdr:spPr>
            <a:xfrm>
              <a:off x="10700657" y="2842123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A0185FAD-8023-45D5-B2CF-916FFFFBA585}"/>
                </a:ext>
              </a:extLst>
            </xdr:cNvPr>
            <xdr:cNvSpPr txBox="1"/>
          </xdr:nvSpPr>
          <xdr:spPr>
            <a:xfrm>
              <a:off x="10700657" y="2842123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21</xdr:col>
      <xdr:colOff>347382</xdr:colOff>
      <xdr:row>168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F5699D1E-4976-4689-B362-F54535E07680}"/>
                </a:ext>
              </a:extLst>
            </xdr:cNvPr>
            <xdr:cNvSpPr txBox="1"/>
          </xdr:nvSpPr>
          <xdr:spPr>
            <a:xfrm>
              <a:off x="16273182" y="2770766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F5699D1E-4976-4689-B362-F54535E07680}"/>
                </a:ext>
              </a:extLst>
            </xdr:cNvPr>
            <xdr:cNvSpPr txBox="1"/>
          </xdr:nvSpPr>
          <xdr:spPr>
            <a:xfrm>
              <a:off x="16273182" y="2770766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299197</xdr:colOff>
      <xdr:row>183</xdr:row>
      <xdr:rowOff>2242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940ADC2B-B87A-4840-B6E1-5ED6C396FAB2}"/>
                </a:ext>
              </a:extLst>
            </xdr:cNvPr>
            <xdr:cNvSpPr txBox="1"/>
          </xdr:nvSpPr>
          <xdr:spPr>
            <a:xfrm>
              <a:off x="10700497" y="30072667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940ADC2B-B87A-4840-B6E1-5ED6C396FAB2}"/>
                </a:ext>
              </a:extLst>
            </xdr:cNvPr>
            <xdr:cNvSpPr txBox="1"/>
          </xdr:nvSpPr>
          <xdr:spPr>
            <a:xfrm>
              <a:off x="10700497" y="30072667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183855</xdr:colOff>
      <xdr:row>184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345EC7AB-9C8F-4DBA-9E80-CE1298C3F1AF}"/>
                </a:ext>
              </a:extLst>
            </xdr:cNvPr>
            <xdr:cNvSpPr txBox="1"/>
          </xdr:nvSpPr>
          <xdr:spPr>
            <a:xfrm>
              <a:off x="10585155" y="3036681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345EC7AB-9C8F-4DBA-9E80-CE1298C3F1AF}"/>
                </a:ext>
              </a:extLst>
            </xdr:cNvPr>
            <xdr:cNvSpPr txBox="1"/>
          </xdr:nvSpPr>
          <xdr:spPr>
            <a:xfrm>
              <a:off x="10585155" y="30366819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533079</xdr:colOff>
      <xdr:row>189</xdr:row>
      <xdr:rowOff>11206</xdr:rowOff>
    </xdr:from>
    <xdr:ext cx="1389529" cy="235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1E6B32FC-3244-4F89-B7FA-97BC4FF492E5}"/>
                </a:ext>
              </a:extLst>
            </xdr:cNvPr>
            <xdr:cNvSpPr txBox="1"/>
          </xdr:nvSpPr>
          <xdr:spPr>
            <a:xfrm>
              <a:off x="10324779" y="31053181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∗(1+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0)=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1E6B32FC-3244-4F89-B7FA-97BC4FF492E5}"/>
                </a:ext>
              </a:extLst>
            </xdr:cNvPr>
            <xdr:cNvSpPr txBox="1"/>
          </xdr:nvSpPr>
          <xdr:spPr>
            <a:xfrm>
              <a:off x="10324779" y="31053181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2∗(1+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21</xdr:col>
      <xdr:colOff>302560</xdr:colOff>
      <xdr:row>178</xdr:row>
      <xdr:rowOff>156881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A58F88A1-A753-4C00-A30F-CCDAF521FDCB}"/>
                </a:ext>
              </a:extLst>
            </xdr:cNvPr>
            <xdr:cNvSpPr txBox="1"/>
          </xdr:nvSpPr>
          <xdr:spPr>
            <a:xfrm>
              <a:off x="16228360" y="2940815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A58F88A1-A753-4C00-A30F-CCDAF521FDCB}"/>
                </a:ext>
              </a:extLst>
            </xdr:cNvPr>
            <xdr:cNvSpPr txBox="1"/>
          </xdr:nvSpPr>
          <xdr:spPr>
            <a:xfrm>
              <a:off x="16228360" y="2940815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13</xdr:col>
      <xdr:colOff>176893</xdr:colOff>
      <xdr:row>186</xdr:row>
      <xdr:rowOff>136070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ECD45B9-28B2-4554-9BEE-084174B1B032}"/>
                </a:ext>
              </a:extLst>
            </xdr:cNvPr>
            <xdr:cNvSpPr txBox="1"/>
          </xdr:nvSpPr>
          <xdr:spPr>
            <a:xfrm>
              <a:off x="10578193" y="3069227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ECD45B9-28B2-4554-9BEE-084174B1B032}"/>
                </a:ext>
              </a:extLst>
            </xdr:cNvPr>
            <xdr:cNvSpPr txBox="1"/>
          </xdr:nvSpPr>
          <xdr:spPr>
            <a:xfrm>
              <a:off x="10578193" y="3069227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21</xdr:col>
      <xdr:colOff>358588</xdr:colOff>
      <xdr:row>182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1EDDD2CF-24A4-48AC-A952-65D161225715}"/>
                </a:ext>
              </a:extLst>
            </xdr:cNvPr>
            <xdr:cNvSpPr txBox="1"/>
          </xdr:nvSpPr>
          <xdr:spPr>
            <a:xfrm>
              <a:off x="16284388" y="3003176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1EDDD2CF-24A4-48AC-A952-65D161225715}"/>
                </a:ext>
              </a:extLst>
            </xdr:cNvPr>
            <xdr:cNvSpPr txBox="1"/>
          </xdr:nvSpPr>
          <xdr:spPr>
            <a:xfrm>
              <a:off x="16284388" y="3003176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404213</xdr:colOff>
      <xdr:row>125</xdr:row>
      <xdr:rowOff>151920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62A4BBB-F338-4B75-8E95-DDB89F7425DF}"/>
                </a:ext>
              </a:extLst>
            </xdr:cNvPr>
            <xdr:cNvSpPr txBox="1"/>
          </xdr:nvSpPr>
          <xdr:spPr>
            <a:xfrm>
              <a:off x="11415113" y="206973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62A4BBB-F338-4B75-8E95-DDB89F7425DF}"/>
                </a:ext>
              </a:extLst>
            </xdr:cNvPr>
            <xdr:cNvSpPr txBox="1"/>
          </xdr:nvSpPr>
          <xdr:spPr>
            <a:xfrm>
              <a:off x="11415113" y="206973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404213</xdr:colOff>
      <xdr:row>95</xdr:row>
      <xdr:rowOff>151920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421118CC-29BE-471F-A1F1-84351465FBDA}"/>
                </a:ext>
              </a:extLst>
            </xdr:cNvPr>
            <xdr:cNvSpPr txBox="1"/>
          </xdr:nvSpPr>
          <xdr:spPr>
            <a:xfrm>
              <a:off x="11415113" y="157824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421118CC-29BE-471F-A1F1-84351465FBDA}"/>
                </a:ext>
              </a:extLst>
            </xdr:cNvPr>
            <xdr:cNvSpPr txBox="1"/>
          </xdr:nvSpPr>
          <xdr:spPr>
            <a:xfrm>
              <a:off x="11415113" y="157824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8</xdr:col>
      <xdr:colOff>312964</xdr:colOff>
      <xdr:row>1</xdr:row>
      <xdr:rowOff>13608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569FF97-DF0C-4665-AA6F-83932C98F5E6}"/>
                </a:ext>
              </a:extLst>
            </xdr:cNvPr>
            <xdr:cNvSpPr txBox="1"/>
          </xdr:nvSpPr>
          <xdr:spPr>
            <a:xfrm>
              <a:off x="7504339" y="175533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569FF97-DF0C-4665-AA6F-83932C98F5E6}"/>
                </a:ext>
              </a:extLst>
            </xdr:cNvPr>
            <xdr:cNvSpPr txBox="1"/>
          </xdr:nvSpPr>
          <xdr:spPr>
            <a:xfrm>
              <a:off x="7504339" y="175533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953559</xdr:colOff>
      <xdr:row>310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A5F18D8-E291-4A57-BDB1-3154D7B789DA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9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A5F18D8-E291-4A57-BDB1-3154D7B789DA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292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D4FAF82-10CE-495C-8697-47A586A5C39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D4FAF82-10CE-495C-8697-47A586A5C39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274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3E37256-4541-4D7C-BBF1-2C2C10E787BB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B3E37256-4541-4D7C-BBF1-2C2C10E787BB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256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BA585E9-F15A-465A-ABDB-EC2ED8F9CE1B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BA585E9-F15A-465A-ABDB-EC2ED8F9CE1B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238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F7BBB9C-2C9F-4D11-8DBA-39EA5DEAEF1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F7BBB9C-2C9F-4D11-8DBA-39EA5DEAEF1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220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4326ABE-1816-4E1A-893B-EA22712C781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4326ABE-1816-4E1A-893B-EA22712C781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202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BAA5CAE-C039-4239-9D58-BDF4B6354190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BAA5CAE-C039-4239-9D58-BDF4B6354190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180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2771183D-77CB-45F4-93A5-090DE9421BDA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2771183D-77CB-45F4-93A5-090DE9421BDA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166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9EFDE11D-41CD-4668-923E-A5C55EE206C8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9EFDE11D-41CD-4668-923E-A5C55EE206C8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153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0226459-A5E5-4EEA-94CC-6B76FDD4ECC0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0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0226459-A5E5-4EEA-94CC-6B76FDD4ECC0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143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9B96AF5-D885-4C20-BE85-8EAE8E6F5CE0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9B96AF5-D885-4C20-BE85-8EAE8E6F5CE0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133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C3394A0-CB77-48AC-A573-6B27BFB9852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C3394A0-CB77-48AC-A573-6B27BFB98522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123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EBC57D9-2F3B-480F-974B-8D322B16578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3EBC57D9-2F3B-480F-974B-8D322B16578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113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5E14E40-FD25-4D3A-B077-3711DADCEBA0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5E14E40-FD25-4D3A-B077-3711DADCEBA0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103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A465FA0-55AF-4369-AFC7-44F537390124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A465FA0-55AF-4369-AFC7-44F537390124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</xdr:col>
      <xdr:colOff>953559</xdr:colOff>
      <xdr:row>93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D9333D2-5B65-4B4E-8AE7-0E41E1103605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BD9333D2-5B65-4B4E-8AE7-0E41E1103605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93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75AC16E-492B-40F5-97D3-7D3CF3821B17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75AC16E-492B-40F5-97D3-7D3CF3821B17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103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F31964C-B2F2-44FC-A6E1-185028517F8F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F31964C-B2F2-44FC-A6E1-185028517F8F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113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E4DF6D4-431C-4386-AA31-E61556F7938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E4DF6D4-431C-4386-AA31-E61556F7938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123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15B4D39-52E5-46DF-A37D-2D668DE8F5AD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1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15B4D39-52E5-46DF-A37D-2D668DE8F5AD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133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0FD6990-7314-48D4-BA51-6A783C1A1447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0FD6990-7314-48D4-BA51-6A783C1A1447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143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6F4D069-20CB-4625-8BA6-DC43503C229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6F4D069-20CB-4625-8BA6-DC43503C2293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153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875024F-7011-416C-9875-C33A2F650C8F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875024F-7011-416C-9875-C33A2F650C8F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166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2696938C-747C-495F-ADF5-E9AB99EA5D9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2696938C-747C-495F-ADF5-E9AB99EA5D9C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180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129D86C-D282-4100-B29F-4E8EB018D6D1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129D86C-D282-4100-B29F-4E8EB018D6D1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202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8716460-BDC8-4125-A65C-487A41523DB4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8716460-BDC8-4125-A65C-487A41523DB4}"/>
                </a:ext>
              </a:extLst>
            </xdr:cNvPr>
            <xdr:cNvSpPr txBox="1"/>
          </xdr:nvSpPr>
          <xdr:spPr>
            <a:xfrm>
              <a:off x="13631334" y="5439833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220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99C957E-9C88-4EDE-B459-AF41463BF733}"/>
                </a:ext>
              </a:extLst>
            </xdr:cNvPr>
            <xdr:cNvSpPr txBox="1"/>
          </xdr:nvSpPr>
          <xdr:spPr>
            <a:xfrm>
              <a:off x="1375380" y="3667775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B99C957E-9C88-4EDE-B459-AF41463BF733}"/>
                </a:ext>
              </a:extLst>
            </xdr:cNvPr>
            <xdr:cNvSpPr txBox="1"/>
          </xdr:nvSpPr>
          <xdr:spPr>
            <a:xfrm>
              <a:off x="1375380" y="3667775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238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FDB9DA3-807E-4D62-B597-DB3091A7D54B}"/>
                </a:ext>
              </a:extLst>
            </xdr:cNvPr>
            <xdr:cNvSpPr txBox="1"/>
          </xdr:nvSpPr>
          <xdr:spPr>
            <a:xfrm>
              <a:off x="1375380" y="3667775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FDB9DA3-807E-4D62-B597-DB3091A7D54B}"/>
                </a:ext>
              </a:extLst>
            </xdr:cNvPr>
            <xdr:cNvSpPr txBox="1"/>
          </xdr:nvSpPr>
          <xdr:spPr>
            <a:xfrm>
              <a:off x="1375380" y="3667775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256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2738850-DDE5-4AB9-AA21-8FEC0FB5C8DB}"/>
                </a:ext>
              </a:extLst>
            </xdr:cNvPr>
            <xdr:cNvSpPr txBox="1"/>
          </xdr:nvSpPr>
          <xdr:spPr>
            <a:xfrm>
              <a:off x="1375380" y="3667775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2738850-DDE5-4AB9-AA21-8FEC0FB5C8DB}"/>
                </a:ext>
              </a:extLst>
            </xdr:cNvPr>
            <xdr:cNvSpPr txBox="1"/>
          </xdr:nvSpPr>
          <xdr:spPr>
            <a:xfrm>
              <a:off x="1375380" y="3667775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274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761D965-D85F-499F-B550-D8BF85E4ED5A}"/>
                </a:ext>
              </a:extLst>
            </xdr:cNvPr>
            <xdr:cNvSpPr txBox="1"/>
          </xdr:nvSpPr>
          <xdr:spPr>
            <a:xfrm>
              <a:off x="1375380" y="3667775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2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761D965-D85F-499F-B550-D8BF85E4ED5A}"/>
                </a:ext>
              </a:extLst>
            </xdr:cNvPr>
            <xdr:cNvSpPr txBox="1"/>
          </xdr:nvSpPr>
          <xdr:spPr>
            <a:xfrm>
              <a:off x="1375380" y="3667775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292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8EC8DE6-6946-4A11-9BA6-77975ECCD6E2}"/>
                </a:ext>
              </a:extLst>
            </xdr:cNvPr>
            <xdr:cNvSpPr txBox="1"/>
          </xdr:nvSpPr>
          <xdr:spPr>
            <a:xfrm>
              <a:off x="1375380" y="3667775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3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8EC8DE6-6946-4A11-9BA6-77975ECCD6E2}"/>
                </a:ext>
              </a:extLst>
            </xdr:cNvPr>
            <xdr:cNvSpPr txBox="1"/>
          </xdr:nvSpPr>
          <xdr:spPr>
            <a:xfrm>
              <a:off x="1375380" y="3667775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13</xdr:col>
      <xdr:colOff>953559</xdr:colOff>
      <xdr:row>310</xdr:row>
      <xdr:rowOff>115360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C4FC81D-94FA-4828-A070-D7E1180D351A}"/>
                </a:ext>
              </a:extLst>
            </xdr:cNvPr>
            <xdr:cNvSpPr txBox="1"/>
          </xdr:nvSpPr>
          <xdr:spPr>
            <a:xfrm>
              <a:off x="1375380" y="3667775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23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C4FC81D-94FA-4828-A070-D7E1180D351A}"/>
                </a:ext>
              </a:extLst>
            </xdr:cNvPr>
            <xdr:cNvSpPr txBox="1"/>
          </xdr:nvSpPr>
          <xdr:spPr>
            <a:xfrm>
              <a:off x="1375380" y="3667775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485775</xdr:colOff>
      <xdr:row>4</xdr:row>
      <xdr:rowOff>130969</xdr:rowOff>
    </xdr:from>
    <xdr:ext cx="3371850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F1FD7A36-2947-444E-A607-413B22CA2498}"/>
                </a:ext>
              </a:extLst>
            </xdr:cNvPr>
            <xdr:cNvSpPr txBox="1"/>
          </xdr:nvSpPr>
          <xdr:spPr>
            <a:xfrm>
              <a:off x="5331619" y="797719"/>
              <a:ext cx="337185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l-GR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𝜀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F1FD7A36-2947-444E-A607-413B22CA2498}"/>
                </a:ext>
              </a:extLst>
            </xdr:cNvPr>
            <xdr:cNvSpPr txBox="1"/>
          </xdr:nvSpPr>
          <xdr:spPr>
            <a:xfrm>
              <a:off x="5331619" y="797719"/>
              <a:ext cx="337185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𝑌=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600" b="0" i="0">
                  <a:latin typeface="Cambria Math" panose="02040503050406030204" pitchFamily="18" charset="0"/>
                </a:rPr>
                <a:t>0+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𝛽_1 𝑋_1+𝛽_2 𝑋_2+𝛽_3 𝑋_3+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endParaRPr lang="pt-PT" sz="1600"/>
            </a:p>
          </xdr:txBody>
        </xdr:sp>
      </mc:Fallback>
    </mc:AlternateContent>
    <xdr:clientData/>
  </xdr:oneCellAnchor>
  <xdr:twoCellAnchor>
    <xdr:from>
      <xdr:col>11</xdr:col>
      <xdr:colOff>409576</xdr:colOff>
      <xdr:row>9</xdr:row>
      <xdr:rowOff>95249</xdr:rowOff>
    </xdr:from>
    <xdr:to>
      <xdr:col>12</xdr:col>
      <xdr:colOff>85726</xdr:colOff>
      <xdr:row>130</xdr:row>
      <xdr:rowOff>142875</xdr:rowOff>
    </xdr:to>
    <xdr:sp macro="" textlink="">
      <xdr:nvSpPr>
        <xdr:cNvPr id="3" name="Parêntese esquerdo 2">
          <a:extLst>
            <a:ext uri="{FF2B5EF4-FFF2-40B4-BE49-F238E27FC236}">
              <a16:creationId xmlns:a16="http://schemas.microsoft.com/office/drawing/2014/main" id="{DD23BFB7-ADF3-4E7E-B4F3-47E708E2E95D}"/>
            </a:ext>
          </a:extLst>
        </xdr:cNvPr>
        <xdr:cNvSpPr/>
      </xdr:nvSpPr>
      <xdr:spPr>
        <a:xfrm>
          <a:off x="10163176" y="2362199"/>
          <a:ext cx="295275" cy="196405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15</xdr:col>
      <xdr:colOff>200024</xdr:colOff>
      <xdr:row>9</xdr:row>
      <xdr:rowOff>76199</xdr:rowOff>
    </xdr:from>
    <xdr:to>
      <xdr:col>16</xdr:col>
      <xdr:colOff>102161</xdr:colOff>
      <xdr:row>130</xdr:row>
      <xdr:rowOff>123824</xdr:rowOff>
    </xdr:to>
    <xdr:sp macro="" textlink="">
      <xdr:nvSpPr>
        <xdr:cNvPr id="4" name="Parêntese esquerdo 3">
          <a:extLst>
            <a:ext uri="{FF2B5EF4-FFF2-40B4-BE49-F238E27FC236}">
              <a16:creationId xmlns:a16="http://schemas.microsoft.com/office/drawing/2014/main" id="{7FF88542-2C8D-4B5E-B53D-EDD0D23A519A}"/>
            </a:ext>
          </a:extLst>
        </xdr:cNvPr>
        <xdr:cNvSpPr/>
      </xdr:nvSpPr>
      <xdr:spPr>
        <a:xfrm flipH="1" flipV="1">
          <a:off x="11412310" y="1545770"/>
          <a:ext cx="514458" cy="19805197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10</xdr:col>
      <xdr:colOff>28575</xdr:colOff>
      <xdr:row>58</xdr:row>
      <xdr:rowOff>19050</xdr:rowOff>
    </xdr:from>
    <xdr:ext cx="809625" cy="438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CE7E39E5-5CED-4066-B640-4B440369F533}"/>
                </a:ext>
              </a:extLst>
            </xdr:cNvPr>
            <xdr:cNvSpPr txBox="1"/>
          </xdr:nvSpPr>
          <xdr:spPr>
            <a:xfrm>
              <a:off x="7143750" y="9410700"/>
              <a:ext cx="809625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28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CE7E39E5-5CED-4066-B640-4B440369F533}"/>
                </a:ext>
              </a:extLst>
            </xdr:cNvPr>
            <xdr:cNvSpPr txBox="1"/>
          </xdr:nvSpPr>
          <xdr:spPr>
            <a:xfrm>
              <a:off x="7143750" y="9410700"/>
              <a:ext cx="809625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𝑋=</a:t>
              </a:r>
              <a:endParaRPr lang="pt-PT" sz="2800"/>
            </a:p>
          </xdr:txBody>
        </xdr:sp>
      </mc:Fallback>
    </mc:AlternateContent>
    <xdr:clientData/>
  </xdr:oneCellAnchor>
  <xdr:oneCellAnchor>
    <xdr:from>
      <xdr:col>18</xdr:col>
      <xdr:colOff>228599</xdr:colOff>
      <xdr:row>56</xdr:row>
      <xdr:rowOff>28575</xdr:rowOff>
    </xdr:from>
    <xdr:ext cx="832883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10F399B3-AECF-4942-8004-ECFB79A30999}"/>
                </a:ext>
              </a:extLst>
            </xdr:cNvPr>
            <xdr:cNvSpPr txBox="1"/>
          </xdr:nvSpPr>
          <xdr:spPr>
            <a:xfrm>
              <a:off x="12220574" y="9096375"/>
              <a:ext cx="832883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10F399B3-AECF-4942-8004-ECFB79A30999}"/>
                </a:ext>
              </a:extLst>
            </xdr:cNvPr>
            <xdr:cNvSpPr txBox="1"/>
          </xdr:nvSpPr>
          <xdr:spPr>
            <a:xfrm>
              <a:off x="12220574" y="9096375"/>
              <a:ext cx="832883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20</xdr:col>
      <xdr:colOff>133350</xdr:colOff>
      <xdr:row>54</xdr:row>
      <xdr:rowOff>123825</xdr:rowOff>
    </xdr:from>
    <xdr:to>
      <xdr:col>20</xdr:col>
      <xdr:colOff>460456</xdr:colOff>
      <xdr:row>60</xdr:row>
      <xdr:rowOff>105895</xdr:rowOff>
    </xdr:to>
    <xdr:sp macro="" textlink="">
      <xdr:nvSpPr>
        <xdr:cNvPr id="7" name="Parêntese esquerdo 6">
          <a:extLst>
            <a:ext uri="{FF2B5EF4-FFF2-40B4-BE49-F238E27FC236}">
              <a16:creationId xmlns:a16="http://schemas.microsoft.com/office/drawing/2014/main" id="{ED38C689-0DA6-438B-9171-212AF4C069B6}"/>
            </a:ext>
          </a:extLst>
        </xdr:cNvPr>
        <xdr:cNvSpPr/>
      </xdr:nvSpPr>
      <xdr:spPr>
        <a:xfrm>
          <a:off x="14407243" y="8941254"/>
          <a:ext cx="327106" cy="961784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139</xdr:col>
      <xdr:colOff>428625</xdr:colOff>
      <xdr:row>54</xdr:row>
      <xdr:rowOff>104775</xdr:rowOff>
    </xdr:from>
    <xdr:to>
      <xdr:col>140</xdr:col>
      <xdr:colOff>146131</xdr:colOff>
      <xdr:row>60</xdr:row>
      <xdr:rowOff>86845</xdr:rowOff>
    </xdr:to>
    <xdr:sp macro="" textlink="">
      <xdr:nvSpPr>
        <xdr:cNvPr id="8" name="Parêntese esquerdo 7">
          <a:extLst>
            <a:ext uri="{FF2B5EF4-FFF2-40B4-BE49-F238E27FC236}">
              <a16:creationId xmlns:a16="http://schemas.microsoft.com/office/drawing/2014/main" id="{56A09089-563C-4865-A3EC-8A8E32B24F9E}"/>
            </a:ext>
          </a:extLst>
        </xdr:cNvPr>
        <xdr:cNvSpPr/>
      </xdr:nvSpPr>
      <xdr:spPr>
        <a:xfrm flipH="1">
          <a:off x="86182200" y="8848725"/>
          <a:ext cx="327106" cy="95362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2</xdr:col>
      <xdr:colOff>435429</xdr:colOff>
      <xdr:row>137</xdr:row>
      <xdr:rowOff>149678</xdr:rowOff>
    </xdr:from>
    <xdr:ext cx="1408655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3A445E43-BADD-4C76-AA2A-BAEF70757938}"/>
                </a:ext>
              </a:extLst>
            </xdr:cNvPr>
            <xdr:cNvSpPr txBox="1"/>
          </xdr:nvSpPr>
          <xdr:spPr>
            <a:xfrm>
              <a:off x="1836164" y="21642560"/>
              <a:ext cx="140865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3A445E43-BADD-4C76-AA2A-BAEF70757938}"/>
                </a:ext>
              </a:extLst>
            </xdr:cNvPr>
            <xdr:cNvSpPr txBox="1"/>
          </xdr:nvSpPr>
          <xdr:spPr>
            <a:xfrm>
              <a:off x="1836164" y="21642560"/>
              <a:ext cx="140865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𝑋^𝑡∗𝑋=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4</xdr:col>
      <xdr:colOff>13607</xdr:colOff>
      <xdr:row>136</xdr:row>
      <xdr:rowOff>81644</xdr:rowOff>
    </xdr:from>
    <xdr:to>
      <xdr:col>4</xdr:col>
      <xdr:colOff>340713</xdr:colOff>
      <xdr:row>142</xdr:row>
      <xdr:rowOff>27216</xdr:rowOff>
    </xdr:to>
    <xdr:sp macro="" textlink="">
      <xdr:nvSpPr>
        <xdr:cNvPr id="10" name="Parêntese esquerdo 9">
          <a:extLst>
            <a:ext uri="{FF2B5EF4-FFF2-40B4-BE49-F238E27FC236}">
              <a16:creationId xmlns:a16="http://schemas.microsoft.com/office/drawing/2014/main" id="{E3B23C28-F40A-4C53-B3A5-FC1E0C3D00B0}"/>
            </a:ext>
          </a:extLst>
        </xdr:cNvPr>
        <xdr:cNvSpPr/>
      </xdr:nvSpPr>
      <xdr:spPr>
        <a:xfrm>
          <a:off x="3252107" y="22288501"/>
          <a:ext cx="327106" cy="92528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7</xdr:col>
      <xdr:colOff>666749</xdr:colOff>
      <xdr:row>136</xdr:row>
      <xdr:rowOff>81643</xdr:rowOff>
    </xdr:from>
    <xdr:to>
      <xdr:col>8</xdr:col>
      <xdr:colOff>150212</xdr:colOff>
      <xdr:row>142</xdr:row>
      <xdr:rowOff>27215</xdr:rowOff>
    </xdr:to>
    <xdr:sp macro="" textlink="">
      <xdr:nvSpPr>
        <xdr:cNvPr id="11" name="Parêntese esquerdo 10">
          <a:extLst>
            <a:ext uri="{FF2B5EF4-FFF2-40B4-BE49-F238E27FC236}">
              <a16:creationId xmlns:a16="http://schemas.microsoft.com/office/drawing/2014/main" id="{17406CC3-805A-46B5-8A71-61332004C582}"/>
            </a:ext>
          </a:extLst>
        </xdr:cNvPr>
        <xdr:cNvSpPr/>
      </xdr:nvSpPr>
      <xdr:spPr>
        <a:xfrm flipH="1">
          <a:off x="6354535" y="22288500"/>
          <a:ext cx="327106" cy="92528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11</xdr:col>
      <xdr:colOff>435428</xdr:colOff>
      <xdr:row>138</xdr:row>
      <xdr:rowOff>13607</xdr:rowOff>
    </xdr:from>
    <xdr:ext cx="1964127" cy="445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9DA1A1DA-098D-4967-80D3-3193CF8B3281}"/>
                </a:ext>
              </a:extLst>
            </xdr:cNvPr>
            <xdr:cNvSpPr txBox="1"/>
          </xdr:nvSpPr>
          <xdr:spPr>
            <a:xfrm>
              <a:off x="9176016" y="21663372"/>
              <a:ext cx="1964127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(</m:t>
                        </m:r>
                        <m:sSup>
                          <m:sSupPr>
                            <m:ctrlP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p>
                        </m:s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9DA1A1DA-098D-4967-80D3-3193CF8B3281}"/>
                </a:ext>
              </a:extLst>
            </xdr:cNvPr>
            <xdr:cNvSpPr txBox="1"/>
          </xdr:nvSpPr>
          <xdr:spPr>
            <a:xfrm>
              <a:off x="9176016" y="21663372"/>
              <a:ext cx="1964127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〖(</a:t>
              </a:r>
              <a:r>
                <a:rPr lang="pt-PT" sz="2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𝑋^𝑡∗𝑋</a:t>
              </a:r>
              <a:r>
                <a:rPr lang="pt-PT" sz="2800" b="0" i="0">
                  <a:latin typeface="Cambria Math" panose="02040503050406030204" pitchFamily="18" charset="0"/>
                </a:rPr>
                <a:t>)〗^(−1)=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14</xdr:col>
      <xdr:colOff>571501</xdr:colOff>
      <xdr:row>136</xdr:row>
      <xdr:rowOff>108857</xdr:rowOff>
    </xdr:from>
    <xdr:to>
      <xdr:col>15</xdr:col>
      <xdr:colOff>286285</xdr:colOff>
      <xdr:row>142</xdr:row>
      <xdr:rowOff>54429</xdr:rowOff>
    </xdr:to>
    <xdr:sp macro="" textlink="">
      <xdr:nvSpPr>
        <xdr:cNvPr id="13" name="Parêntese esquerdo 12">
          <a:extLst>
            <a:ext uri="{FF2B5EF4-FFF2-40B4-BE49-F238E27FC236}">
              <a16:creationId xmlns:a16="http://schemas.microsoft.com/office/drawing/2014/main" id="{F9567FA6-C49C-44BE-96D0-7CEE0F21C8AB}"/>
            </a:ext>
          </a:extLst>
        </xdr:cNvPr>
        <xdr:cNvSpPr/>
      </xdr:nvSpPr>
      <xdr:spPr>
        <a:xfrm>
          <a:off x="11171465" y="22315714"/>
          <a:ext cx="327106" cy="92528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18</xdr:col>
      <xdr:colOff>421822</xdr:colOff>
      <xdr:row>136</xdr:row>
      <xdr:rowOff>54427</xdr:rowOff>
    </xdr:from>
    <xdr:to>
      <xdr:col>19</xdr:col>
      <xdr:colOff>136607</xdr:colOff>
      <xdr:row>141</xdr:row>
      <xdr:rowOff>163284</xdr:rowOff>
    </xdr:to>
    <xdr:sp macro="" textlink="">
      <xdr:nvSpPr>
        <xdr:cNvPr id="14" name="Parêntese esquerdo 13">
          <a:extLst>
            <a:ext uri="{FF2B5EF4-FFF2-40B4-BE49-F238E27FC236}">
              <a16:creationId xmlns:a16="http://schemas.microsoft.com/office/drawing/2014/main" id="{532C403A-DFBD-4C4E-B354-1D23FED2FE5F}"/>
            </a:ext>
          </a:extLst>
        </xdr:cNvPr>
        <xdr:cNvSpPr/>
      </xdr:nvSpPr>
      <xdr:spPr>
        <a:xfrm flipH="1">
          <a:off x="13471072" y="22261284"/>
          <a:ext cx="327106" cy="92528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21</xdr:col>
      <xdr:colOff>54429</xdr:colOff>
      <xdr:row>137</xdr:row>
      <xdr:rowOff>13607</xdr:rowOff>
    </xdr:from>
    <xdr:ext cx="1393395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A8C1E6E5-29FA-46FB-8C35-84AC72B93B8F}"/>
                </a:ext>
              </a:extLst>
            </xdr:cNvPr>
            <xdr:cNvSpPr txBox="1"/>
          </xdr:nvSpPr>
          <xdr:spPr>
            <a:xfrm>
              <a:off x="14940643" y="22383750"/>
              <a:ext cx="139339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A8C1E6E5-29FA-46FB-8C35-84AC72B93B8F}"/>
                </a:ext>
              </a:extLst>
            </xdr:cNvPr>
            <xdr:cNvSpPr txBox="1"/>
          </xdr:nvSpPr>
          <xdr:spPr>
            <a:xfrm>
              <a:off x="14940643" y="22383750"/>
              <a:ext cx="139339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𝑋^𝑡∗𝑌=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24</xdr:col>
      <xdr:colOff>13607</xdr:colOff>
      <xdr:row>135</xdr:row>
      <xdr:rowOff>40822</xdr:rowOff>
    </xdr:from>
    <xdr:to>
      <xdr:col>24</xdr:col>
      <xdr:colOff>340713</xdr:colOff>
      <xdr:row>140</xdr:row>
      <xdr:rowOff>149679</xdr:rowOff>
    </xdr:to>
    <xdr:sp macro="" textlink="">
      <xdr:nvSpPr>
        <xdr:cNvPr id="16" name="Parêntese esquerdo 15">
          <a:extLst>
            <a:ext uri="{FF2B5EF4-FFF2-40B4-BE49-F238E27FC236}">
              <a16:creationId xmlns:a16="http://schemas.microsoft.com/office/drawing/2014/main" id="{58D0A877-BED3-488B-9278-5E47ED805C38}"/>
            </a:ext>
          </a:extLst>
        </xdr:cNvPr>
        <xdr:cNvSpPr/>
      </xdr:nvSpPr>
      <xdr:spPr>
        <a:xfrm>
          <a:off x="16736786" y="22084393"/>
          <a:ext cx="327106" cy="92528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24</xdr:col>
      <xdr:colOff>476250</xdr:colOff>
      <xdr:row>135</xdr:row>
      <xdr:rowOff>40822</xdr:rowOff>
    </xdr:from>
    <xdr:to>
      <xdr:col>25</xdr:col>
      <xdr:colOff>95785</xdr:colOff>
      <xdr:row>140</xdr:row>
      <xdr:rowOff>149679</xdr:rowOff>
    </xdr:to>
    <xdr:sp macro="" textlink="">
      <xdr:nvSpPr>
        <xdr:cNvPr id="17" name="Parêntese esquerdo 16">
          <a:extLst>
            <a:ext uri="{FF2B5EF4-FFF2-40B4-BE49-F238E27FC236}">
              <a16:creationId xmlns:a16="http://schemas.microsoft.com/office/drawing/2014/main" id="{CCC2C05D-4D41-42E6-B3DB-8C2DCFE8E555}"/>
            </a:ext>
          </a:extLst>
        </xdr:cNvPr>
        <xdr:cNvSpPr/>
      </xdr:nvSpPr>
      <xdr:spPr>
        <a:xfrm flipH="1">
          <a:off x="17199429" y="22084393"/>
          <a:ext cx="327106" cy="92528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26</xdr:col>
      <xdr:colOff>312964</xdr:colOff>
      <xdr:row>136</xdr:row>
      <xdr:rowOff>149679</xdr:rowOff>
    </xdr:from>
    <xdr:ext cx="3957494" cy="445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8653243-2096-49E1-A8D4-32DE5364BE27}"/>
                </a:ext>
              </a:extLst>
            </xdr:cNvPr>
            <xdr:cNvSpPr txBox="1"/>
          </xdr:nvSpPr>
          <xdr:spPr>
            <a:xfrm>
              <a:off x="19161258" y="21485679"/>
              <a:ext cx="3957494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2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𝛽</m:t>
                    </m:r>
                    <m:r>
                      <a:rPr lang="pt-PT" sz="2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p>
                        </m:s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𝑌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8653243-2096-49E1-A8D4-32DE5364BE27}"/>
                </a:ext>
              </a:extLst>
            </xdr:cNvPr>
            <xdr:cNvSpPr txBox="1"/>
          </xdr:nvSpPr>
          <xdr:spPr>
            <a:xfrm>
              <a:off x="19161258" y="21485679"/>
              <a:ext cx="3957494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𝛽=</a:t>
              </a:r>
              <a:r>
                <a:rPr lang="pt-PT" sz="2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〖(𝑋^𝑡∗𝑋)〗^(−1)∗𝑋^𝑡∗𝑌</a:t>
              </a:r>
              <a:r>
                <a:rPr lang="pt-PT" sz="2800" b="0" i="0">
                  <a:latin typeface="Cambria Math" panose="02040503050406030204" pitchFamily="18" charset="0"/>
                </a:rPr>
                <a:t>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33</xdr:col>
      <xdr:colOff>13607</xdr:colOff>
      <xdr:row>135</xdr:row>
      <xdr:rowOff>68037</xdr:rowOff>
    </xdr:from>
    <xdr:to>
      <xdr:col>33</xdr:col>
      <xdr:colOff>340713</xdr:colOff>
      <xdr:row>141</xdr:row>
      <xdr:rowOff>13608</xdr:rowOff>
    </xdr:to>
    <xdr:sp macro="" textlink="">
      <xdr:nvSpPr>
        <xdr:cNvPr id="19" name="Parêntese esquerdo 18">
          <a:extLst>
            <a:ext uri="{FF2B5EF4-FFF2-40B4-BE49-F238E27FC236}">
              <a16:creationId xmlns:a16="http://schemas.microsoft.com/office/drawing/2014/main" id="{79E9DB08-91DB-43CC-AEC2-591392552DF8}"/>
            </a:ext>
          </a:extLst>
        </xdr:cNvPr>
        <xdr:cNvSpPr/>
      </xdr:nvSpPr>
      <xdr:spPr>
        <a:xfrm>
          <a:off x="22342928" y="22111608"/>
          <a:ext cx="327106" cy="92528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33</xdr:col>
      <xdr:colOff>721180</xdr:colOff>
      <xdr:row>135</xdr:row>
      <xdr:rowOff>54429</xdr:rowOff>
    </xdr:from>
    <xdr:to>
      <xdr:col>34</xdr:col>
      <xdr:colOff>177428</xdr:colOff>
      <xdr:row>141</xdr:row>
      <xdr:rowOff>0</xdr:rowOff>
    </xdr:to>
    <xdr:sp macro="" textlink="">
      <xdr:nvSpPr>
        <xdr:cNvPr id="20" name="Parêntese esquerdo 19">
          <a:extLst>
            <a:ext uri="{FF2B5EF4-FFF2-40B4-BE49-F238E27FC236}">
              <a16:creationId xmlns:a16="http://schemas.microsoft.com/office/drawing/2014/main" id="{2AFBF986-EEBF-413F-B915-45B9549AC774}"/>
            </a:ext>
          </a:extLst>
        </xdr:cNvPr>
        <xdr:cNvSpPr/>
      </xdr:nvSpPr>
      <xdr:spPr>
        <a:xfrm flipH="1">
          <a:off x="23050501" y="22098000"/>
          <a:ext cx="327106" cy="92528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18</xdr:col>
      <xdr:colOff>176892</xdr:colOff>
      <xdr:row>66</xdr:row>
      <xdr:rowOff>13607</xdr:rowOff>
    </xdr:from>
    <xdr:ext cx="832883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4236BD8B-8C90-4B5C-9906-D1EAE3181223}"/>
                </a:ext>
              </a:extLst>
            </xdr:cNvPr>
            <xdr:cNvSpPr txBox="1"/>
          </xdr:nvSpPr>
          <xdr:spPr>
            <a:xfrm>
              <a:off x="13226142" y="10790464"/>
              <a:ext cx="832883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4236BD8B-8C90-4B5C-9906-D1EAE3181223}"/>
                </a:ext>
              </a:extLst>
            </xdr:cNvPr>
            <xdr:cNvSpPr txBox="1"/>
          </xdr:nvSpPr>
          <xdr:spPr>
            <a:xfrm>
              <a:off x="13226142" y="10790464"/>
              <a:ext cx="832883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𝑌^𝑡=</a:t>
              </a:r>
              <a:endParaRPr lang="pt-PT" sz="2800"/>
            </a:p>
          </xdr:txBody>
        </xdr:sp>
      </mc:Fallback>
    </mc:AlternateContent>
    <xdr:clientData/>
  </xdr:oneCellAnchor>
  <xdr:oneCellAnchor>
    <xdr:from>
      <xdr:col>12</xdr:col>
      <xdr:colOff>22411</xdr:colOff>
      <xdr:row>154</xdr:row>
      <xdr:rowOff>134470</xdr:rowOff>
    </xdr:from>
    <xdr:ext cx="806824" cy="2129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CE09EF6-92CB-4A27-9AD9-65D518D468B4}"/>
                </a:ext>
              </a:extLst>
            </xdr:cNvPr>
            <xdr:cNvSpPr txBox="1"/>
          </xdr:nvSpPr>
          <xdr:spPr>
            <a:xfrm>
              <a:off x="9368117" y="24462441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CE09EF6-92CB-4A27-9AD9-65D518D468B4}"/>
                </a:ext>
              </a:extLst>
            </xdr:cNvPr>
            <xdr:cNvSpPr txBox="1"/>
          </xdr:nvSpPr>
          <xdr:spPr>
            <a:xfrm>
              <a:off x="9368117" y="24462441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493058</xdr:colOff>
      <xdr:row>156</xdr:row>
      <xdr:rowOff>145677</xdr:rowOff>
    </xdr:from>
    <xdr:ext cx="806824" cy="2129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4D57DB30-CEF8-4A22-ADA2-6A8520B5978A}"/>
                </a:ext>
              </a:extLst>
            </xdr:cNvPr>
            <xdr:cNvSpPr txBox="1"/>
          </xdr:nvSpPr>
          <xdr:spPr>
            <a:xfrm>
              <a:off x="9233646" y="24787412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4D57DB30-CEF8-4A22-ADA2-6A8520B5978A}"/>
                </a:ext>
              </a:extLst>
            </xdr:cNvPr>
            <xdr:cNvSpPr txBox="1"/>
          </xdr:nvSpPr>
          <xdr:spPr>
            <a:xfrm>
              <a:off x="9233646" y="24787412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459442</xdr:colOff>
      <xdr:row>151</xdr:row>
      <xdr:rowOff>0</xdr:rowOff>
    </xdr:from>
    <xdr:ext cx="1320800" cy="3556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26B96014-82C5-4F01-8105-4C7B9E0F5281}"/>
                </a:ext>
              </a:extLst>
            </xdr:cNvPr>
            <xdr:cNvSpPr txBox="1"/>
          </xdr:nvSpPr>
          <xdr:spPr>
            <a:xfrm>
              <a:off x="1145242" y="25107900"/>
              <a:ext cx="13208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𝑛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26B96014-82C5-4F01-8105-4C7B9E0F5281}"/>
                </a:ext>
              </a:extLst>
            </xdr:cNvPr>
            <xdr:cNvSpPr txBox="1"/>
          </xdr:nvSpPr>
          <xdr:spPr>
            <a:xfrm>
              <a:off x="1145242" y="25107900"/>
              <a:ext cx="13208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〖𝑆𝑄〗_𝑇=𝑌^𝑇 𝑌−𝑛𝑦 ̅^2=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280146</xdr:colOff>
      <xdr:row>152</xdr:row>
      <xdr:rowOff>123265</xdr:rowOff>
    </xdr:from>
    <xdr:ext cx="1549400" cy="3810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1D64DFE8-79C3-4449-B124-EB1DE61328CD}"/>
                </a:ext>
              </a:extLst>
            </xdr:cNvPr>
            <xdr:cNvSpPr txBox="1"/>
          </xdr:nvSpPr>
          <xdr:spPr>
            <a:xfrm>
              <a:off x="965946" y="25393090"/>
              <a:ext cx="1549400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𝑛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1D64DFE8-79C3-4449-B124-EB1DE61328CD}"/>
                </a:ext>
              </a:extLst>
            </xdr:cNvPr>
            <xdr:cNvSpPr txBox="1"/>
          </xdr:nvSpPr>
          <xdr:spPr>
            <a:xfrm>
              <a:off x="965946" y="25393090"/>
              <a:ext cx="1549400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〖𝑆𝑄〗_𝑅=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𝑌−𝑛𝑦 ̅^2=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268942</xdr:colOff>
      <xdr:row>154</xdr:row>
      <xdr:rowOff>123264</xdr:rowOff>
    </xdr:from>
    <xdr:ext cx="1549400" cy="2635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B393599-9BB3-46A8-8374-93D0965B27C5}"/>
                </a:ext>
              </a:extLst>
            </xdr:cNvPr>
            <xdr:cNvSpPr txBox="1"/>
          </xdr:nvSpPr>
          <xdr:spPr>
            <a:xfrm>
              <a:off x="954742" y="25783614"/>
              <a:ext cx="1549400" cy="2635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𝐸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B393599-9BB3-46A8-8374-93D0965B27C5}"/>
                </a:ext>
              </a:extLst>
            </xdr:cNvPr>
            <xdr:cNvSpPr txBox="1"/>
          </xdr:nvSpPr>
          <xdr:spPr>
            <a:xfrm>
              <a:off x="954742" y="25783614"/>
              <a:ext cx="1549400" cy="2635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〖𝑆𝑄〗_𝐸=𝑌^𝑇 𝑌−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190500</xdr:colOff>
      <xdr:row>163</xdr:row>
      <xdr:rowOff>123263</xdr:rowOff>
    </xdr:from>
    <xdr:ext cx="818030" cy="5042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577D82A-72A7-4DD4-A680-608B1BCC674F}"/>
                </a:ext>
              </a:extLst>
            </xdr:cNvPr>
            <xdr:cNvSpPr txBox="1"/>
          </xdr:nvSpPr>
          <xdr:spPr>
            <a:xfrm>
              <a:off x="1676400" y="27240938"/>
              <a:ext cx="818030" cy="5042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𝑀</m:t>
                        </m:r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𝑀𝑄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577D82A-72A7-4DD4-A680-608B1BCC674F}"/>
                </a:ext>
              </a:extLst>
            </xdr:cNvPr>
            <xdr:cNvSpPr txBox="1"/>
          </xdr:nvSpPr>
          <xdr:spPr>
            <a:xfrm>
              <a:off x="1676400" y="27240938"/>
              <a:ext cx="818030" cy="5042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𝐹_0=(𝑀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𝑄_𝑅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〖𝑀𝑄〗_𝐸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22412</xdr:colOff>
      <xdr:row>157</xdr:row>
      <xdr:rowOff>67236</xdr:rowOff>
    </xdr:from>
    <xdr:ext cx="1053353" cy="3922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D30CA3-1CDE-4CF0-81C2-A0E1A06E08E0}"/>
                </a:ext>
              </a:extLst>
            </xdr:cNvPr>
            <xdr:cNvSpPr txBox="1"/>
          </xdr:nvSpPr>
          <xdr:spPr>
            <a:xfrm>
              <a:off x="1508312" y="26213361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𝑀</m:t>
                    </m:r>
                    <m:sSub>
                      <m:sSubPr>
                        <m:ctrlP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𝑄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𝑅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𝑔𝑙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D30CA3-1CDE-4CF0-81C2-A0E1A06E08E0}"/>
                </a:ext>
              </a:extLst>
            </xdr:cNvPr>
            <xdr:cNvSpPr txBox="1"/>
          </xdr:nvSpPr>
          <xdr:spPr>
            <a:xfrm>
              <a:off x="1508312" y="26213361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𝑀𝑄_𝑅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〖𝑆𝑄〗_𝑅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〖𝑔𝑙〗_𝑅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761999</xdr:colOff>
      <xdr:row>160</xdr:row>
      <xdr:rowOff>67236</xdr:rowOff>
    </xdr:from>
    <xdr:ext cx="1053353" cy="3922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4DFE9935-8A13-4EAB-9960-836E557E26A9}"/>
                </a:ext>
              </a:extLst>
            </xdr:cNvPr>
            <xdr:cNvSpPr txBox="1"/>
          </xdr:nvSpPr>
          <xdr:spPr>
            <a:xfrm>
              <a:off x="1447799" y="2669913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𝑀</m:t>
                    </m:r>
                    <m:sSub>
                      <m:sSubPr>
                        <m:ctrlP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𝑄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𝐸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𝑔𝑙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4DFE9935-8A13-4EAB-9960-836E557E26A9}"/>
                </a:ext>
              </a:extLst>
            </xdr:cNvPr>
            <xdr:cNvSpPr txBox="1"/>
          </xdr:nvSpPr>
          <xdr:spPr>
            <a:xfrm>
              <a:off x="1447799" y="2669913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𝑀𝑄_𝐸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〖𝑆𝑄〗_𝐸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〖𝑔𝑙〗_𝐸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twoCellAnchor editAs="oneCell">
    <xdr:from>
      <xdr:col>0</xdr:col>
      <xdr:colOff>100852</xdr:colOff>
      <xdr:row>180</xdr:row>
      <xdr:rowOff>33617</xdr:rowOff>
    </xdr:from>
    <xdr:to>
      <xdr:col>4</xdr:col>
      <xdr:colOff>244759</xdr:colOff>
      <xdr:row>183</xdr:row>
      <xdr:rowOff>96444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1F880DD5-DCEA-4798-92AD-BE8C81DB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52" y="29942117"/>
          <a:ext cx="3382407" cy="548602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123265</xdr:colOff>
      <xdr:row>176</xdr:row>
      <xdr:rowOff>123264</xdr:rowOff>
    </xdr:from>
    <xdr:to>
      <xdr:col>2</xdr:col>
      <xdr:colOff>406448</xdr:colOff>
      <xdr:row>179</xdr:row>
      <xdr:rowOff>147986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BEF4A774-2305-4A6A-9194-6E056E7B6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5" y="29384064"/>
          <a:ext cx="1683358" cy="510497"/>
        </a:xfrm>
        <a:prstGeom prst="rect">
          <a:avLst/>
        </a:prstGeom>
      </xdr:spPr>
    </xdr:pic>
    <xdr:clientData/>
  </xdr:twoCellAnchor>
  <xdr:oneCellAnchor>
    <xdr:from>
      <xdr:col>4</xdr:col>
      <xdr:colOff>280147</xdr:colOff>
      <xdr:row>189</xdr:row>
      <xdr:rowOff>89647</xdr:rowOff>
    </xdr:from>
    <xdr:ext cx="4616823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4153715-B146-4867-AB11-09502AFA88B0}"/>
                </a:ext>
              </a:extLst>
            </xdr:cNvPr>
            <xdr:cNvSpPr txBox="1"/>
          </xdr:nvSpPr>
          <xdr:spPr>
            <a:xfrm>
              <a:off x="3642472" y="31474522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=0, 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𝑘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=2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4153715-B146-4867-AB11-09502AFA88B0}"/>
                </a:ext>
              </a:extLst>
            </xdr:cNvPr>
            <xdr:cNvSpPr txBox="1"/>
          </xdr:nvSpPr>
          <xdr:spPr>
            <a:xfrm>
              <a:off x="3642472" y="31474522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600" b="0" i="0">
                  <a:latin typeface="Cambria Math" panose="02040503050406030204" pitchFamily="18" charset="0"/>
                </a:rPr>
                <a:t>0=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𝛽_1=𝛽_2=𝛽_3=0, 𝑘=2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4</xdr:col>
      <xdr:colOff>280147</xdr:colOff>
      <xdr:row>191</xdr:row>
      <xdr:rowOff>112059</xdr:rowOff>
    </xdr:from>
    <xdr:ext cx="4616823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B89E8735-9F6B-4797-8599-B605F03763C3}"/>
                </a:ext>
              </a:extLst>
            </xdr:cNvPr>
            <xdr:cNvSpPr txBox="1"/>
          </xdr:nvSpPr>
          <xdr:spPr>
            <a:xfrm>
              <a:off x="3642472" y="31820784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2=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𝑗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𝑝𝑎𝑟𝑎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𝑎𝑙𝑔𝑢𝑚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𝑗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, 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𝑗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=1,2,3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B89E8735-9F6B-4797-8599-B605F03763C3}"/>
                </a:ext>
              </a:extLst>
            </xdr:cNvPr>
            <xdr:cNvSpPr txBox="1"/>
          </xdr:nvSpPr>
          <xdr:spPr>
            <a:xfrm>
              <a:off x="3642472" y="31820784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𝐻2=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𝛽_𝑗≠0 𝑝𝑎𝑟𝑎 𝑎𝑙𝑔𝑢𝑚 𝑗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, 𝑗=1,2,3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4</xdr:col>
      <xdr:colOff>459442</xdr:colOff>
      <xdr:row>197</xdr:row>
      <xdr:rowOff>125505</xdr:rowOff>
    </xdr:from>
    <xdr:ext cx="6633882" cy="27404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6BD846A-082C-4349-8192-245BB993A885}"/>
                </a:ext>
              </a:extLst>
            </xdr:cNvPr>
            <xdr:cNvSpPr txBox="1"/>
          </xdr:nvSpPr>
          <xdr:spPr>
            <a:xfrm>
              <a:off x="3821767" y="32815305"/>
              <a:ext cx="6633882" cy="2740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𝐼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.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𝐶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=]</m:t>
                  </m:r>
                  <m:sSub>
                    <m:sSub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𝐽</m:t>
                      </m:r>
                    </m:sub>
                  </m:sSub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/2[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𝑛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+1</m:t>
                      </m:r>
                    </m:e>
                  </m:d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]</m:t>
                  </m:r>
                  <m:rad>
                    <m:radPr>
                      <m:degHide m:val="on"/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𝜎</m:t>
                          </m:r>
                        </m:e>
                        <m:sup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𝐶𝑗𝑗</m:t>
                      </m:r>
                    </m:e>
                  </m:rad>
                </m:oMath>
              </a14:m>
              <a:r>
                <a:rPr lang="pt-PT" sz="1400"/>
                <a:t>,</a:t>
              </a:r>
              <a14:m>
                <m:oMath xmlns:m="http://schemas.openxmlformats.org/officeDocument/2006/math">
                  <m:sSub>
                    <m:sSub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𝐽</m:t>
                      </m:r>
                    </m:sub>
                  </m:sSub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/2[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𝑛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+1</m:t>
                      </m:r>
                    </m:e>
                  </m:d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]</m:t>
                  </m:r>
                  <m:rad>
                    <m:radPr>
                      <m:degHide m:val="on"/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𝜎</m:t>
                          </m:r>
                        </m:e>
                        <m:sup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𝐶𝑗𝑗</m:t>
                      </m:r>
                    </m:e>
                  </m:rad>
                </m:oMath>
              </a14:m>
              <a:r>
                <a:rPr lang="pt-PT" sz="1400"/>
                <a:t>[</a:t>
              </a:r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6BD846A-082C-4349-8192-245BB993A885}"/>
                </a:ext>
              </a:extLst>
            </xdr:cNvPr>
            <xdr:cNvSpPr txBox="1"/>
          </xdr:nvSpPr>
          <xdr:spPr>
            <a:xfrm>
              <a:off x="3821767" y="32815305"/>
              <a:ext cx="6633882" cy="2740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𝐼.𝐶=]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𝛽_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𝐽−𝑇1−𝑎/2[𝑛−(𝑘+1)]√(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 𝐶𝑗𝑗)</a:t>
              </a:r>
              <a:r>
                <a:rPr lang="pt-PT" sz="1400"/>
                <a:t>,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𝛽_𝐽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𝑇1−𝑎/2[𝑛−(𝑘+1)]√(𝜎^2 𝐶𝑗𝑗)</a:t>
              </a:r>
              <a:r>
                <a:rPr lang="pt-PT" sz="1400"/>
                <a:t>[</a:t>
              </a:r>
            </a:p>
          </xdr:txBody>
        </xdr:sp>
      </mc:Fallback>
    </mc:AlternateContent>
    <xdr:clientData/>
  </xdr:oneCellAnchor>
  <xdr:oneCellAnchor>
    <xdr:from>
      <xdr:col>2</xdr:col>
      <xdr:colOff>736227</xdr:colOff>
      <xdr:row>204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B3B91565-68E5-4852-9774-EE3E9957B767}"/>
                </a:ext>
              </a:extLst>
            </xdr:cNvPr>
            <xdr:cNvSpPr txBox="1"/>
          </xdr:nvSpPr>
          <xdr:spPr>
            <a:xfrm>
              <a:off x="2222127" y="338350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B3B91565-68E5-4852-9774-EE3E9957B767}"/>
                </a:ext>
              </a:extLst>
            </xdr:cNvPr>
            <xdr:cNvSpPr txBox="1"/>
          </xdr:nvSpPr>
          <xdr:spPr>
            <a:xfrm>
              <a:off x="2222127" y="3383504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205</xdr:row>
      <xdr:rowOff>145675</xdr:rowOff>
    </xdr:from>
    <xdr:ext cx="288477" cy="172227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24EC3607-D524-42E2-B51A-52DBED9405EC}"/>
            </a:ext>
          </a:extLst>
        </xdr:cNvPr>
        <xdr:cNvSpPr txBox="1"/>
      </xdr:nvSpPr>
      <xdr:spPr>
        <a:xfrm>
          <a:off x="2061882" y="32575499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2</xdr:col>
      <xdr:colOff>736227</xdr:colOff>
      <xdr:row>214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B3D8956C-B0EB-46BD-9606-93798D7DF6A8}"/>
                </a:ext>
              </a:extLst>
            </xdr:cNvPr>
            <xdr:cNvSpPr txBox="1"/>
          </xdr:nvSpPr>
          <xdr:spPr>
            <a:xfrm>
              <a:off x="2136962" y="32275182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B3D8956C-B0EB-46BD-9606-93798D7DF6A8}"/>
                </a:ext>
              </a:extLst>
            </xdr:cNvPr>
            <xdr:cNvSpPr txBox="1"/>
          </xdr:nvSpPr>
          <xdr:spPr>
            <a:xfrm>
              <a:off x="2136962" y="32275182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215</xdr:row>
      <xdr:rowOff>145675</xdr:rowOff>
    </xdr:from>
    <xdr:ext cx="288477" cy="172227"/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5EA787C7-DE61-40B0-9210-7480A5B9193A}"/>
            </a:ext>
          </a:extLst>
        </xdr:cNvPr>
        <xdr:cNvSpPr txBox="1"/>
      </xdr:nvSpPr>
      <xdr:spPr>
        <a:xfrm>
          <a:off x="2061882" y="34166734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2</xdr:col>
      <xdr:colOff>736227</xdr:colOff>
      <xdr:row>224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EF1B75B-5691-40AC-A635-C8EE38AE0BFD}"/>
                </a:ext>
              </a:extLst>
            </xdr:cNvPr>
            <xdr:cNvSpPr txBox="1"/>
          </xdr:nvSpPr>
          <xdr:spPr>
            <a:xfrm>
              <a:off x="2136962" y="3386641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EF1B75B-5691-40AC-A635-C8EE38AE0BFD}"/>
                </a:ext>
              </a:extLst>
            </xdr:cNvPr>
            <xdr:cNvSpPr txBox="1"/>
          </xdr:nvSpPr>
          <xdr:spPr>
            <a:xfrm>
              <a:off x="2136962" y="3386641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225</xdr:row>
      <xdr:rowOff>145675</xdr:rowOff>
    </xdr:from>
    <xdr:ext cx="288477" cy="172227"/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06CC5F18-83DD-46D1-9B7D-2DC7F6D5D699}"/>
            </a:ext>
          </a:extLst>
        </xdr:cNvPr>
        <xdr:cNvSpPr txBox="1"/>
      </xdr:nvSpPr>
      <xdr:spPr>
        <a:xfrm>
          <a:off x="2061882" y="35757969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2</xdr:col>
      <xdr:colOff>736227</xdr:colOff>
      <xdr:row>234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2671138-7EFD-4A1B-9016-732A60F4D5CD}"/>
                </a:ext>
              </a:extLst>
            </xdr:cNvPr>
            <xdr:cNvSpPr txBox="1"/>
          </xdr:nvSpPr>
          <xdr:spPr>
            <a:xfrm>
              <a:off x="2136962" y="35457653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2671138-7EFD-4A1B-9016-732A60F4D5CD}"/>
                </a:ext>
              </a:extLst>
            </xdr:cNvPr>
            <xdr:cNvSpPr txBox="1"/>
          </xdr:nvSpPr>
          <xdr:spPr>
            <a:xfrm>
              <a:off x="2136962" y="35457653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235</xdr:row>
      <xdr:rowOff>145675</xdr:rowOff>
    </xdr:from>
    <xdr:ext cx="288477" cy="172227"/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90504968-BB08-4AC4-B9DC-7910D520C4EF}"/>
            </a:ext>
          </a:extLst>
        </xdr:cNvPr>
        <xdr:cNvSpPr txBox="1"/>
      </xdr:nvSpPr>
      <xdr:spPr>
        <a:xfrm>
          <a:off x="2061882" y="37349204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2</xdr:col>
      <xdr:colOff>534521</xdr:colOff>
      <xdr:row>243</xdr:row>
      <xdr:rowOff>125506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33A375D4-6DD4-C201-C97A-980AE1014CFC}"/>
                </a:ext>
              </a:extLst>
            </xdr:cNvPr>
            <xdr:cNvSpPr txBox="1"/>
          </xdr:nvSpPr>
          <xdr:spPr>
            <a:xfrm>
              <a:off x="1935256" y="38606506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33A375D4-6DD4-C201-C97A-980AE1014CFC}"/>
                </a:ext>
              </a:extLst>
            </xdr:cNvPr>
            <xdr:cNvSpPr txBox="1"/>
          </xdr:nvSpPr>
          <xdr:spPr>
            <a:xfrm>
              <a:off x="1935256" y="38606506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672352</xdr:colOff>
      <xdr:row>245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C2425C4-985D-4F05-A620-D4E120B906F0}"/>
                </a:ext>
              </a:extLst>
            </xdr:cNvPr>
            <xdr:cNvSpPr txBox="1"/>
          </xdr:nvSpPr>
          <xdr:spPr>
            <a:xfrm>
              <a:off x="1277470" y="3892923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C2425C4-985D-4F05-A620-D4E120B906F0}"/>
                </a:ext>
              </a:extLst>
            </xdr:cNvPr>
            <xdr:cNvSpPr txBox="1"/>
          </xdr:nvSpPr>
          <xdr:spPr>
            <a:xfrm>
              <a:off x="1277470" y="3892923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23</xdr:col>
      <xdr:colOff>220044</xdr:colOff>
      <xdr:row>246</xdr:row>
      <xdr:rowOff>8150</xdr:rowOff>
    </xdr:from>
    <xdr:to>
      <xdr:col>32</xdr:col>
      <xdr:colOff>437579</xdr:colOff>
      <xdr:row>249</xdr:row>
      <xdr:rowOff>42398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CE7C1CF8-AB65-C5D5-DC4E-96F09F6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57226" y="38818195"/>
          <a:ext cx="5776671" cy="501839"/>
        </a:xfrm>
        <a:prstGeom prst="rect">
          <a:avLst/>
        </a:prstGeom>
      </xdr:spPr>
    </xdr:pic>
    <xdr:clientData/>
  </xdr:twoCellAnchor>
  <xdr:oneCellAnchor>
    <xdr:from>
      <xdr:col>1</xdr:col>
      <xdr:colOff>694764</xdr:colOff>
      <xdr:row>249</xdr:row>
      <xdr:rowOff>134471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6CCEDE28-1D0B-49E2-B707-45198F23D20E}"/>
                </a:ext>
              </a:extLst>
            </xdr:cNvPr>
            <xdr:cNvSpPr txBox="1"/>
          </xdr:nvSpPr>
          <xdr:spPr>
            <a:xfrm>
              <a:off x="1299882" y="3955676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6CCEDE28-1D0B-49E2-B707-45198F23D20E}"/>
                </a:ext>
              </a:extLst>
            </xdr:cNvPr>
            <xdr:cNvSpPr txBox="1"/>
          </xdr:nvSpPr>
          <xdr:spPr>
            <a:xfrm>
              <a:off x="1299882" y="3955676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𝑥_0^𝑇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∗𝐶𝑥0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616324</xdr:colOff>
      <xdr:row>240</xdr:row>
      <xdr:rowOff>22411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74AF08DC-E503-4742-BE30-587BB08290B8}"/>
                </a:ext>
              </a:extLst>
            </xdr:cNvPr>
            <xdr:cNvSpPr txBox="1"/>
          </xdr:nvSpPr>
          <xdr:spPr>
            <a:xfrm>
              <a:off x="6297706" y="38032764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74AF08DC-E503-4742-BE30-587BB08290B8}"/>
                </a:ext>
              </a:extLst>
            </xdr:cNvPr>
            <xdr:cNvSpPr txBox="1"/>
          </xdr:nvSpPr>
          <xdr:spPr>
            <a:xfrm>
              <a:off x="6297706" y="38032764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0</xdr:colOff>
      <xdr:row>248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8759945E-CE3A-4F44-8650-CCA74D2D78CC}"/>
                </a:ext>
              </a:extLst>
            </xdr:cNvPr>
            <xdr:cNvSpPr txBox="1"/>
          </xdr:nvSpPr>
          <xdr:spPr>
            <a:xfrm>
              <a:off x="1400735" y="39265412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8759945E-CE3A-4F44-8650-CCA74D2D78CC}"/>
                </a:ext>
              </a:extLst>
            </xdr:cNvPr>
            <xdr:cNvSpPr txBox="1"/>
          </xdr:nvSpPr>
          <xdr:spPr>
            <a:xfrm>
              <a:off x="1400735" y="39265412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𝑥_0^𝑇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∗𝐶𝑥0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459440</xdr:colOff>
      <xdr:row>243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4CE54A5B-6C3E-4471-9568-50AE1B6CA252}"/>
                </a:ext>
              </a:extLst>
            </xdr:cNvPr>
            <xdr:cNvSpPr txBox="1"/>
          </xdr:nvSpPr>
          <xdr:spPr>
            <a:xfrm>
              <a:off x="6981264" y="3860426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4CE54A5B-6C3E-4471-9568-50AE1B6CA252}"/>
                </a:ext>
              </a:extLst>
            </xdr:cNvPr>
            <xdr:cNvSpPr txBox="1"/>
          </xdr:nvSpPr>
          <xdr:spPr>
            <a:xfrm>
              <a:off x="6981264" y="3860426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534521</xdr:colOff>
      <xdr:row>257</xdr:row>
      <xdr:rowOff>125506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ED3A3FF8-1920-458E-BFF5-2B13722BC2A7}"/>
                </a:ext>
              </a:extLst>
            </xdr:cNvPr>
            <xdr:cNvSpPr txBox="1"/>
          </xdr:nvSpPr>
          <xdr:spPr>
            <a:xfrm>
              <a:off x="1935256" y="38606506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ED3A3FF8-1920-458E-BFF5-2B13722BC2A7}"/>
                </a:ext>
              </a:extLst>
            </xdr:cNvPr>
            <xdr:cNvSpPr txBox="1"/>
          </xdr:nvSpPr>
          <xdr:spPr>
            <a:xfrm>
              <a:off x="1935256" y="38606506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672352</xdr:colOff>
      <xdr:row>259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C62ADBA4-F94B-4940-B3F5-3E6CF1312D82}"/>
                </a:ext>
              </a:extLst>
            </xdr:cNvPr>
            <xdr:cNvSpPr txBox="1"/>
          </xdr:nvSpPr>
          <xdr:spPr>
            <a:xfrm>
              <a:off x="1277470" y="3892923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C62ADBA4-F94B-4940-B3F5-3E6CF1312D82}"/>
                </a:ext>
              </a:extLst>
            </xdr:cNvPr>
            <xdr:cNvSpPr txBox="1"/>
          </xdr:nvSpPr>
          <xdr:spPr>
            <a:xfrm>
              <a:off x="1277470" y="3892923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369794</xdr:colOff>
      <xdr:row>264</xdr:row>
      <xdr:rowOff>11206</xdr:rowOff>
    </xdr:from>
    <xdr:ext cx="1389529" cy="235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2C11AF8B-2025-4A26-89C5-DA7B67FA4FC5}"/>
                </a:ext>
              </a:extLst>
            </xdr:cNvPr>
            <xdr:cNvSpPr txBox="1"/>
          </xdr:nvSpPr>
          <xdr:spPr>
            <a:xfrm>
              <a:off x="974912" y="41853971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∗(1+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0)=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2C11AF8B-2025-4A26-89C5-DA7B67FA4FC5}"/>
                </a:ext>
              </a:extLst>
            </xdr:cNvPr>
            <xdr:cNvSpPr txBox="1"/>
          </xdr:nvSpPr>
          <xdr:spPr>
            <a:xfrm>
              <a:off x="974912" y="41853971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2∗(1+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616324</xdr:colOff>
      <xdr:row>254</xdr:row>
      <xdr:rowOff>22411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7FD147C8-B0D6-4A1C-951E-3E41F54A6A1F}"/>
                </a:ext>
              </a:extLst>
            </xdr:cNvPr>
            <xdr:cNvSpPr txBox="1"/>
          </xdr:nvSpPr>
          <xdr:spPr>
            <a:xfrm>
              <a:off x="6297706" y="38032764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7FD147C8-B0D6-4A1C-951E-3E41F54A6A1F}"/>
                </a:ext>
              </a:extLst>
            </xdr:cNvPr>
            <xdr:cNvSpPr txBox="1"/>
          </xdr:nvSpPr>
          <xdr:spPr>
            <a:xfrm>
              <a:off x="6297706" y="38032764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0</xdr:colOff>
      <xdr:row>262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D45CB074-82E2-491A-B229-2B41B58A97A0}"/>
                </a:ext>
              </a:extLst>
            </xdr:cNvPr>
            <xdr:cNvSpPr txBox="1"/>
          </xdr:nvSpPr>
          <xdr:spPr>
            <a:xfrm>
              <a:off x="1400735" y="39265412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D45CB074-82E2-491A-B229-2B41B58A97A0}"/>
                </a:ext>
              </a:extLst>
            </xdr:cNvPr>
            <xdr:cNvSpPr txBox="1"/>
          </xdr:nvSpPr>
          <xdr:spPr>
            <a:xfrm>
              <a:off x="1400735" y="39265412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459440</xdr:colOff>
      <xdr:row>257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AF8D69C-C3FE-4043-8AB3-637F2684CD21}"/>
                </a:ext>
              </a:extLst>
            </xdr:cNvPr>
            <xdr:cNvSpPr txBox="1"/>
          </xdr:nvSpPr>
          <xdr:spPr>
            <a:xfrm>
              <a:off x="6981264" y="3860426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AF8D69C-C3FE-4043-8AB3-637F2684CD21}"/>
                </a:ext>
              </a:extLst>
            </xdr:cNvPr>
            <xdr:cNvSpPr txBox="1"/>
          </xdr:nvSpPr>
          <xdr:spPr>
            <a:xfrm>
              <a:off x="6981264" y="38604264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24</xdr:col>
      <xdr:colOff>21394</xdr:colOff>
      <xdr:row>259</xdr:row>
      <xdr:rowOff>68253</xdr:rowOff>
    </xdr:from>
    <xdr:to>
      <xdr:col>33</xdr:col>
      <xdr:colOff>324665</xdr:colOff>
      <xdr:row>262</xdr:row>
      <xdr:rowOff>54870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8B310964-E756-57E2-BF55-6C5105DEE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64712" y="40991117"/>
          <a:ext cx="5862408" cy="454208"/>
        </a:xfrm>
        <a:prstGeom prst="rect">
          <a:avLst/>
        </a:prstGeom>
      </xdr:spPr>
    </xdr:pic>
    <xdr:clientData/>
  </xdr:twoCellAnchor>
  <xdr:twoCellAnchor editAs="oneCell">
    <xdr:from>
      <xdr:col>24</xdr:col>
      <xdr:colOff>409525</xdr:colOff>
      <xdr:row>268</xdr:row>
      <xdr:rowOff>37693</xdr:rowOff>
    </xdr:from>
    <xdr:to>
      <xdr:col>33</xdr:col>
      <xdr:colOff>330725</xdr:colOff>
      <xdr:row>283</xdr:row>
      <xdr:rowOff>141231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88ADC02C-A067-F06B-DAFB-C4844B3B5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52843" y="42449920"/>
          <a:ext cx="5480337" cy="2441493"/>
        </a:xfrm>
        <a:prstGeom prst="rect">
          <a:avLst/>
        </a:prstGeom>
      </xdr:spPr>
    </xdr:pic>
    <xdr:clientData/>
  </xdr:twoCellAnchor>
  <xdr:oneCellAnchor>
    <xdr:from>
      <xdr:col>1</xdr:col>
      <xdr:colOff>212913</xdr:colOff>
      <xdr:row>268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6C79AA55-6139-44A6-B1FD-2A38369000A1}"/>
                </a:ext>
              </a:extLst>
            </xdr:cNvPr>
            <xdr:cNvSpPr txBox="1"/>
          </xdr:nvSpPr>
          <xdr:spPr>
            <a:xfrm>
              <a:off x="818031" y="4263838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6C79AA55-6139-44A6-B1FD-2A38369000A1}"/>
                </a:ext>
              </a:extLst>
            </xdr:cNvPr>
            <xdr:cNvSpPr txBox="1"/>
          </xdr:nvSpPr>
          <xdr:spPr>
            <a:xfrm>
              <a:off x="818031" y="4263838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𝐻0:𝐵_0=0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270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7C124578-AC29-4939-ABE6-E579BE4E42DD}"/>
                </a:ext>
              </a:extLst>
            </xdr:cNvPr>
            <xdr:cNvSpPr txBox="1"/>
          </xdr:nvSpPr>
          <xdr:spPr>
            <a:xfrm>
              <a:off x="829235" y="42974558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7C124578-AC29-4939-ABE6-E579BE4E42DD}"/>
                </a:ext>
              </a:extLst>
            </xdr:cNvPr>
            <xdr:cNvSpPr txBox="1"/>
          </xdr:nvSpPr>
          <xdr:spPr>
            <a:xfrm>
              <a:off x="829235" y="42974558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𝐻1:𝐵_0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273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37A52635-FFBD-4725-9C0A-40113166EE7C}"/>
                </a:ext>
              </a:extLst>
            </xdr:cNvPr>
            <xdr:cNvSpPr txBox="1"/>
          </xdr:nvSpPr>
          <xdr:spPr>
            <a:xfrm>
              <a:off x="1053354" y="4345641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37A52635-FFBD-4725-9C0A-40113166EE7C}"/>
                </a:ext>
              </a:extLst>
            </xdr:cNvPr>
            <xdr:cNvSpPr txBox="1"/>
          </xdr:nvSpPr>
          <xdr:spPr>
            <a:xfrm>
              <a:off x="1053354" y="4345641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268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442C394-065A-2754-E1B4-1F48B797CB6B}"/>
                </a:ext>
              </a:extLst>
            </xdr:cNvPr>
            <xdr:cNvSpPr txBox="1"/>
          </xdr:nvSpPr>
          <xdr:spPr>
            <a:xfrm>
              <a:off x="2431676" y="42629418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00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442C394-065A-2754-E1B4-1F48B797CB6B}"/>
                </a:ext>
              </a:extLst>
            </xdr:cNvPr>
            <xdr:cNvSpPr txBox="1"/>
          </xdr:nvSpPr>
          <xdr:spPr>
            <a:xfrm>
              <a:off x="2431676" y="42629418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400" b="0" i="0">
                  <a:latin typeface="Cambria Math" panose="02040503050406030204" pitchFamily="18" charset="0"/>
                </a:rPr>
                <a:t>0 ) ̂/√(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400" b="0" i="0">
                  <a:latin typeface="Cambria Math" panose="02040503050406030204" pitchFamily="18" charset="0"/>
                </a:rPr>
                <a:t>2∗𝐶_00 )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270</xdr:row>
      <xdr:rowOff>145675</xdr:rowOff>
    </xdr:from>
    <xdr:ext cx="288477" cy="172227"/>
    <xdr:sp macro="" textlink="">
      <xdr:nvSpPr>
        <xdr:cNvPr id="70" name="CaixaDeTexto 69">
          <a:extLst>
            <a:ext uri="{FF2B5EF4-FFF2-40B4-BE49-F238E27FC236}">
              <a16:creationId xmlns:a16="http://schemas.microsoft.com/office/drawing/2014/main" id="{5BB90E96-20EE-4DB6-96B2-382BCE32C2CF}"/>
            </a:ext>
          </a:extLst>
        </xdr:cNvPr>
        <xdr:cNvSpPr txBox="1"/>
      </xdr:nvSpPr>
      <xdr:spPr>
        <a:xfrm>
          <a:off x="5412441" y="42996969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</xdr:col>
      <xdr:colOff>212913</xdr:colOff>
      <xdr:row>286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9C0C824F-028B-4FB0-9B37-06826DA3DAB5}"/>
                </a:ext>
              </a:extLst>
            </xdr:cNvPr>
            <xdr:cNvSpPr txBox="1"/>
          </xdr:nvSpPr>
          <xdr:spPr>
            <a:xfrm>
              <a:off x="818031" y="4263838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9C0C824F-028B-4FB0-9B37-06826DA3DAB5}"/>
                </a:ext>
              </a:extLst>
            </xdr:cNvPr>
            <xdr:cNvSpPr txBox="1"/>
          </xdr:nvSpPr>
          <xdr:spPr>
            <a:xfrm>
              <a:off x="818031" y="4263838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𝐻0:𝐵_1=0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288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B2951FC-C8EC-4A7C-B1A2-CE0C0E84A49D}"/>
                </a:ext>
              </a:extLst>
            </xdr:cNvPr>
            <xdr:cNvSpPr txBox="1"/>
          </xdr:nvSpPr>
          <xdr:spPr>
            <a:xfrm>
              <a:off x="829235" y="42974558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B2951FC-C8EC-4A7C-B1A2-CE0C0E84A49D}"/>
                </a:ext>
              </a:extLst>
            </xdr:cNvPr>
            <xdr:cNvSpPr txBox="1"/>
          </xdr:nvSpPr>
          <xdr:spPr>
            <a:xfrm>
              <a:off x="829235" y="42974558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𝐻1:𝐵_1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291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D633A605-9E23-404C-9AB1-E281F23B2975}"/>
                </a:ext>
              </a:extLst>
            </xdr:cNvPr>
            <xdr:cNvSpPr txBox="1"/>
          </xdr:nvSpPr>
          <xdr:spPr>
            <a:xfrm>
              <a:off x="1053354" y="4345641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D633A605-9E23-404C-9AB1-E281F23B2975}"/>
                </a:ext>
              </a:extLst>
            </xdr:cNvPr>
            <xdr:cNvSpPr txBox="1"/>
          </xdr:nvSpPr>
          <xdr:spPr>
            <a:xfrm>
              <a:off x="1053354" y="4345641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286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D8026CE-333F-41B8-9912-A4A5F2C62612}"/>
                </a:ext>
              </a:extLst>
            </xdr:cNvPr>
            <xdr:cNvSpPr txBox="1"/>
          </xdr:nvSpPr>
          <xdr:spPr>
            <a:xfrm>
              <a:off x="2431676" y="42629418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D8026CE-333F-41B8-9912-A4A5F2C62612}"/>
                </a:ext>
              </a:extLst>
            </xdr:cNvPr>
            <xdr:cNvSpPr txBox="1"/>
          </xdr:nvSpPr>
          <xdr:spPr>
            <a:xfrm>
              <a:off x="2431676" y="42629418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𝛽_1 )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2∗𝐶_11 )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288</xdr:row>
      <xdr:rowOff>145675</xdr:rowOff>
    </xdr:from>
    <xdr:ext cx="288477" cy="172227"/>
    <xdr:sp macro="" textlink="">
      <xdr:nvSpPr>
        <xdr:cNvPr id="76" name="CaixaDeTexto 75">
          <a:extLst>
            <a:ext uri="{FF2B5EF4-FFF2-40B4-BE49-F238E27FC236}">
              <a16:creationId xmlns:a16="http://schemas.microsoft.com/office/drawing/2014/main" id="{DDFD4F2C-EAE4-427A-ABAC-77BCC1706B65}"/>
            </a:ext>
          </a:extLst>
        </xdr:cNvPr>
        <xdr:cNvSpPr txBox="1"/>
      </xdr:nvSpPr>
      <xdr:spPr>
        <a:xfrm>
          <a:off x="5412441" y="45843263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</xdr:col>
      <xdr:colOff>212913</xdr:colOff>
      <xdr:row>304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F1377FE8-5F35-426A-8921-B8B1970A9FDA}"/>
                </a:ext>
              </a:extLst>
            </xdr:cNvPr>
            <xdr:cNvSpPr txBox="1"/>
          </xdr:nvSpPr>
          <xdr:spPr>
            <a:xfrm>
              <a:off x="818031" y="4263838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F1377FE8-5F35-426A-8921-B8B1970A9FDA}"/>
                </a:ext>
              </a:extLst>
            </xdr:cNvPr>
            <xdr:cNvSpPr txBox="1"/>
          </xdr:nvSpPr>
          <xdr:spPr>
            <a:xfrm>
              <a:off x="818031" y="4263838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𝐻0:𝐵_2=0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306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DAFBDEA-841C-4B31-9A82-2CE387494AB2}"/>
                </a:ext>
              </a:extLst>
            </xdr:cNvPr>
            <xdr:cNvSpPr txBox="1"/>
          </xdr:nvSpPr>
          <xdr:spPr>
            <a:xfrm>
              <a:off x="829235" y="42974558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DAFBDEA-841C-4B31-9A82-2CE387494AB2}"/>
                </a:ext>
              </a:extLst>
            </xdr:cNvPr>
            <xdr:cNvSpPr txBox="1"/>
          </xdr:nvSpPr>
          <xdr:spPr>
            <a:xfrm>
              <a:off x="829235" y="42974558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𝐻1:𝐵_2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309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8B91F69-D5D7-4EEC-917D-E109E5B0A456}"/>
                </a:ext>
              </a:extLst>
            </xdr:cNvPr>
            <xdr:cNvSpPr txBox="1"/>
          </xdr:nvSpPr>
          <xdr:spPr>
            <a:xfrm>
              <a:off x="1053354" y="4345641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8B91F69-D5D7-4EEC-917D-E109E5B0A456}"/>
                </a:ext>
              </a:extLst>
            </xdr:cNvPr>
            <xdr:cNvSpPr txBox="1"/>
          </xdr:nvSpPr>
          <xdr:spPr>
            <a:xfrm>
              <a:off x="1053354" y="4345641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304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AA1E6170-8A91-4EE5-80C7-32FEA13918C0}"/>
                </a:ext>
              </a:extLst>
            </xdr:cNvPr>
            <xdr:cNvSpPr txBox="1"/>
          </xdr:nvSpPr>
          <xdr:spPr>
            <a:xfrm>
              <a:off x="2431676" y="42629418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22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AA1E6170-8A91-4EE5-80C7-32FEA13918C0}"/>
                </a:ext>
              </a:extLst>
            </xdr:cNvPr>
            <xdr:cNvSpPr txBox="1"/>
          </xdr:nvSpPr>
          <xdr:spPr>
            <a:xfrm>
              <a:off x="2431676" y="42629418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𝛽_2 )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2∗𝐶_22 )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306</xdr:row>
      <xdr:rowOff>145675</xdr:rowOff>
    </xdr:from>
    <xdr:ext cx="288477" cy="172227"/>
    <xdr:sp macro="" textlink="">
      <xdr:nvSpPr>
        <xdr:cNvPr id="82" name="CaixaDeTexto 81">
          <a:extLst>
            <a:ext uri="{FF2B5EF4-FFF2-40B4-BE49-F238E27FC236}">
              <a16:creationId xmlns:a16="http://schemas.microsoft.com/office/drawing/2014/main" id="{38F9512D-B16A-4212-A6AC-CD7344C7BEE0}"/>
            </a:ext>
          </a:extLst>
        </xdr:cNvPr>
        <xdr:cNvSpPr txBox="1"/>
      </xdr:nvSpPr>
      <xdr:spPr>
        <a:xfrm>
          <a:off x="5412441" y="48689557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</xdr:col>
      <xdr:colOff>212913</xdr:colOff>
      <xdr:row>322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89A5D0F8-87D2-441E-8340-5E86ABD53966}"/>
                </a:ext>
              </a:extLst>
            </xdr:cNvPr>
            <xdr:cNvSpPr txBox="1"/>
          </xdr:nvSpPr>
          <xdr:spPr>
            <a:xfrm>
              <a:off x="818031" y="4263838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89A5D0F8-87D2-441E-8340-5E86ABD53966}"/>
                </a:ext>
              </a:extLst>
            </xdr:cNvPr>
            <xdr:cNvSpPr txBox="1"/>
          </xdr:nvSpPr>
          <xdr:spPr>
            <a:xfrm>
              <a:off x="818031" y="4263838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𝐻0:𝐵_3=0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324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FAE44999-F39E-473D-BA7A-198EA22530CA}"/>
                </a:ext>
              </a:extLst>
            </xdr:cNvPr>
            <xdr:cNvSpPr txBox="1"/>
          </xdr:nvSpPr>
          <xdr:spPr>
            <a:xfrm>
              <a:off x="829235" y="42974558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FAE44999-F39E-473D-BA7A-198EA22530CA}"/>
                </a:ext>
              </a:extLst>
            </xdr:cNvPr>
            <xdr:cNvSpPr txBox="1"/>
          </xdr:nvSpPr>
          <xdr:spPr>
            <a:xfrm>
              <a:off x="829235" y="42974558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𝐻1:𝐵_3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327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11F7E383-68DD-4308-AFF2-74667EC8E44D}"/>
                </a:ext>
              </a:extLst>
            </xdr:cNvPr>
            <xdr:cNvSpPr txBox="1"/>
          </xdr:nvSpPr>
          <xdr:spPr>
            <a:xfrm>
              <a:off x="1053354" y="4345641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11F7E383-68DD-4308-AFF2-74667EC8E44D}"/>
                </a:ext>
              </a:extLst>
            </xdr:cNvPr>
            <xdr:cNvSpPr txBox="1"/>
          </xdr:nvSpPr>
          <xdr:spPr>
            <a:xfrm>
              <a:off x="1053354" y="4345641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322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C90015A4-7DFD-48EE-9428-199E346E3ECC}"/>
                </a:ext>
              </a:extLst>
            </xdr:cNvPr>
            <xdr:cNvSpPr txBox="1"/>
          </xdr:nvSpPr>
          <xdr:spPr>
            <a:xfrm>
              <a:off x="2431676" y="42629418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33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C90015A4-7DFD-48EE-9428-199E346E3ECC}"/>
                </a:ext>
              </a:extLst>
            </xdr:cNvPr>
            <xdr:cNvSpPr txBox="1"/>
          </xdr:nvSpPr>
          <xdr:spPr>
            <a:xfrm>
              <a:off x="2431676" y="42629418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𝛽_3 )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2∗𝐶_33 )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324</xdr:row>
      <xdr:rowOff>145675</xdr:rowOff>
    </xdr:from>
    <xdr:ext cx="288477" cy="172227"/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28965430-8722-41C1-8CF1-C569A46F5D1B}"/>
            </a:ext>
          </a:extLst>
        </xdr:cNvPr>
        <xdr:cNvSpPr txBox="1"/>
      </xdr:nvSpPr>
      <xdr:spPr>
        <a:xfrm>
          <a:off x="5412441" y="51535851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13</xdr:col>
      <xdr:colOff>212913</xdr:colOff>
      <xdr:row>268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F55D3605-E24E-40CA-8F57-7B10E532D1A4}"/>
                </a:ext>
              </a:extLst>
            </xdr:cNvPr>
            <xdr:cNvSpPr txBox="1"/>
          </xdr:nvSpPr>
          <xdr:spPr>
            <a:xfrm>
              <a:off x="819049" y="42513081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F55D3605-E24E-40CA-8F57-7B10E532D1A4}"/>
                </a:ext>
              </a:extLst>
            </xdr:cNvPr>
            <xdr:cNvSpPr txBox="1"/>
          </xdr:nvSpPr>
          <xdr:spPr>
            <a:xfrm>
              <a:off x="819049" y="42513081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𝐻0:𝐵_0=0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270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BF01C92D-B905-4EC3-B8EC-62C30239784C}"/>
                </a:ext>
              </a:extLst>
            </xdr:cNvPr>
            <xdr:cNvSpPr txBox="1"/>
          </xdr:nvSpPr>
          <xdr:spPr>
            <a:xfrm>
              <a:off x="830253" y="4284721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BF01C92D-B905-4EC3-B8EC-62C30239784C}"/>
                </a:ext>
              </a:extLst>
            </xdr:cNvPr>
            <xdr:cNvSpPr txBox="1"/>
          </xdr:nvSpPr>
          <xdr:spPr>
            <a:xfrm>
              <a:off x="830253" y="42847219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𝐻1:𝐵_0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273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86D6D754-209C-49EB-92CD-FA3FEDBDA370}"/>
                </a:ext>
              </a:extLst>
            </xdr:cNvPr>
            <xdr:cNvSpPr txBox="1"/>
          </xdr:nvSpPr>
          <xdr:spPr>
            <a:xfrm>
              <a:off x="1054372" y="4332601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86D6D754-209C-49EB-92CD-FA3FEDBDA370}"/>
                </a:ext>
              </a:extLst>
            </xdr:cNvPr>
            <xdr:cNvSpPr txBox="1"/>
          </xdr:nvSpPr>
          <xdr:spPr>
            <a:xfrm>
              <a:off x="1054372" y="4332601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268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B25A8A0-D300-4802-A290-5A451B63F59A}"/>
                </a:ext>
              </a:extLst>
            </xdr:cNvPr>
            <xdr:cNvSpPr txBox="1"/>
          </xdr:nvSpPr>
          <xdr:spPr>
            <a:xfrm>
              <a:off x="2432694" y="42504116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00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B25A8A0-D300-4802-A290-5A451B63F59A}"/>
                </a:ext>
              </a:extLst>
            </xdr:cNvPr>
            <xdr:cNvSpPr txBox="1"/>
          </xdr:nvSpPr>
          <xdr:spPr>
            <a:xfrm>
              <a:off x="2432694" y="42504116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400" b="0" i="0">
                  <a:latin typeface="Cambria Math" panose="02040503050406030204" pitchFamily="18" charset="0"/>
                </a:rPr>
                <a:t>0 ) ̂/√(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400" b="0" i="0">
                  <a:latin typeface="Cambria Math" panose="02040503050406030204" pitchFamily="18" charset="0"/>
                </a:rPr>
                <a:t>2∗𝐶_00 )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297656</xdr:colOff>
      <xdr:row>271</xdr:row>
      <xdr:rowOff>14706</xdr:rowOff>
    </xdr:from>
    <xdr:ext cx="288477" cy="172227"/>
    <xdr:sp macro="" textlink="">
      <xdr:nvSpPr>
        <xdr:cNvPr id="94" name="CaixaDeTexto 93">
          <a:extLst>
            <a:ext uri="{FF2B5EF4-FFF2-40B4-BE49-F238E27FC236}">
              <a16:creationId xmlns:a16="http://schemas.microsoft.com/office/drawing/2014/main" id="{E518DED0-8DDC-4E2B-A102-95595A49AB48}"/>
            </a:ext>
          </a:extLst>
        </xdr:cNvPr>
        <xdr:cNvSpPr txBox="1"/>
      </xdr:nvSpPr>
      <xdr:spPr>
        <a:xfrm>
          <a:off x="14216062" y="45425144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13</xdr:col>
      <xdr:colOff>212913</xdr:colOff>
      <xdr:row>286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3E62694C-F038-4225-AE02-C5491588E37A}"/>
                </a:ext>
              </a:extLst>
            </xdr:cNvPr>
            <xdr:cNvSpPr txBox="1"/>
          </xdr:nvSpPr>
          <xdr:spPr>
            <a:xfrm>
              <a:off x="819049" y="4535326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3E62694C-F038-4225-AE02-C5491588E37A}"/>
                </a:ext>
              </a:extLst>
            </xdr:cNvPr>
            <xdr:cNvSpPr txBox="1"/>
          </xdr:nvSpPr>
          <xdr:spPr>
            <a:xfrm>
              <a:off x="819049" y="45353263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𝐻0:𝐵_1=0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288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96DED745-42FE-4EA4-BEF2-08C7F44934DE}"/>
                </a:ext>
              </a:extLst>
            </xdr:cNvPr>
            <xdr:cNvSpPr txBox="1"/>
          </xdr:nvSpPr>
          <xdr:spPr>
            <a:xfrm>
              <a:off x="830253" y="45687400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96DED745-42FE-4EA4-BEF2-08C7F44934DE}"/>
                </a:ext>
              </a:extLst>
            </xdr:cNvPr>
            <xdr:cNvSpPr txBox="1"/>
          </xdr:nvSpPr>
          <xdr:spPr>
            <a:xfrm>
              <a:off x="830253" y="45687400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𝐻1:𝐵_1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291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23980A0E-AE0D-47A7-9C8B-F938817F4F71}"/>
                </a:ext>
              </a:extLst>
            </xdr:cNvPr>
            <xdr:cNvSpPr txBox="1"/>
          </xdr:nvSpPr>
          <xdr:spPr>
            <a:xfrm>
              <a:off x="1054372" y="4616619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23980A0E-AE0D-47A7-9C8B-F938817F4F71}"/>
                </a:ext>
              </a:extLst>
            </xdr:cNvPr>
            <xdr:cNvSpPr txBox="1"/>
          </xdr:nvSpPr>
          <xdr:spPr>
            <a:xfrm>
              <a:off x="1054372" y="4616619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286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EBEA33F9-663C-4AFF-B92D-11617482117A}"/>
                </a:ext>
              </a:extLst>
            </xdr:cNvPr>
            <xdr:cNvSpPr txBox="1"/>
          </xdr:nvSpPr>
          <xdr:spPr>
            <a:xfrm>
              <a:off x="2432694" y="45344298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EBEA33F9-663C-4AFF-B92D-11617482117A}"/>
                </a:ext>
              </a:extLst>
            </xdr:cNvPr>
            <xdr:cNvSpPr txBox="1"/>
          </xdr:nvSpPr>
          <xdr:spPr>
            <a:xfrm>
              <a:off x="2432694" y="45344298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𝛽_1 )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2∗𝐶_11 )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297656</xdr:colOff>
      <xdr:row>289</xdr:row>
      <xdr:rowOff>14706</xdr:rowOff>
    </xdr:from>
    <xdr:ext cx="288477" cy="172227"/>
    <xdr:sp macro="" textlink="">
      <xdr:nvSpPr>
        <xdr:cNvPr id="100" name="CaixaDeTexto 99">
          <a:extLst>
            <a:ext uri="{FF2B5EF4-FFF2-40B4-BE49-F238E27FC236}">
              <a16:creationId xmlns:a16="http://schemas.microsoft.com/office/drawing/2014/main" id="{C1C51364-2925-45A6-A606-A194906526D2}"/>
            </a:ext>
          </a:extLst>
        </xdr:cNvPr>
        <xdr:cNvSpPr txBox="1"/>
      </xdr:nvSpPr>
      <xdr:spPr>
        <a:xfrm>
          <a:off x="14216062" y="48425519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13</xdr:col>
      <xdr:colOff>212913</xdr:colOff>
      <xdr:row>304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6430BE12-20D5-40EC-B458-2D9F72B5435E}"/>
                </a:ext>
              </a:extLst>
            </xdr:cNvPr>
            <xdr:cNvSpPr txBox="1"/>
          </xdr:nvSpPr>
          <xdr:spPr>
            <a:xfrm>
              <a:off x="819049" y="4819344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6430BE12-20D5-40EC-B458-2D9F72B5435E}"/>
                </a:ext>
              </a:extLst>
            </xdr:cNvPr>
            <xdr:cNvSpPr txBox="1"/>
          </xdr:nvSpPr>
          <xdr:spPr>
            <a:xfrm>
              <a:off x="819049" y="4819344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𝐻0:𝐵_2=0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306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AFA12DBB-F985-4BE8-8F8F-5D306505ABC0}"/>
                </a:ext>
              </a:extLst>
            </xdr:cNvPr>
            <xdr:cNvSpPr txBox="1"/>
          </xdr:nvSpPr>
          <xdr:spPr>
            <a:xfrm>
              <a:off x="830253" y="48527582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AFA12DBB-F985-4BE8-8F8F-5D306505ABC0}"/>
                </a:ext>
              </a:extLst>
            </xdr:cNvPr>
            <xdr:cNvSpPr txBox="1"/>
          </xdr:nvSpPr>
          <xdr:spPr>
            <a:xfrm>
              <a:off x="830253" y="48527582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𝐻1:𝐵_2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309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08BE02B3-04A2-4CB6-83BB-0C2CD7E65D2F}"/>
                </a:ext>
              </a:extLst>
            </xdr:cNvPr>
            <xdr:cNvSpPr txBox="1"/>
          </xdr:nvSpPr>
          <xdr:spPr>
            <a:xfrm>
              <a:off x="1054372" y="49006379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08BE02B3-04A2-4CB6-83BB-0C2CD7E65D2F}"/>
                </a:ext>
              </a:extLst>
            </xdr:cNvPr>
            <xdr:cNvSpPr txBox="1"/>
          </xdr:nvSpPr>
          <xdr:spPr>
            <a:xfrm>
              <a:off x="1054372" y="49006379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304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72799C61-B521-4BAB-AEB9-945D3BC15A4D}"/>
                </a:ext>
              </a:extLst>
            </xdr:cNvPr>
            <xdr:cNvSpPr txBox="1"/>
          </xdr:nvSpPr>
          <xdr:spPr>
            <a:xfrm>
              <a:off x="2432694" y="48184480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22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72799C61-B521-4BAB-AEB9-945D3BC15A4D}"/>
                </a:ext>
              </a:extLst>
            </xdr:cNvPr>
            <xdr:cNvSpPr txBox="1"/>
          </xdr:nvSpPr>
          <xdr:spPr>
            <a:xfrm>
              <a:off x="2432694" y="48184480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𝛽_2 )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2∗𝐶_22 )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297656</xdr:colOff>
      <xdr:row>307</xdr:row>
      <xdr:rowOff>14706</xdr:rowOff>
    </xdr:from>
    <xdr:ext cx="288477" cy="172227"/>
    <xdr:sp macro="" textlink="">
      <xdr:nvSpPr>
        <xdr:cNvPr id="106" name="CaixaDeTexto 105">
          <a:extLst>
            <a:ext uri="{FF2B5EF4-FFF2-40B4-BE49-F238E27FC236}">
              <a16:creationId xmlns:a16="http://schemas.microsoft.com/office/drawing/2014/main" id="{DF2CBC54-2DBD-4A86-B48D-640376B15068}"/>
            </a:ext>
          </a:extLst>
        </xdr:cNvPr>
        <xdr:cNvSpPr txBox="1"/>
      </xdr:nvSpPr>
      <xdr:spPr>
        <a:xfrm>
          <a:off x="14216062" y="51425894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13</xdr:col>
      <xdr:colOff>212913</xdr:colOff>
      <xdr:row>322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0B82D1C1-88DE-404A-946A-56F3251898D4}"/>
                </a:ext>
              </a:extLst>
            </xdr:cNvPr>
            <xdr:cNvSpPr txBox="1"/>
          </xdr:nvSpPr>
          <xdr:spPr>
            <a:xfrm>
              <a:off x="819049" y="5103362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0B82D1C1-88DE-404A-946A-56F3251898D4}"/>
                </a:ext>
              </a:extLst>
            </xdr:cNvPr>
            <xdr:cNvSpPr txBox="1"/>
          </xdr:nvSpPr>
          <xdr:spPr>
            <a:xfrm>
              <a:off x="819049" y="5103362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𝐻0:𝐵_3=0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324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5AEDE91D-B94A-4E2F-B338-6D9E997A68C6}"/>
                </a:ext>
              </a:extLst>
            </xdr:cNvPr>
            <xdr:cNvSpPr txBox="1"/>
          </xdr:nvSpPr>
          <xdr:spPr>
            <a:xfrm>
              <a:off x="830253" y="513677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5AEDE91D-B94A-4E2F-B338-6D9E997A68C6}"/>
                </a:ext>
              </a:extLst>
            </xdr:cNvPr>
            <xdr:cNvSpPr txBox="1"/>
          </xdr:nvSpPr>
          <xdr:spPr>
            <a:xfrm>
              <a:off x="830253" y="513677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𝐻1:𝐵_3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327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DA29608F-3BB3-4022-ABEC-620798040CA5}"/>
                </a:ext>
              </a:extLst>
            </xdr:cNvPr>
            <xdr:cNvSpPr txBox="1"/>
          </xdr:nvSpPr>
          <xdr:spPr>
            <a:xfrm>
              <a:off x="1054372" y="5184656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DA29608F-3BB3-4022-ABEC-620798040CA5}"/>
                </a:ext>
              </a:extLst>
            </xdr:cNvPr>
            <xdr:cNvSpPr txBox="1"/>
          </xdr:nvSpPr>
          <xdr:spPr>
            <a:xfrm>
              <a:off x="1054372" y="5184656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322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0F071A3F-E47D-42B7-9833-E27FD9FC6B64}"/>
                </a:ext>
              </a:extLst>
            </xdr:cNvPr>
            <xdr:cNvSpPr txBox="1"/>
          </xdr:nvSpPr>
          <xdr:spPr>
            <a:xfrm>
              <a:off x="2432694" y="51024662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33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0F071A3F-E47D-42B7-9833-E27FD9FC6B64}"/>
                </a:ext>
              </a:extLst>
            </xdr:cNvPr>
            <xdr:cNvSpPr txBox="1"/>
          </xdr:nvSpPr>
          <xdr:spPr>
            <a:xfrm>
              <a:off x="2432694" y="51024662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𝛽_3 )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2∗𝐶_33 )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297656</xdr:colOff>
      <xdr:row>325</xdr:row>
      <xdr:rowOff>14706</xdr:rowOff>
    </xdr:from>
    <xdr:ext cx="288477" cy="172227"/>
    <xdr:sp macro="" textlink="">
      <xdr:nvSpPr>
        <xdr:cNvPr id="112" name="CaixaDeTexto 111">
          <a:extLst>
            <a:ext uri="{FF2B5EF4-FFF2-40B4-BE49-F238E27FC236}">
              <a16:creationId xmlns:a16="http://schemas.microsoft.com/office/drawing/2014/main" id="{3B13AE9A-736E-4E16-AEF7-0657843633BC}"/>
            </a:ext>
          </a:extLst>
        </xdr:cNvPr>
        <xdr:cNvSpPr txBox="1"/>
      </xdr:nvSpPr>
      <xdr:spPr>
        <a:xfrm>
          <a:off x="14216062" y="54426269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14</xdr:col>
      <xdr:colOff>510008</xdr:colOff>
      <xdr:row>203</xdr:row>
      <xdr:rowOff>157023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B2F7B0F8-72DD-44D1-ACFD-774ACA0EE8B3}"/>
                </a:ext>
              </a:extLst>
            </xdr:cNvPr>
            <xdr:cNvSpPr txBox="1"/>
          </xdr:nvSpPr>
          <xdr:spPr>
            <a:xfrm>
              <a:off x="11285164" y="34161273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B2F7B0F8-72DD-44D1-ACFD-774ACA0EE8B3}"/>
                </a:ext>
              </a:extLst>
            </xdr:cNvPr>
            <xdr:cNvSpPr txBox="1"/>
          </xdr:nvSpPr>
          <xdr:spPr>
            <a:xfrm>
              <a:off x="11285164" y="34161273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530179</xdr:colOff>
      <xdr:row>206</xdr:row>
      <xdr:rowOff>26612</xdr:rowOff>
    </xdr:from>
    <xdr:ext cx="288477" cy="172227"/>
    <xdr:sp macro="" textlink="">
      <xdr:nvSpPr>
        <xdr:cNvPr id="116" name="CaixaDeTexto 115">
          <a:extLst>
            <a:ext uri="{FF2B5EF4-FFF2-40B4-BE49-F238E27FC236}">
              <a16:creationId xmlns:a16="http://schemas.microsoft.com/office/drawing/2014/main" id="{2933D886-5673-4753-9809-981258CEA9BD}"/>
            </a:ext>
          </a:extLst>
        </xdr:cNvPr>
        <xdr:cNvSpPr txBox="1"/>
      </xdr:nvSpPr>
      <xdr:spPr>
        <a:xfrm>
          <a:off x="11305335" y="345309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14</xdr:col>
      <xdr:colOff>581446</xdr:colOff>
      <xdr:row>214</xdr:row>
      <xdr:rowOff>14147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9E951FE1-BD63-4A25-B73C-898A7F7834CF}"/>
                </a:ext>
              </a:extLst>
            </xdr:cNvPr>
            <xdr:cNvSpPr txBox="1"/>
          </xdr:nvSpPr>
          <xdr:spPr>
            <a:xfrm>
              <a:off x="11356602" y="3585196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9E951FE1-BD63-4A25-B73C-898A7F7834CF}"/>
                </a:ext>
              </a:extLst>
            </xdr:cNvPr>
            <xdr:cNvSpPr txBox="1"/>
          </xdr:nvSpPr>
          <xdr:spPr>
            <a:xfrm>
              <a:off x="11356602" y="3585196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506366</xdr:colOff>
      <xdr:row>215</xdr:row>
      <xdr:rowOff>157581</xdr:rowOff>
    </xdr:from>
    <xdr:ext cx="288477" cy="172227"/>
    <xdr:sp macro="" textlink="">
      <xdr:nvSpPr>
        <xdr:cNvPr id="119" name="CaixaDeTexto 118">
          <a:extLst>
            <a:ext uri="{FF2B5EF4-FFF2-40B4-BE49-F238E27FC236}">
              <a16:creationId xmlns:a16="http://schemas.microsoft.com/office/drawing/2014/main" id="{ECCB7CC1-EC4C-4352-A49B-5B79D978C9FE}"/>
            </a:ext>
          </a:extLst>
        </xdr:cNvPr>
        <xdr:cNvSpPr txBox="1"/>
      </xdr:nvSpPr>
      <xdr:spPr>
        <a:xfrm>
          <a:off x="11281522" y="36162081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14</xdr:col>
      <xdr:colOff>569540</xdr:colOff>
      <xdr:row>224</xdr:row>
      <xdr:rowOff>14148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22C3AF81-80BD-4240-8E68-7856BBB389EB}"/>
                </a:ext>
              </a:extLst>
            </xdr:cNvPr>
            <xdr:cNvSpPr txBox="1"/>
          </xdr:nvSpPr>
          <xdr:spPr>
            <a:xfrm>
              <a:off x="11344696" y="3751883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22C3AF81-80BD-4240-8E68-7856BBB389EB}"/>
                </a:ext>
              </a:extLst>
            </xdr:cNvPr>
            <xdr:cNvSpPr txBox="1"/>
          </xdr:nvSpPr>
          <xdr:spPr>
            <a:xfrm>
              <a:off x="11344696" y="3751883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494460</xdr:colOff>
      <xdr:row>225</xdr:row>
      <xdr:rowOff>157582</xdr:rowOff>
    </xdr:from>
    <xdr:ext cx="288477" cy="172227"/>
    <xdr:sp macro="" textlink="">
      <xdr:nvSpPr>
        <xdr:cNvPr id="122" name="CaixaDeTexto 121">
          <a:extLst>
            <a:ext uri="{FF2B5EF4-FFF2-40B4-BE49-F238E27FC236}">
              <a16:creationId xmlns:a16="http://schemas.microsoft.com/office/drawing/2014/main" id="{9A145B06-485A-4D6B-94BC-2784638675E8}"/>
            </a:ext>
          </a:extLst>
        </xdr:cNvPr>
        <xdr:cNvSpPr txBox="1"/>
      </xdr:nvSpPr>
      <xdr:spPr>
        <a:xfrm>
          <a:off x="11269616" y="37828957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14</xdr:col>
      <xdr:colOff>569540</xdr:colOff>
      <xdr:row>234</xdr:row>
      <xdr:rowOff>14148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FED19AC3-0289-416F-B8F3-4FCCBAF7E10A}"/>
                </a:ext>
              </a:extLst>
            </xdr:cNvPr>
            <xdr:cNvSpPr txBox="1"/>
          </xdr:nvSpPr>
          <xdr:spPr>
            <a:xfrm>
              <a:off x="11344696" y="3918571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FED19AC3-0289-416F-B8F3-4FCCBAF7E10A}"/>
                </a:ext>
              </a:extLst>
            </xdr:cNvPr>
            <xdr:cNvSpPr txBox="1"/>
          </xdr:nvSpPr>
          <xdr:spPr>
            <a:xfrm>
              <a:off x="11344696" y="3918571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494460</xdr:colOff>
      <xdr:row>235</xdr:row>
      <xdr:rowOff>157582</xdr:rowOff>
    </xdr:from>
    <xdr:ext cx="288477" cy="172227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8AA54FF6-74AE-4165-A48E-61738EA819CA}"/>
            </a:ext>
          </a:extLst>
        </xdr:cNvPr>
        <xdr:cNvSpPr txBox="1"/>
      </xdr:nvSpPr>
      <xdr:spPr>
        <a:xfrm>
          <a:off x="11269616" y="39495832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14</xdr:col>
      <xdr:colOff>534521</xdr:colOff>
      <xdr:row>243</xdr:row>
      <xdr:rowOff>125506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F4E31C1-C833-4C1F-A81E-4A6660513B69}"/>
                </a:ext>
              </a:extLst>
            </xdr:cNvPr>
            <xdr:cNvSpPr txBox="1"/>
          </xdr:nvSpPr>
          <xdr:spPr>
            <a:xfrm>
              <a:off x="1937294" y="3846796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F4E31C1-C833-4C1F-A81E-4A6660513B69}"/>
                </a:ext>
              </a:extLst>
            </xdr:cNvPr>
            <xdr:cNvSpPr txBox="1"/>
          </xdr:nvSpPr>
          <xdr:spPr>
            <a:xfrm>
              <a:off x="1937294" y="3846796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672352</xdr:colOff>
      <xdr:row>245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4FD23700-CD0E-4AB5-898A-067A88304069}"/>
                </a:ext>
              </a:extLst>
            </xdr:cNvPr>
            <xdr:cNvSpPr txBox="1"/>
          </xdr:nvSpPr>
          <xdr:spPr>
            <a:xfrm>
              <a:off x="1278488" y="38788651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4FD23700-CD0E-4AB5-898A-067A88304069}"/>
                </a:ext>
              </a:extLst>
            </xdr:cNvPr>
            <xdr:cNvSpPr txBox="1"/>
          </xdr:nvSpPr>
          <xdr:spPr>
            <a:xfrm>
              <a:off x="1278488" y="38788651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694764</xdr:colOff>
      <xdr:row>249</xdr:row>
      <xdr:rowOff>134471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D3A1217D-1F5B-4CE8-AF07-7864643A8FBB}"/>
                </a:ext>
              </a:extLst>
            </xdr:cNvPr>
            <xdr:cNvSpPr txBox="1"/>
          </xdr:nvSpPr>
          <xdr:spPr>
            <a:xfrm>
              <a:off x="1300900" y="39412107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D3A1217D-1F5B-4CE8-AF07-7864643A8FBB}"/>
                </a:ext>
              </a:extLst>
            </xdr:cNvPr>
            <xdr:cNvSpPr txBox="1"/>
          </xdr:nvSpPr>
          <xdr:spPr>
            <a:xfrm>
              <a:off x="1300900" y="39412107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392486</xdr:colOff>
      <xdr:row>239</xdr:row>
      <xdr:rowOff>165286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542F9AF2-3FCC-454B-BCE5-389FE914E667}"/>
                </a:ext>
              </a:extLst>
            </xdr:cNvPr>
            <xdr:cNvSpPr txBox="1"/>
          </xdr:nvSpPr>
          <xdr:spPr>
            <a:xfrm>
              <a:off x="14918111" y="4017028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542F9AF2-3FCC-454B-BCE5-389FE914E667}"/>
                </a:ext>
              </a:extLst>
            </xdr:cNvPr>
            <xdr:cNvSpPr txBox="1"/>
          </xdr:nvSpPr>
          <xdr:spPr>
            <a:xfrm>
              <a:off x="14918111" y="4017028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0</xdr:colOff>
      <xdr:row>248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A60BCB01-0653-49DE-93C5-53C92718B998}"/>
                </a:ext>
              </a:extLst>
            </xdr:cNvPr>
            <xdr:cNvSpPr txBox="1"/>
          </xdr:nvSpPr>
          <xdr:spPr>
            <a:xfrm>
              <a:off x="1402773" y="39121773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A60BCB01-0653-49DE-93C5-53C92718B998}"/>
                </a:ext>
              </a:extLst>
            </xdr:cNvPr>
            <xdr:cNvSpPr txBox="1"/>
          </xdr:nvSpPr>
          <xdr:spPr>
            <a:xfrm>
              <a:off x="1402773" y="39121773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459440</xdr:colOff>
      <xdr:row>243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FF31E338-9062-4AAD-9E2F-D927DCF57CDE}"/>
                </a:ext>
              </a:extLst>
            </xdr:cNvPr>
            <xdr:cNvSpPr txBox="1"/>
          </xdr:nvSpPr>
          <xdr:spPr>
            <a:xfrm>
              <a:off x="6971076" y="3846571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FF31E338-9062-4AAD-9E2F-D927DCF57CDE}"/>
                </a:ext>
              </a:extLst>
            </xdr:cNvPr>
            <xdr:cNvSpPr txBox="1"/>
          </xdr:nvSpPr>
          <xdr:spPr>
            <a:xfrm>
              <a:off x="6971076" y="3846571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534521</xdr:colOff>
      <xdr:row>257</xdr:row>
      <xdr:rowOff>125506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4F4556BC-20A4-480E-B0DE-C94B4AEC4A8F}"/>
                </a:ext>
              </a:extLst>
            </xdr:cNvPr>
            <xdr:cNvSpPr txBox="1"/>
          </xdr:nvSpPr>
          <xdr:spPr>
            <a:xfrm>
              <a:off x="1937294" y="40736642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4F4556BC-20A4-480E-B0DE-C94B4AEC4A8F}"/>
                </a:ext>
              </a:extLst>
            </xdr:cNvPr>
            <xdr:cNvSpPr txBox="1"/>
          </xdr:nvSpPr>
          <xdr:spPr>
            <a:xfrm>
              <a:off x="1937294" y="40736642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672352</xdr:colOff>
      <xdr:row>259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2EB7C79-2095-4A86-9EEA-3555EB1C5649}"/>
                </a:ext>
              </a:extLst>
            </xdr:cNvPr>
            <xdr:cNvSpPr txBox="1"/>
          </xdr:nvSpPr>
          <xdr:spPr>
            <a:xfrm>
              <a:off x="1278488" y="41057333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2EB7C79-2095-4A86-9EEA-3555EB1C5649}"/>
                </a:ext>
              </a:extLst>
            </xdr:cNvPr>
            <xdr:cNvSpPr txBox="1"/>
          </xdr:nvSpPr>
          <xdr:spPr>
            <a:xfrm>
              <a:off x="1278488" y="41057333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369794</xdr:colOff>
      <xdr:row>264</xdr:row>
      <xdr:rowOff>11206</xdr:rowOff>
    </xdr:from>
    <xdr:ext cx="1389529" cy="235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E0580D31-719B-42A4-B0CF-7FECBD5C7D7A}"/>
                </a:ext>
              </a:extLst>
            </xdr:cNvPr>
            <xdr:cNvSpPr txBox="1"/>
          </xdr:nvSpPr>
          <xdr:spPr>
            <a:xfrm>
              <a:off x="975930" y="41713388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∗(1+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0)=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E0580D31-719B-42A4-B0CF-7FECBD5C7D7A}"/>
                </a:ext>
              </a:extLst>
            </xdr:cNvPr>
            <xdr:cNvSpPr txBox="1"/>
          </xdr:nvSpPr>
          <xdr:spPr>
            <a:xfrm>
              <a:off x="975930" y="41713388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2∗(1+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0</xdr:colOff>
      <xdr:row>262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9CA4D2CA-38C8-4401-94F8-0D329E7CDE96}"/>
                </a:ext>
              </a:extLst>
            </xdr:cNvPr>
            <xdr:cNvSpPr txBox="1"/>
          </xdr:nvSpPr>
          <xdr:spPr>
            <a:xfrm>
              <a:off x="1402773" y="4139045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9CA4D2CA-38C8-4401-94F8-0D329E7CDE96}"/>
                </a:ext>
              </a:extLst>
            </xdr:cNvPr>
            <xdr:cNvSpPr txBox="1"/>
          </xdr:nvSpPr>
          <xdr:spPr>
            <a:xfrm>
              <a:off x="1402773" y="4139045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459440</xdr:colOff>
      <xdr:row>257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25135A68-C669-4BDD-BC68-D0F85A1FA94D}"/>
                </a:ext>
              </a:extLst>
            </xdr:cNvPr>
            <xdr:cNvSpPr txBox="1"/>
          </xdr:nvSpPr>
          <xdr:spPr>
            <a:xfrm>
              <a:off x="6971076" y="40734400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25135A68-C669-4BDD-BC68-D0F85A1FA94D}"/>
                </a:ext>
              </a:extLst>
            </xdr:cNvPr>
            <xdr:cNvSpPr txBox="1"/>
          </xdr:nvSpPr>
          <xdr:spPr>
            <a:xfrm>
              <a:off x="6971076" y="40734400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392486</xdr:colOff>
      <xdr:row>253</xdr:row>
      <xdr:rowOff>165286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1790640-EE85-4E7C-8017-0BDCBD8F0A29}"/>
                </a:ext>
              </a:extLst>
            </xdr:cNvPr>
            <xdr:cNvSpPr txBox="1"/>
          </xdr:nvSpPr>
          <xdr:spPr>
            <a:xfrm>
              <a:off x="14918111" y="4017028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1790640-EE85-4E7C-8017-0BDCBD8F0A29}"/>
                </a:ext>
              </a:extLst>
            </xdr:cNvPr>
            <xdr:cNvSpPr txBox="1"/>
          </xdr:nvSpPr>
          <xdr:spPr>
            <a:xfrm>
              <a:off x="14918111" y="4017028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5</xdr:col>
      <xdr:colOff>357187</xdr:colOff>
      <xdr:row>1</xdr:row>
      <xdr:rowOff>11907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5E55FA62-F07D-44D3-B924-DB250957052A}"/>
                </a:ext>
              </a:extLst>
            </xdr:cNvPr>
            <xdr:cNvSpPr txBox="1"/>
          </xdr:nvSpPr>
          <xdr:spPr>
            <a:xfrm>
              <a:off x="4429125" y="17859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5E55FA62-F07D-44D3-B924-DB250957052A}"/>
                </a:ext>
              </a:extLst>
            </xdr:cNvPr>
            <xdr:cNvSpPr txBox="1"/>
          </xdr:nvSpPr>
          <xdr:spPr>
            <a:xfrm>
              <a:off x="4429125" y="17859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0</xdr:colOff>
      <xdr:row>202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743459A-189A-4641-B6AD-F8D6FDF91FDA}"/>
                </a:ext>
              </a:extLst>
            </xdr:cNvPr>
            <xdr:cNvSpPr txBox="1"/>
          </xdr:nvSpPr>
          <xdr:spPr>
            <a:xfrm>
              <a:off x="1393031" y="3383756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743459A-189A-4641-B6AD-F8D6FDF91FDA}"/>
                </a:ext>
              </a:extLst>
            </xdr:cNvPr>
            <xdr:cNvSpPr txBox="1"/>
          </xdr:nvSpPr>
          <xdr:spPr>
            <a:xfrm>
              <a:off x="1393031" y="3383756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212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88C8B15-9938-4A2C-B994-69173170D51A}"/>
                </a:ext>
              </a:extLst>
            </xdr:cNvPr>
            <xdr:cNvSpPr txBox="1"/>
          </xdr:nvSpPr>
          <xdr:spPr>
            <a:xfrm>
              <a:off x="1393031" y="3550443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88C8B15-9938-4A2C-B994-69173170D51A}"/>
                </a:ext>
              </a:extLst>
            </xdr:cNvPr>
            <xdr:cNvSpPr txBox="1"/>
          </xdr:nvSpPr>
          <xdr:spPr>
            <a:xfrm>
              <a:off x="1393031" y="3550443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222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375229D-D802-4C18-8AAF-9159BE89D02A}"/>
                </a:ext>
              </a:extLst>
            </xdr:cNvPr>
            <xdr:cNvSpPr txBox="1"/>
          </xdr:nvSpPr>
          <xdr:spPr>
            <a:xfrm>
              <a:off x="1393031" y="3717131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375229D-D802-4C18-8AAF-9159BE89D02A}"/>
                </a:ext>
              </a:extLst>
            </xdr:cNvPr>
            <xdr:cNvSpPr txBox="1"/>
          </xdr:nvSpPr>
          <xdr:spPr>
            <a:xfrm>
              <a:off x="1393031" y="3717131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232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77C0986-0ED5-4AF8-8DC7-730556897F24}"/>
                </a:ext>
              </a:extLst>
            </xdr:cNvPr>
            <xdr:cNvSpPr txBox="1"/>
          </xdr:nvSpPr>
          <xdr:spPr>
            <a:xfrm>
              <a:off x="1393031" y="3883818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77C0986-0ED5-4AF8-8DC7-730556897F24}"/>
                </a:ext>
              </a:extLst>
            </xdr:cNvPr>
            <xdr:cNvSpPr txBox="1"/>
          </xdr:nvSpPr>
          <xdr:spPr>
            <a:xfrm>
              <a:off x="1393031" y="3883818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242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20329B45-62D6-480F-9830-6BBCBFBA00EA}"/>
                </a:ext>
              </a:extLst>
            </xdr:cNvPr>
            <xdr:cNvSpPr txBox="1"/>
          </xdr:nvSpPr>
          <xdr:spPr>
            <a:xfrm>
              <a:off x="1393031" y="4050506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20329B45-62D6-480F-9830-6BBCBFBA00EA}"/>
                </a:ext>
              </a:extLst>
            </xdr:cNvPr>
            <xdr:cNvSpPr txBox="1"/>
          </xdr:nvSpPr>
          <xdr:spPr>
            <a:xfrm>
              <a:off x="1393031" y="4050506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256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FC10BD3-6E7F-4422-A9E2-0772665FBF38}"/>
                </a:ext>
              </a:extLst>
            </xdr:cNvPr>
            <xdr:cNvSpPr txBox="1"/>
          </xdr:nvSpPr>
          <xdr:spPr>
            <a:xfrm>
              <a:off x="1393031" y="4287440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FC10BD3-6E7F-4422-A9E2-0772665FBF38}"/>
                </a:ext>
              </a:extLst>
            </xdr:cNvPr>
            <xdr:cNvSpPr txBox="1"/>
          </xdr:nvSpPr>
          <xdr:spPr>
            <a:xfrm>
              <a:off x="1393031" y="4287440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278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6EDF70F-5AFD-48F8-A222-DECA4C03B409}"/>
                </a:ext>
              </a:extLst>
            </xdr:cNvPr>
            <xdr:cNvSpPr txBox="1"/>
          </xdr:nvSpPr>
          <xdr:spPr>
            <a:xfrm>
              <a:off x="1393031" y="4657725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6EDF70F-5AFD-48F8-A222-DECA4C03B409}"/>
                </a:ext>
              </a:extLst>
            </xdr:cNvPr>
            <xdr:cNvSpPr txBox="1"/>
          </xdr:nvSpPr>
          <xdr:spPr>
            <a:xfrm>
              <a:off x="1393031" y="4657725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296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70B7939-502B-4803-95C3-41732ACF5BD0}"/>
                </a:ext>
              </a:extLst>
            </xdr:cNvPr>
            <xdr:cNvSpPr txBox="1"/>
          </xdr:nvSpPr>
          <xdr:spPr>
            <a:xfrm>
              <a:off x="1393031" y="4957762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70B7939-502B-4803-95C3-41732ACF5BD0}"/>
                </a:ext>
              </a:extLst>
            </xdr:cNvPr>
            <xdr:cNvSpPr txBox="1"/>
          </xdr:nvSpPr>
          <xdr:spPr>
            <a:xfrm>
              <a:off x="1393031" y="4957762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314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94256AD6-7D43-4BC1-BB14-925118FCE622}"/>
                </a:ext>
              </a:extLst>
            </xdr:cNvPr>
            <xdr:cNvSpPr txBox="1"/>
          </xdr:nvSpPr>
          <xdr:spPr>
            <a:xfrm>
              <a:off x="1393031" y="5257800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94256AD6-7D43-4BC1-BB14-925118FCE622}"/>
                </a:ext>
              </a:extLst>
            </xdr:cNvPr>
            <xdr:cNvSpPr txBox="1"/>
          </xdr:nvSpPr>
          <xdr:spPr>
            <a:xfrm>
              <a:off x="1393031" y="5257800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332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2986EB9-203E-44FF-A2C6-0FC3BE29D484}"/>
                </a:ext>
              </a:extLst>
            </xdr:cNvPr>
            <xdr:cNvSpPr txBox="1"/>
          </xdr:nvSpPr>
          <xdr:spPr>
            <a:xfrm>
              <a:off x="1393031" y="5557837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2986EB9-203E-44FF-A2C6-0FC3BE29D484}"/>
                </a:ext>
              </a:extLst>
            </xdr:cNvPr>
            <xdr:cNvSpPr txBox="1"/>
          </xdr:nvSpPr>
          <xdr:spPr>
            <a:xfrm>
              <a:off x="1393031" y="5557837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332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9580E260-45EB-4A62-926B-DE62D7859E85}"/>
                </a:ext>
              </a:extLst>
            </xdr:cNvPr>
            <xdr:cNvSpPr txBox="1"/>
          </xdr:nvSpPr>
          <xdr:spPr>
            <a:xfrm>
              <a:off x="10775156" y="5557837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9580E260-45EB-4A62-926B-DE62D7859E85}"/>
                </a:ext>
              </a:extLst>
            </xdr:cNvPr>
            <xdr:cNvSpPr txBox="1"/>
          </xdr:nvSpPr>
          <xdr:spPr>
            <a:xfrm>
              <a:off x="10775156" y="5557837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314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7776263-37BC-46DF-ACC1-2931B2B042D6}"/>
                </a:ext>
              </a:extLst>
            </xdr:cNvPr>
            <xdr:cNvSpPr txBox="1"/>
          </xdr:nvSpPr>
          <xdr:spPr>
            <a:xfrm>
              <a:off x="10775156" y="5257800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7776263-37BC-46DF-ACC1-2931B2B042D6}"/>
                </a:ext>
              </a:extLst>
            </xdr:cNvPr>
            <xdr:cNvSpPr txBox="1"/>
          </xdr:nvSpPr>
          <xdr:spPr>
            <a:xfrm>
              <a:off x="10775156" y="5257800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296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ABF38C6-376E-400A-A157-EED19D08166A}"/>
                </a:ext>
              </a:extLst>
            </xdr:cNvPr>
            <xdr:cNvSpPr txBox="1"/>
          </xdr:nvSpPr>
          <xdr:spPr>
            <a:xfrm>
              <a:off x="10775156" y="4957762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ABF38C6-376E-400A-A157-EED19D08166A}"/>
                </a:ext>
              </a:extLst>
            </xdr:cNvPr>
            <xdr:cNvSpPr txBox="1"/>
          </xdr:nvSpPr>
          <xdr:spPr>
            <a:xfrm>
              <a:off x="10775156" y="4957762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278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7E513662-B058-4D6F-BA0A-97B544B5B6B9}"/>
                </a:ext>
              </a:extLst>
            </xdr:cNvPr>
            <xdr:cNvSpPr txBox="1"/>
          </xdr:nvSpPr>
          <xdr:spPr>
            <a:xfrm>
              <a:off x="10775156" y="4657725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7E513662-B058-4D6F-BA0A-97B544B5B6B9}"/>
                </a:ext>
              </a:extLst>
            </xdr:cNvPr>
            <xdr:cNvSpPr txBox="1"/>
          </xdr:nvSpPr>
          <xdr:spPr>
            <a:xfrm>
              <a:off x="10775156" y="4657725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242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084386A-CC0E-4B68-8E52-85D01F4CEA94}"/>
                </a:ext>
              </a:extLst>
            </xdr:cNvPr>
            <xdr:cNvSpPr txBox="1"/>
          </xdr:nvSpPr>
          <xdr:spPr>
            <a:xfrm>
              <a:off x="10775156" y="4050506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084386A-CC0E-4B68-8E52-85D01F4CEA94}"/>
                </a:ext>
              </a:extLst>
            </xdr:cNvPr>
            <xdr:cNvSpPr txBox="1"/>
          </xdr:nvSpPr>
          <xdr:spPr>
            <a:xfrm>
              <a:off x="10775156" y="4050506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256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1D4EC2D-9809-4604-80F8-4CE68BBCB34A}"/>
                </a:ext>
              </a:extLst>
            </xdr:cNvPr>
            <xdr:cNvSpPr txBox="1"/>
          </xdr:nvSpPr>
          <xdr:spPr>
            <a:xfrm>
              <a:off x="10775156" y="4287440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1D4EC2D-9809-4604-80F8-4CE68BBCB34A}"/>
                </a:ext>
              </a:extLst>
            </xdr:cNvPr>
            <xdr:cNvSpPr txBox="1"/>
          </xdr:nvSpPr>
          <xdr:spPr>
            <a:xfrm>
              <a:off x="10775156" y="4287440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232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8808D52-CA65-40D8-962B-BA8E53E63322}"/>
                </a:ext>
              </a:extLst>
            </xdr:cNvPr>
            <xdr:cNvSpPr txBox="1"/>
          </xdr:nvSpPr>
          <xdr:spPr>
            <a:xfrm>
              <a:off x="10775156" y="3883818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8808D52-CA65-40D8-962B-BA8E53E63322}"/>
                </a:ext>
              </a:extLst>
            </xdr:cNvPr>
            <xdr:cNvSpPr txBox="1"/>
          </xdr:nvSpPr>
          <xdr:spPr>
            <a:xfrm>
              <a:off x="10775156" y="3883818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222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0272CE2-229D-427B-AE0C-9490168365A6}"/>
                </a:ext>
              </a:extLst>
            </xdr:cNvPr>
            <xdr:cNvSpPr txBox="1"/>
          </xdr:nvSpPr>
          <xdr:spPr>
            <a:xfrm>
              <a:off x="10775156" y="3717131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0272CE2-229D-427B-AE0C-9490168365A6}"/>
                </a:ext>
              </a:extLst>
            </xdr:cNvPr>
            <xdr:cNvSpPr txBox="1"/>
          </xdr:nvSpPr>
          <xdr:spPr>
            <a:xfrm>
              <a:off x="10775156" y="3717131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212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F4A7BB7-6D1C-4D93-81CF-93EE057490BE}"/>
                </a:ext>
              </a:extLst>
            </xdr:cNvPr>
            <xdr:cNvSpPr txBox="1"/>
          </xdr:nvSpPr>
          <xdr:spPr>
            <a:xfrm>
              <a:off x="10775156" y="3550443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F4A7BB7-6D1C-4D93-81CF-93EE057490BE}"/>
                </a:ext>
              </a:extLst>
            </xdr:cNvPr>
            <xdr:cNvSpPr txBox="1"/>
          </xdr:nvSpPr>
          <xdr:spPr>
            <a:xfrm>
              <a:off x="10775156" y="3550443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202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4EFDD0C-99F5-4FCE-BFA9-7E5AFF39CB3D}"/>
                </a:ext>
              </a:extLst>
            </xdr:cNvPr>
            <xdr:cNvSpPr txBox="1"/>
          </xdr:nvSpPr>
          <xdr:spPr>
            <a:xfrm>
              <a:off x="10775156" y="3383756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4EFDD0C-99F5-4FCE-BFA9-7E5AFF39CB3D}"/>
                </a:ext>
              </a:extLst>
            </xdr:cNvPr>
            <xdr:cNvSpPr txBox="1"/>
          </xdr:nvSpPr>
          <xdr:spPr>
            <a:xfrm>
              <a:off x="10775156" y="3383756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802341</xdr:colOff>
      <xdr:row>6</xdr:row>
      <xdr:rowOff>86846</xdr:rowOff>
    </xdr:from>
    <xdr:ext cx="3371850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FF266380-DA59-45E2-82BC-92EA20101262}"/>
                </a:ext>
              </a:extLst>
            </xdr:cNvPr>
            <xdr:cNvSpPr txBox="1"/>
          </xdr:nvSpPr>
          <xdr:spPr>
            <a:xfrm>
              <a:off x="6475319" y="1095375"/>
              <a:ext cx="337185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l-GR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𝜀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FF266380-DA59-45E2-82BC-92EA20101262}"/>
                </a:ext>
              </a:extLst>
            </xdr:cNvPr>
            <xdr:cNvSpPr txBox="1"/>
          </xdr:nvSpPr>
          <xdr:spPr>
            <a:xfrm>
              <a:off x="6475319" y="1095375"/>
              <a:ext cx="337185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𝑌=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600" b="0" i="0">
                  <a:latin typeface="Cambria Math" panose="02040503050406030204" pitchFamily="18" charset="0"/>
                </a:rPr>
                <a:t>0+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𝛽_1 𝑋_1+𝛽_2 𝑋_2+𝛽_3 𝑋_3+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endParaRPr lang="pt-PT" sz="1600"/>
            </a:p>
          </xdr:txBody>
        </xdr:sp>
      </mc:Fallback>
    </mc:AlternateContent>
    <xdr:clientData/>
  </xdr:oneCellAnchor>
  <xdr:twoCellAnchor>
    <xdr:from>
      <xdr:col>11</xdr:col>
      <xdr:colOff>409576</xdr:colOff>
      <xdr:row>9</xdr:row>
      <xdr:rowOff>95249</xdr:rowOff>
    </xdr:from>
    <xdr:to>
      <xdr:col>12</xdr:col>
      <xdr:colOff>85726</xdr:colOff>
      <xdr:row>130</xdr:row>
      <xdr:rowOff>142875</xdr:rowOff>
    </xdr:to>
    <xdr:sp macro="" textlink="">
      <xdr:nvSpPr>
        <xdr:cNvPr id="3" name="Parêntese esquerdo 2">
          <a:extLst>
            <a:ext uri="{FF2B5EF4-FFF2-40B4-BE49-F238E27FC236}">
              <a16:creationId xmlns:a16="http://schemas.microsoft.com/office/drawing/2014/main" id="{3F2029A8-3DF9-4480-B45D-E9E82C85423F}"/>
            </a:ext>
          </a:extLst>
        </xdr:cNvPr>
        <xdr:cNvSpPr/>
      </xdr:nvSpPr>
      <xdr:spPr>
        <a:xfrm>
          <a:off x="9144001" y="1552574"/>
          <a:ext cx="285750" cy="196405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15</xdr:col>
      <xdr:colOff>200024</xdr:colOff>
      <xdr:row>9</xdr:row>
      <xdr:rowOff>76199</xdr:rowOff>
    </xdr:from>
    <xdr:to>
      <xdr:col>16</xdr:col>
      <xdr:colOff>102161</xdr:colOff>
      <xdr:row>130</xdr:row>
      <xdr:rowOff>123824</xdr:rowOff>
    </xdr:to>
    <xdr:sp macro="" textlink="">
      <xdr:nvSpPr>
        <xdr:cNvPr id="4" name="Parêntese esquerdo 3">
          <a:extLst>
            <a:ext uri="{FF2B5EF4-FFF2-40B4-BE49-F238E27FC236}">
              <a16:creationId xmlns:a16="http://schemas.microsoft.com/office/drawing/2014/main" id="{3A203F75-5683-4A17-B546-DE99F61BD4D6}"/>
            </a:ext>
          </a:extLst>
        </xdr:cNvPr>
        <xdr:cNvSpPr/>
      </xdr:nvSpPr>
      <xdr:spPr>
        <a:xfrm flipH="1" flipV="1">
          <a:off x="11801474" y="1533524"/>
          <a:ext cx="778437" cy="1964055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10</xdr:col>
      <xdr:colOff>28575</xdr:colOff>
      <xdr:row>58</xdr:row>
      <xdr:rowOff>19050</xdr:rowOff>
    </xdr:from>
    <xdr:ext cx="809625" cy="438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198AA79-D0A1-443D-9510-2B89197FDCA9}"/>
                </a:ext>
              </a:extLst>
            </xdr:cNvPr>
            <xdr:cNvSpPr txBox="1"/>
          </xdr:nvSpPr>
          <xdr:spPr>
            <a:xfrm>
              <a:off x="8153400" y="9410700"/>
              <a:ext cx="809625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28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198AA79-D0A1-443D-9510-2B89197FDCA9}"/>
                </a:ext>
              </a:extLst>
            </xdr:cNvPr>
            <xdr:cNvSpPr txBox="1"/>
          </xdr:nvSpPr>
          <xdr:spPr>
            <a:xfrm>
              <a:off x="8153400" y="9410700"/>
              <a:ext cx="809625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𝑋=</a:t>
              </a:r>
              <a:endParaRPr lang="pt-PT" sz="2800"/>
            </a:p>
          </xdr:txBody>
        </xdr:sp>
      </mc:Fallback>
    </mc:AlternateContent>
    <xdr:clientData/>
  </xdr:oneCellAnchor>
  <xdr:oneCellAnchor>
    <xdr:from>
      <xdr:col>18</xdr:col>
      <xdr:colOff>228599</xdr:colOff>
      <xdr:row>56</xdr:row>
      <xdr:rowOff>28575</xdr:rowOff>
    </xdr:from>
    <xdr:ext cx="832883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CBE655F7-1C3C-47E8-BFBE-04F279D6BB2C}"/>
                </a:ext>
              </a:extLst>
            </xdr:cNvPr>
            <xdr:cNvSpPr txBox="1"/>
          </xdr:nvSpPr>
          <xdr:spPr>
            <a:xfrm>
              <a:off x="14144624" y="9096375"/>
              <a:ext cx="832883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CBE655F7-1C3C-47E8-BFBE-04F279D6BB2C}"/>
                </a:ext>
              </a:extLst>
            </xdr:cNvPr>
            <xdr:cNvSpPr txBox="1"/>
          </xdr:nvSpPr>
          <xdr:spPr>
            <a:xfrm>
              <a:off x="14144624" y="9096375"/>
              <a:ext cx="832883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20</xdr:col>
      <xdr:colOff>133350</xdr:colOff>
      <xdr:row>54</xdr:row>
      <xdr:rowOff>123825</xdr:rowOff>
    </xdr:from>
    <xdr:to>
      <xdr:col>20</xdr:col>
      <xdr:colOff>460456</xdr:colOff>
      <xdr:row>60</xdr:row>
      <xdr:rowOff>105895</xdr:rowOff>
    </xdr:to>
    <xdr:sp macro="" textlink="">
      <xdr:nvSpPr>
        <xdr:cNvPr id="7" name="Parêntese esquerdo 6">
          <a:extLst>
            <a:ext uri="{FF2B5EF4-FFF2-40B4-BE49-F238E27FC236}">
              <a16:creationId xmlns:a16="http://schemas.microsoft.com/office/drawing/2014/main" id="{2873DC32-C6E0-4953-9FF5-5756B56E0A66}"/>
            </a:ext>
          </a:extLst>
        </xdr:cNvPr>
        <xdr:cNvSpPr/>
      </xdr:nvSpPr>
      <xdr:spPr>
        <a:xfrm>
          <a:off x="15268575" y="8867775"/>
          <a:ext cx="327106" cy="95362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139</xdr:col>
      <xdr:colOff>428625</xdr:colOff>
      <xdr:row>54</xdr:row>
      <xdr:rowOff>104775</xdr:rowOff>
    </xdr:from>
    <xdr:to>
      <xdr:col>140</xdr:col>
      <xdr:colOff>146131</xdr:colOff>
      <xdr:row>60</xdr:row>
      <xdr:rowOff>86845</xdr:rowOff>
    </xdr:to>
    <xdr:sp macro="" textlink="">
      <xdr:nvSpPr>
        <xdr:cNvPr id="8" name="Parêntese esquerdo 7">
          <a:extLst>
            <a:ext uri="{FF2B5EF4-FFF2-40B4-BE49-F238E27FC236}">
              <a16:creationId xmlns:a16="http://schemas.microsoft.com/office/drawing/2014/main" id="{26D38A44-3605-4A72-A504-C03F19C2FC20}"/>
            </a:ext>
          </a:extLst>
        </xdr:cNvPr>
        <xdr:cNvSpPr/>
      </xdr:nvSpPr>
      <xdr:spPr>
        <a:xfrm flipH="1">
          <a:off x="88468200" y="8848725"/>
          <a:ext cx="327106" cy="95362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2</xdr:col>
      <xdr:colOff>435429</xdr:colOff>
      <xdr:row>137</xdr:row>
      <xdr:rowOff>149678</xdr:rowOff>
    </xdr:from>
    <xdr:ext cx="1408655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F66C8014-7506-4129-AFEC-87C0742CF7B5}"/>
                </a:ext>
              </a:extLst>
            </xdr:cNvPr>
            <xdr:cNvSpPr txBox="1"/>
          </xdr:nvSpPr>
          <xdr:spPr>
            <a:xfrm>
              <a:off x="1835604" y="22333403"/>
              <a:ext cx="140865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F66C8014-7506-4129-AFEC-87C0742CF7B5}"/>
                </a:ext>
              </a:extLst>
            </xdr:cNvPr>
            <xdr:cNvSpPr txBox="1"/>
          </xdr:nvSpPr>
          <xdr:spPr>
            <a:xfrm>
              <a:off x="1835604" y="22333403"/>
              <a:ext cx="140865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𝑋^𝑡∗𝑋=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4</xdr:col>
      <xdr:colOff>13607</xdr:colOff>
      <xdr:row>136</xdr:row>
      <xdr:rowOff>81644</xdr:rowOff>
    </xdr:from>
    <xdr:to>
      <xdr:col>4</xdr:col>
      <xdr:colOff>340713</xdr:colOff>
      <xdr:row>142</xdr:row>
      <xdr:rowOff>27216</xdr:rowOff>
    </xdr:to>
    <xdr:sp macro="" textlink="">
      <xdr:nvSpPr>
        <xdr:cNvPr id="10" name="Parêntese esquerdo 9">
          <a:extLst>
            <a:ext uri="{FF2B5EF4-FFF2-40B4-BE49-F238E27FC236}">
              <a16:creationId xmlns:a16="http://schemas.microsoft.com/office/drawing/2014/main" id="{E11390B7-AFE9-42A7-AD92-11DBD4F7997A}"/>
            </a:ext>
          </a:extLst>
        </xdr:cNvPr>
        <xdr:cNvSpPr/>
      </xdr:nvSpPr>
      <xdr:spPr>
        <a:xfrm>
          <a:off x="3252107" y="22103444"/>
          <a:ext cx="327106" cy="917122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7</xdr:col>
      <xdr:colOff>666749</xdr:colOff>
      <xdr:row>136</xdr:row>
      <xdr:rowOff>81643</xdr:rowOff>
    </xdr:from>
    <xdr:to>
      <xdr:col>8</xdr:col>
      <xdr:colOff>150212</xdr:colOff>
      <xdr:row>142</xdr:row>
      <xdr:rowOff>27215</xdr:rowOff>
    </xdr:to>
    <xdr:sp macro="" textlink="">
      <xdr:nvSpPr>
        <xdr:cNvPr id="11" name="Parêntese esquerdo 10">
          <a:extLst>
            <a:ext uri="{FF2B5EF4-FFF2-40B4-BE49-F238E27FC236}">
              <a16:creationId xmlns:a16="http://schemas.microsoft.com/office/drawing/2014/main" id="{52ADD52A-EA42-420B-B829-EBF07DC2513F}"/>
            </a:ext>
          </a:extLst>
        </xdr:cNvPr>
        <xdr:cNvSpPr/>
      </xdr:nvSpPr>
      <xdr:spPr>
        <a:xfrm flipH="1">
          <a:off x="6343649" y="22103443"/>
          <a:ext cx="321663" cy="917122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11</xdr:col>
      <xdr:colOff>435428</xdr:colOff>
      <xdr:row>138</xdr:row>
      <xdr:rowOff>13607</xdr:rowOff>
    </xdr:from>
    <xdr:ext cx="1964127" cy="445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F25EDDF-ECCC-4E58-952B-85EFD3EF8EB4}"/>
                </a:ext>
              </a:extLst>
            </xdr:cNvPr>
            <xdr:cNvSpPr txBox="1"/>
          </xdr:nvSpPr>
          <xdr:spPr>
            <a:xfrm>
              <a:off x="9169853" y="22359257"/>
              <a:ext cx="1964127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(</m:t>
                        </m:r>
                        <m:sSup>
                          <m:sSupPr>
                            <m:ctrlP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p>
                        </m:s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F25EDDF-ECCC-4E58-952B-85EFD3EF8EB4}"/>
                </a:ext>
              </a:extLst>
            </xdr:cNvPr>
            <xdr:cNvSpPr txBox="1"/>
          </xdr:nvSpPr>
          <xdr:spPr>
            <a:xfrm>
              <a:off x="9169853" y="22359257"/>
              <a:ext cx="1964127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〖(</a:t>
              </a:r>
              <a:r>
                <a:rPr lang="pt-PT" sz="2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𝑋^𝑡∗𝑋</a:t>
              </a:r>
              <a:r>
                <a:rPr lang="pt-PT" sz="2800" b="0" i="0">
                  <a:latin typeface="Cambria Math" panose="02040503050406030204" pitchFamily="18" charset="0"/>
                </a:rPr>
                <a:t>)〗^(−1)=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14</xdr:col>
      <xdr:colOff>571501</xdr:colOff>
      <xdr:row>136</xdr:row>
      <xdr:rowOff>108857</xdr:rowOff>
    </xdr:from>
    <xdr:to>
      <xdr:col>15</xdr:col>
      <xdr:colOff>286285</xdr:colOff>
      <xdr:row>142</xdr:row>
      <xdr:rowOff>54429</xdr:rowOff>
    </xdr:to>
    <xdr:sp macro="" textlink="">
      <xdr:nvSpPr>
        <xdr:cNvPr id="13" name="Parêntese esquerdo 12">
          <a:extLst>
            <a:ext uri="{FF2B5EF4-FFF2-40B4-BE49-F238E27FC236}">
              <a16:creationId xmlns:a16="http://schemas.microsoft.com/office/drawing/2014/main" id="{D3097A29-CB8D-400A-BFC9-7D0D480062A0}"/>
            </a:ext>
          </a:extLst>
        </xdr:cNvPr>
        <xdr:cNvSpPr/>
      </xdr:nvSpPr>
      <xdr:spPr>
        <a:xfrm>
          <a:off x="11353801" y="22130657"/>
          <a:ext cx="533934" cy="917122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18</xdr:col>
      <xdr:colOff>421822</xdr:colOff>
      <xdr:row>136</xdr:row>
      <xdr:rowOff>54427</xdr:rowOff>
    </xdr:from>
    <xdr:to>
      <xdr:col>19</xdr:col>
      <xdr:colOff>136607</xdr:colOff>
      <xdr:row>141</xdr:row>
      <xdr:rowOff>163284</xdr:rowOff>
    </xdr:to>
    <xdr:sp macro="" textlink="">
      <xdr:nvSpPr>
        <xdr:cNvPr id="14" name="Parêntese esquerdo 13">
          <a:extLst>
            <a:ext uri="{FF2B5EF4-FFF2-40B4-BE49-F238E27FC236}">
              <a16:creationId xmlns:a16="http://schemas.microsoft.com/office/drawing/2014/main" id="{4C90E178-3572-455B-89FA-5269E7C8A846}"/>
            </a:ext>
          </a:extLst>
        </xdr:cNvPr>
        <xdr:cNvSpPr/>
      </xdr:nvSpPr>
      <xdr:spPr>
        <a:xfrm flipH="1">
          <a:off x="14337847" y="22076227"/>
          <a:ext cx="324385" cy="918482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21</xdr:col>
      <xdr:colOff>54429</xdr:colOff>
      <xdr:row>137</xdr:row>
      <xdr:rowOff>13607</xdr:rowOff>
    </xdr:from>
    <xdr:ext cx="1393395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B681146-FFA2-4810-BB86-8F3A2DBBD2A7}"/>
                </a:ext>
              </a:extLst>
            </xdr:cNvPr>
            <xdr:cNvSpPr txBox="1"/>
          </xdr:nvSpPr>
          <xdr:spPr>
            <a:xfrm>
              <a:off x="15799254" y="22197332"/>
              <a:ext cx="139339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B681146-FFA2-4810-BB86-8F3A2DBBD2A7}"/>
                </a:ext>
              </a:extLst>
            </xdr:cNvPr>
            <xdr:cNvSpPr txBox="1"/>
          </xdr:nvSpPr>
          <xdr:spPr>
            <a:xfrm>
              <a:off x="15799254" y="22197332"/>
              <a:ext cx="139339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𝑋^𝑡∗𝑌=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24</xdr:col>
      <xdr:colOff>13607</xdr:colOff>
      <xdr:row>135</xdr:row>
      <xdr:rowOff>40822</xdr:rowOff>
    </xdr:from>
    <xdr:to>
      <xdr:col>24</xdr:col>
      <xdr:colOff>340713</xdr:colOff>
      <xdr:row>140</xdr:row>
      <xdr:rowOff>149679</xdr:rowOff>
    </xdr:to>
    <xdr:sp macro="" textlink="">
      <xdr:nvSpPr>
        <xdr:cNvPr id="16" name="Parêntese esquerdo 15">
          <a:extLst>
            <a:ext uri="{FF2B5EF4-FFF2-40B4-BE49-F238E27FC236}">
              <a16:creationId xmlns:a16="http://schemas.microsoft.com/office/drawing/2014/main" id="{12553AAA-6775-47EE-9365-06ED4F1DF70D}"/>
            </a:ext>
          </a:extLst>
        </xdr:cNvPr>
        <xdr:cNvSpPr/>
      </xdr:nvSpPr>
      <xdr:spPr>
        <a:xfrm>
          <a:off x="17587232" y="21900697"/>
          <a:ext cx="327106" cy="918482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24</xdr:col>
      <xdr:colOff>476250</xdr:colOff>
      <xdr:row>135</xdr:row>
      <xdr:rowOff>40822</xdr:rowOff>
    </xdr:from>
    <xdr:to>
      <xdr:col>25</xdr:col>
      <xdr:colOff>95785</xdr:colOff>
      <xdr:row>140</xdr:row>
      <xdr:rowOff>149679</xdr:rowOff>
    </xdr:to>
    <xdr:sp macro="" textlink="">
      <xdr:nvSpPr>
        <xdr:cNvPr id="17" name="Parêntese esquerdo 16">
          <a:extLst>
            <a:ext uri="{FF2B5EF4-FFF2-40B4-BE49-F238E27FC236}">
              <a16:creationId xmlns:a16="http://schemas.microsoft.com/office/drawing/2014/main" id="{A56F7409-9047-4674-855C-105CCB5B5C5A}"/>
            </a:ext>
          </a:extLst>
        </xdr:cNvPr>
        <xdr:cNvSpPr/>
      </xdr:nvSpPr>
      <xdr:spPr>
        <a:xfrm flipH="1">
          <a:off x="18049875" y="21900697"/>
          <a:ext cx="324385" cy="918482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26</xdr:col>
      <xdr:colOff>312964</xdr:colOff>
      <xdr:row>136</xdr:row>
      <xdr:rowOff>149679</xdr:rowOff>
    </xdr:from>
    <xdr:ext cx="3957494" cy="445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DD899B6-806F-4CCC-9FF9-ACDDE0ECA37E}"/>
                </a:ext>
              </a:extLst>
            </xdr:cNvPr>
            <xdr:cNvSpPr txBox="1"/>
          </xdr:nvSpPr>
          <xdr:spPr>
            <a:xfrm>
              <a:off x="19201039" y="22171479"/>
              <a:ext cx="3957494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2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𝛽</m:t>
                    </m:r>
                    <m:r>
                      <a:rPr lang="pt-PT" sz="2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p>
                        </m:s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𝑌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DD899B6-806F-4CCC-9FF9-ACDDE0ECA37E}"/>
                </a:ext>
              </a:extLst>
            </xdr:cNvPr>
            <xdr:cNvSpPr txBox="1"/>
          </xdr:nvSpPr>
          <xdr:spPr>
            <a:xfrm>
              <a:off x="19201039" y="22171479"/>
              <a:ext cx="3957494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𝛽=</a:t>
              </a:r>
              <a:r>
                <a:rPr lang="pt-PT" sz="2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〖(𝑋^𝑡∗𝑋)〗^(−1)∗𝑋^𝑡∗𝑌</a:t>
              </a:r>
              <a:r>
                <a:rPr lang="pt-PT" sz="2800" b="0" i="0">
                  <a:latin typeface="Cambria Math" panose="02040503050406030204" pitchFamily="18" charset="0"/>
                </a:rPr>
                <a:t>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33</xdr:col>
      <xdr:colOff>13607</xdr:colOff>
      <xdr:row>135</xdr:row>
      <xdr:rowOff>68037</xdr:rowOff>
    </xdr:from>
    <xdr:to>
      <xdr:col>33</xdr:col>
      <xdr:colOff>340713</xdr:colOff>
      <xdr:row>141</xdr:row>
      <xdr:rowOff>13608</xdr:rowOff>
    </xdr:to>
    <xdr:sp macro="" textlink="">
      <xdr:nvSpPr>
        <xdr:cNvPr id="19" name="Parêntese esquerdo 18">
          <a:extLst>
            <a:ext uri="{FF2B5EF4-FFF2-40B4-BE49-F238E27FC236}">
              <a16:creationId xmlns:a16="http://schemas.microsoft.com/office/drawing/2014/main" id="{87F5B77C-A8DD-4F6B-9527-E7E66E6BCE7D}"/>
            </a:ext>
          </a:extLst>
        </xdr:cNvPr>
        <xdr:cNvSpPr/>
      </xdr:nvSpPr>
      <xdr:spPr>
        <a:xfrm>
          <a:off x="23168882" y="21927912"/>
          <a:ext cx="327106" cy="91712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33</xdr:col>
      <xdr:colOff>721180</xdr:colOff>
      <xdr:row>135</xdr:row>
      <xdr:rowOff>54429</xdr:rowOff>
    </xdr:from>
    <xdr:to>
      <xdr:col>34</xdr:col>
      <xdr:colOff>177428</xdr:colOff>
      <xdr:row>141</xdr:row>
      <xdr:rowOff>0</xdr:rowOff>
    </xdr:to>
    <xdr:sp macro="" textlink="">
      <xdr:nvSpPr>
        <xdr:cNvPr id="20" name="Parêntese esquerdo 19">
          <a:extLst>
            <a:ext uri="{FF2B5EF4-FFF2-40B4-BE49-F238E27FC236}">
              <a16:creationId xmlns:a16="http://schemas.microsoft.com/office/drawing/2014/main" id="{21372472-DB7E-4C3D-8848-D86B39461673}"/>
            </a:ext>
          </a:extLst>
        </xdr:cNvPr>
        <xdr:cNvSpPr/>
      </xdr:nvSpPr>
      <xdr:spPr>
        <a:xfrm flipH="1">
          <a:off x="23876455" y="21914304"/>
          <a:ext cx="332548" cy="91712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18</xdr:col>
      <xdr:colOff>176892</xdr:colOff>
      <xdr:row>66</xdr:row>
      <xdr:rowOff>13607</xdr:rowOff>
    </xdr:from>
    <xdr:ext cx="832883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7EB0795-7C8F-4AD6-BA23-7FE92793DDE1}"/>
                </a:ext>
              </a:extLst>
            </xdr:cNvPr>
            <xdr:cNvSpPr txBox="1"/>
          </xdr:nvSpPr>
          <xdr:spPr>
            <a:xfrm>
              <a:off x="14092917" y="10700657"/>
              <a:ext cx="832883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7EB0795-7C8F-4AD6-BA23-7FE92793DDE1}"/>
                </a:ext>
              </a:extLst>
            </xdr:cNvPr>
            <xdr:cNvSpPr txBox="1"/>
          </xdr:nvSpPr>
          <xdr:spPr>
            <a:xfrm>
              <a:off x="14092917" y="10700657"/>
              <a:ext cx="832883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𝑌^𝑡=</a:t>
              </a:r>
              <a:endParaRPr lang="pt-PT" sz="2800"/>
            </a:p>
          </xdr:txBody>
        </xdr:sp>
      </mc:Fallback>
    </mc:AlternateContent>
    <xdr:clientData/>
  </xdr:oneCellAnchor>
  <xdr:oneCellAnchor>
    <xdr:from>
      <xdr:col>12</xdr:col>
      <xdr:colOff>22411</xdr:colOff>
      <xdr:row>154</xdr:row>
      <xdr:rowOff>134470</xdr:rowOff>
    </xdr:from>
    <xdr:ext cx="806824" cy="2129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07B5B96-E650-4EE7-9372-EA6677764E26}"/>
                </a:ext>
              </a:extLst>
            </xdr:cNvPr>
            <xdr:cNvSpPr txBox="1"/>
          </xdr:nvSpPr>
          <xdr:spPr>
            <a:xfrm>
              <a:off x="9366436" y="25242370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07B5B96-E650-4EE7-9372-EA6677764E26}"/>
                </a:ext>
              </a:extLst>
            </xdr:cNvPr>
            <xdr:cNvSpPr txBox="1"/>
          </xdr:nvSpPr>
          <xdr:spPr>
            <a:xfrm>
              <a:off x="9366436" y="25242370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493058</xdr:colOff>
      <xdr:row>156</xdr:row>
      <xdr:rowOff>145677</xdr:rowOff>
    </xdr:from>
    <xdr:ext cx="806824" cy="2129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B7D6AA2-8E21-465E-8BC0-60CC23EF2A1D}"/>
                </a:ext>
              </a:extLst>
            </xdr:cNvPr>
            <xdr:cNvSpPr txBox="1"/>
          </xdr:nvSpPr>
          <xdr:spPr>
            <a:xfrm>
              <a:off x="9227483" y="25577427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B7D6AA2-8E21-465E-8BC0-60CC23EF2A1D}"/>
                </a:ext>
              </a:extLst>
            </xdr:cNvPr>
            <xdr:cNvSpPr txBox="1"/>
          </xdr:nvSpPr>
          <xdr:spPr>
            <a:xfrm>
              <a:off x="9227483" y="25577427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459442</xdr:colOff>
      <xdr:row>151</xdr:row>
      <xdr:rowOff>0</xdr:rowOff>
    </xdr:from>
    <xdr:ext cx="1320800" cy="3556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E9463482-5FA3-41EE-878A-2F0C9ADC3A83}"/>
                </a:ext>
              </a:extLst>
            </xdr:cNvPr>
            <xdr:cNvSpPr txBox="1"/>
          </xdr:nvSpPr>
          <xdr:spPr>
            <a:xfrm>
              <a:off x="1069042" y="24622125"/>
              <a:ext cx="13208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𝑛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E9463482-5FA3-41EE-878A-2F0C9ADC3A83}"/>
                </a:ext>
              </a:extLst>
            </xdr:cNvPr>
            <xdr:cNvSpPr txBox="1"/>
          </xdr:nvSpPr>
          <xdr:spPr>
            <a:xfrm>
              <a:off x="1069042" y="24622125"/>
              <a:ext cx="13208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〖𝑆𝑄〗_𝑇=𝑌^𝑇 𝑌−𝑛𝑦 ̅^2=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280146</xdr:colOff>
      <xdr:row>152</xdr:row>
      <xdr:rowOff>123265</xdr:rowOff>
    </xdr:from>
    <xdr:ext cx="1549400" cy="3810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91D20FA-CB9B-4FAB-8B39-B760E3954A3A}"/>
                </a:ext>
              </a:extLst>
            </xdr:cNvPr>
            <xdr:cNvSpPr txBox="1"/>
          </xdr:nvSpPr>
          <xdr:spPr>
            <a:xfrm>
              <a:off x="889746" y="24907315"/>
              <a:ext cx="1549400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𝑛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91D20FA-CB9B-4FAB-8B39-B760E3954A3A}"/>
                </a:ext>
              </a:extLst>
            </xdr:cNvPr>
            <xdr:cNvSpPr txBox="1"/>
          </xdr:nvSpPr>
          <xdr:spPr>
            <a:xfrm>
              <a:off x="889746" y="24907315"/>
              <a:ext cx="1549400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〖𝑆𝑄〗_𝑅=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𝑌−𝑛𝑦 ̅^2=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268942</xdr:colOff>
      <xdr:row>154</xdr:row>
      <xdr:rowOff>123264</xdr:rowOff>
    </xdr:from>
    <xdr:ext cx="1549400" cy="2635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D4C8DA9-E7D8-41FB-9613-6C8B2A501E83}"/>
                </a:ext>
              </a:extLst>
            </xdr:cNvPr>
            <xdr:cNvSpPr txBox="1"/>
          </xdr:nvSpPr>
          <xdr:spPr>
            <a:xfrm>
              <a:off x="878542" y="25231164"/>
              <a:ext cx="1549400" cy="2635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𝐸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D4C8DA9-E7D8-41FB-9613-6C8B2A501E83}"/>
                </a:ext>
              </a:extLst>
            </xdr:cNvPr>
            <xdr:cNvSpPr txBox="1"/>
          </xdr:nvSpPr>
          <xdr:spPr>
            <a:xfrm>
              <a:off x="878542" y="25231164"/>
              <a:ext cx="1549400" cy="2635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〖𝑆𝑄〗_𝐸=𝑌^𝑇 𝑌−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190500</xdr:colOff>
      <xdr:row>163</xdr:row>
      <xdr:rowOff>123263</xdr:rowOff>
    </xdr:from>
    <xdr:ext cx="818030" cy="5042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F62CC46-84BE-4BFA-99E5-4BB70DC9E45F}"/>
                </a:ext>
              </a:extLst>
            </xdr:cNvPr>
            <xdr:cNvSpPr txBox="1"/>
          </xdr:nvSpPr>
          <xdr:spPr>
            <a:xfrm>
              <a:off x="1590675" y="26688488"/>
              <a:ext cx="818030" cy="5042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𝑀</m:t>
                        </m:r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𝑀𝑄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F62CC46-84BE-4BFA-99E5-4BB70DC9E45F}"/>
                </a:ext>
              </a:extLst>
            </xdr:cNvPr>
            <xdr:cNvSpPr txBox="1"/>
          </xdr:nvSpPr>
          <xdr:spPr>
            <a:xfrm>
              <a:off x="1590675" y="26688488"/>
              <a:ext cx="818030" cy="5042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𝐹_0=(𝑀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𝑄_𝑅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〖𝑀𝑄〗_𝐸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22412</xdr:colOff>
      <xdr:row>157</xdr:row>
      <xdr:rowOff>67236</xdr:rowOff>
    </xdr:from>
    <xdr:ext cx="1053353" cy="3922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D7A02BC-4ED4-4202-9296-3366F15B0319}"/>
                </a:ext>
              </a:extLst>
            </xdr:cNvPr>
            <xdr:cNvSpPr txBox="1"/>
          </xdr:nvSpPr>
          <xdr:spPr>
            <a:xfrm>
              <a:off x="1422587" y="25660911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𝑀</m:t>
                    </m:r>
                    <m:sSub>
                      <m:sSubPr>
                        <m:ctrlP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𝑄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𝑅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𝑔𝑙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D7A02BC-4ED4-4202-9296-3366F15B0319}"/>
                </a:ext>
              </a:extLst>
            </xdr:cNvPr>
            <xdr:cNvSpPr txBox="1"/>
          </xdr:nvSpPr>
          <xdr:spPr>
            <a:xfrm>
              <a:off x="1422587" y="25660911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𝑀𝑄_𝑅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〖𝑆𝑄〗_𝑅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〖𝑔𝑙〗_𝑅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761999</xdr:colOff>
      <xdr:row>160</xdr:row>
      <xdr:rowOff>67236</xdr:rowOff>
    </xdr:from>
    <xdr:ext cx="1053353" cy="3922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0341FF8-E486-4456-AD89-13922BAAE3D4}"/>
                </a:ext>
              </a:extLst>
            </xdr:cNvPr>
            <xdr:cNvSpPr txBox="1"/>
          </xdr:nvSpPr>
          <xdr:spPr>
            <a:xfrm>
              <a:off x="1371599" y="2614668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𝑀</m:t>
                    </m:r>
                    <m:sSub>
                      <m:sSubPr>
                        <m:ctrlP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𝑄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𝐸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𝑔𝑙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0341FF8-E486-4456-AD89-13922BAAE3D4}"/>
                </a:ext>
              </a:extLst>
            </xdr:cNvPr>
            <xdr:cNvSpPr txBox="1"/>
          </xdr:nvSpPr>
          <xdr:spPr>
            <a:xfrm>
              <a:off x="1371599" y="2614668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𝑀𝑄_𝐸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〖𝑆𝑄〗_𝐸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〖𝑔𝑙〗_𝐸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twoCellAnchor editAs="oneCell">
    <xdr:from>
      <xdr:col>0</xdr:col>
      <xdr:colOff>100852</xdr:colOff>
      <xdr:row>180</xdr:row>
      <xdr:rowOff>33617</xdr:rowOff>
    </xdr:from>
    <xdr:to>
      <xdr:col>4</xdr:col>
      <xdr:colOff>244759</xdr:colOff>
      <xdr:row>183</xdr:row>
      <xdr:rowOff>96444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3A5CA372-7A6C-4CF9-BF83-00BC016CA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52" y="29389667"/>
          <a:ext cx="3382407" cy="548602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123265</xdr:colOff>
      <xdr:row>176</xdr:row>
      <xdr:rowOff>123264</xdr:rowOff>
    </xdr:from>
    <xdr:to>
      <xdr:col>2</xdr:col>
      <xdr:colOff>406448</xdr:colOff>
      <xdr:row>179</xdr:row>
      <xdr:rowOff>147986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558ECDC3-4226-4253-9133-92858E8EA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5" y="28831614"/>
          <a:ext cx="1683358" cy="510497"/>
        </a:xfrm>
        <a:prstGeom prst="rect">
          <a:avLst/>
        </a:prstGeom>
      </xdr:spPr>
    </xdr:pic>
    <xdr:clientData/>
  </xdr:twoCellAnchor>
  <xdr:oneCellAnchor>
    <xdr:from>
      <xdr:col>4</xdr:col>
      <xdr:colOff>280147</xdr:colOff>
      <xdr:row>189</xdr:row>
      <xdr:rowOff>89647</xdr:rowOff>
    </xdr:from>
    <xdr:ext cx="4616823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AF13166-A6BB-408D-90DF-58C9EB418B4B}"/>
                </a:ext>
              </a:extLst>
            </xdr:cNvPr>
            <xdr:cNvSpPr txBox="1"/>
          </xdr:nvSpPr>
          <xdr:spPr>
            <a:xfrm>
              <a:off x="3518647" y="30922072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=0, 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𝑘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=2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AF13166-A6BB-408D-90DF-58C9EB418B4B}"/>
                </a:ext>
              </a:extLst>
            </xdr:cNvPr>
            <xdr:cNvSpPr txBox="1"/>
          </xdr:nvSpPr>
          <xdr:spPr>
            <a:xfrm>
              <a:off x="3518647" y="30922072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600" b="0" i="0">
                  <a:latin typeface="Cambria Math" panose="02040503050406030204" pitchFamily="18" charset="0"/>
                </a:rPr>
                <a:t>0=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𝛽_1=𝛽_2=𝛽_3=0, 𝑘=2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4</xdr:col>
      <xdr:colOff>280147</xdr:colOff>
      <xdr:row>191</xdr:row>
      <xdr:rowOff>112059</xdr:rowOff>
    </xdr:from>
    <xdr:ext cx="4616823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4E9B531-8B70-41E8-B0D4-37D6758A7B67}"/>
                </a:ext>
              </a:extLst>
            </xdr:cNvPr>
            <xdr:cNvSpPr txBox="1"/>
          </xdr:nvSpPr>
          <xdr:spPr>
            <a:xfrm>
              <a:off x="3518647" y="31268334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2=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𝑗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𝑝𝑎𝑟𝑎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𝑎𝑙𝑔𝑢𝑚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𝑗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, 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𝑗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=1,2,3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4E9B531-8B70-41E8-B0D4-37D6758A7B67}"/>
                </a:ext>
              </a:extLst>
            </xdr:cNvPr>
            <xdr:cNvSpPr txBox="1"/>
          </xdr:nvSpPr>
          <xdr:spPr>
            <a:xfrm>
              <a:off x="3518647" y="31268334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𝐻2=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𝛽_𝑗≠0 𝑝𝑎𝑟𝑎 𝑎𝑙𝑔𝑢𝑚 𝑗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, 𝑗=1,2,3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4</xdr:col>
      <xdr:colOff>459442</xdr:colOff>
      <xdr:row>197</xdr:row>
      <xdr:rowOff>125505</xdr:rowOff>
    </xdr:from>
    <xdr:ext cx="6633882" cy="27404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4C46D4F2-CEBD-4D92-9125-7036DB4B1883}"/>
                </a:ext>
              </a:extLst>
            </xdr:cNvPr>
            <xdr:cNvSpPr txBox="1"/>
          </xdr:nvSpPr>
          <xdr:spPr>
            <a:xfrm>
              <a:off x="3697942" y="32262855"/>
              <a:ext cx="6633882" cy="2740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𝐼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.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𝐶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=]</m:t>
                  </m:r>
                  <m:sSub>
                    <m:sSub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𝐽</m:t>
                      </m:r>
                    </m:sub>
                  </m:sSub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/2[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𝑛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+1</m:t>
                      </m:r>
                    </m:e>
                  </m:d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]</m:t>
                  </m:r>
                  <m:rad>
                    <m:radPr>
                      <m:degHide m:val="on"/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𝜎</m:t>
                          </m:r>
                        </m:e>
                        <m:sup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𝐶𝑗𝑗</m:t>
                      </m:r>
                    </m:e>
                  </m:rad>
                </m:oMath>
              </a14:m>
              <a:r>
                <a:rPr lang="pt-PT" sz="1400"/>
                <a:t>,</a:t>
              </a:r>
              <a14:m>
                <m:oMath xmlns:m="http://schemas.openxmlformats.org/officeDocument/2006/math">
                  <m:sSub>
                    <m:sSub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𝐽</m:t>
                      </m:r>
                    </m:sub>
                  </m:sSub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/2[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𝑛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+1</m:t>
                      </m:r>
                    </m:e>
                  </m:d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]</m:t>
                  </m:r>
                  <m:rad>
                    <m:radPr>
                      <m:degHide m:val="on"/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𝜎</m:t>
                          </m:r>
                        </m:e>
                        <m:sup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𝐶𝑗𝑗</m:t>
                      </m:r>
                    </m:e>
                  </m:rad>
                </m:oMath>
              </a14:m>
              <a:r>
                <a:rPr lang="pt-PT" sz="1400"/>
                <a:t>[</a:t>
              </a:r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4C46D4F2-CEBD-4D92-9125-7036DB4B1883}"/>
                </a:ext>
              </a:extLst>
            </xdr:cNvPr>
            <xdr:cNvSpPr txBox="1"/>
          </xdr:nvSpPr>
          <xdr:spPr>
            <a:xfrm>
              <a:off x="3697942" y="32262855"/>
              <a:ext cx="6633882" cy="2740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𝐼.𝐶=]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𝛽_𝐽−𝑇1−𝑎/2[𝑛−(𝑘+1)]√(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 𝐶𝑗𝑗)</a:t>
              </a:r>
              <a:r>
                <a:rPr lang="pt-PT" sz="1400"/>
                <a:t>,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𝛽_𝐽+𝑇1−𝑎/2[𝑛−(𝑘+1)]√(𝜎^2 𝐶𝑗𝑗)</a:t>
              </a:r>
              <a:r>
                <a:rPr lang="pt-PT" sz="1400"/>
                <a:t>[</a:t>
              </a:r>
            </a:p>
          </xdr:txBody>
        </xdr:sp>
      </mc:Fallback>
    </mc:AlternateContent>
    <xdr:clientData/>
  </xdr:oneCellAnchor>
  <xdr:oneCellAnchor>
    <xdr:from>
      <xdr:col>2</xdr:col>
      <xdr:colOff>736227</xdr:colOff>
      <xdr:row>204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EC234EF4-6FC8-40DA-A95B-98C118ACFA4E}"/>
                </a:ext>
              </a:extLst>
            </xdr:cNvPr>
            <xdr:cNvSpPr txBox="1"/>
          </xdr:nvSpPr>
          <xdr:spPr>
            <a:xfrm>
              <a:off x="2136402" y="332825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EC234EF4-6FC8-40DA-A95B-98C118ACFA4E}"/>
                </a:ext>
              </a:extLst>
            </xdr:cNvPr>
            <xdr:cNvSpPr txBox="1"/>
          </xdr:nvSpPr>
          <xdr:spPr>
            <a:xfrm>
              <a:off x="2136402" y="332825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205</xdr:row>
      <xdr:rowOff>145675</xdr:rowOff>
    </xdr:from>
    <xdr:ext cx="288477" cy="172227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A7720F1A-6C75-4358-ABED-4289CD366810}"/>
            </a:ext>
          </a:extLst>
        </xdr:cNvPr>
        <xdr:cNvSpPr txBox="1"/>
      </xdr:nvSpPr>
      <xdr:spPr>
        <a:xfrm>
          <a:off x="2061322" y="335879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2</xdr:col>
      <xdr:colOff>736227</xdr:colOff>
      <xdr:row>214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F62E646-89B1-4C44-8F24-B3DB4AB4645D}"/>
                </a:ext>
              </a:extLst>
            </xdr:cNvPr>
            <xdr:cNvSpPr txBox="1"/>
          </xdr:nvSpPr>
          <xdr:spPr>
            <a:xfrm>
              <a:off x="2136402" y="349208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F62E646-89B1-4C44-8F24-B3DB4AB4645D}"/>
                </a:ext>
              </a:extLst>
            </xdr:cNvPr>
            <xdr:cNvSpPr txBox="1"/>
          </xdr:nvSpPr>
          <xdr:spPr>
            <a:xfrm>
              <a:off x="2136402" y="349208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215</xdr:row>
      <xdr:rowOff>145675</xdr:rowOff>
    </xdr:from>
    <xdr:ext cx="288477" cy="172227"/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A697697B-0C17-46A5-8F12-E3E838582900}"/>
            </a:ext>
          </a:extLst>
        </xdr:cNvPr>
        <xdr:cNvSpPr txBox="1"/>
      </xdr:nvSpPr>
      <xdr:spPr>
        <a:xfrm>
          <a:off x="2061322" y="352262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2</xdr:col>
      <xdr:colOff>736227</xdr:colOff>
      <xdr:row>224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69326B79-7974-405B-ACD7-F541972CE06C}"/>
                </a:ext>
              </a:extLst>
            </xdr:cNvPr>
            <xdr:cNvSpPr txBox="1"/>
          </xdr:nvSpPr>
          <xdr:spPr>
            <a:xfrm>
              <a:off x="2136402" y="365591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69326B79-7974-405B-ACD7-F541972CE06C}"/>
                </a:ext>
              </a:extLst>
            </xdr:cNvPr>
            <xdr:cNvSpPr txBox="1"/>
          </xdr:nvSpPr>
          <xdr:spPr>
            <a:xfrm>
              <a:off x="2136402" y="365591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225</xdr:row>
      <xdr:rowOff>145675</xdr:rowOff>
    </xdr:from>
    <xdr:ext cx="288477" cy="172227"/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8CFE826C-138F-4B9B-81A1-36257251C9C1}"/>
            </a:ext>
          </a:extLst>
        </xdr:cNvPr>
        <xdr:cNvSpPr txBox="1"/>
      </xdr:nvSpPr>
      <xdr:spPr>
        <a:xfrm>
          <a:off x="2061322" y="368645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2</xdr:col>
      <xdr:colOff>736227</xdr:colOff>
      <xdr:row>234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EEDD508-62E1-487A-9605-F3A01F89DAAA}"/>
                </a:ext>
              </a:extLst>
            </xdr:cNvPr>
            <xdr:cNvSpPr txBox="1"/>
          </xdr:nvSpPr>
          <xdr:spPr>
            <a:xfrm>
              <a:off x="2136402" y="381974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EEDD508-62E1-487A-9605-F3A01F89DAAA}"/>
                </a:ext>
              </a:extLst>
            </xdr:cNvPr>
            <xdr:cNvSpPr txBox="1"/>
          </xdr:nvSpPr>
          <xdr:spPr>
            <a:xfrm>
              <a:off x="2136402" y="381974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661147</xdr:colOff>
      <xdr:row>235</xdr:row>
      <xdr:rowOff>145675</xdr:rowOff>
    </xdr:from>
    <xdr:ext cx="288477" cy="172227"/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6DCA847E-BDB8-4F66-8F36-EEDA1022F9C0}"/>
            </a:ext>
          </a:extLst>
        </xdr:cNvPr>
        <xdr:cNvSpPr txBox="1"/>
      </xdr:nvSpPr>
      <xdr:spPr>
        <a:xfrm>
          <a:off x="2061322" y="385028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2</xdr:col>
      <xdr:colOff>534521</xdr:colOff>
      <xdr:row>243</xdr:row>
      <xdr:rowOff>125506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74EE0D1-5622-44AB-A2A0-5FCAC50811D9}"/>
                </a:ext>
              </a:extLst>
            </xdr:cNvPr>
            <xdr:cNvSpPr txBox="1"/>
          </xdr:nvSpPr>
          <xdr:spPr>
            <a:xfrm>
              <a:off x="1934696" y="397971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74EE0D1-5622-44AB-A2A0-5FCAC50811D9}"/>
                </a:ext>
              </a:extLst>
            </xdr:cNvPr>
            <xdr:cNvSpPr txBox="1"/>
          </xdr:nvSpPr>
          <xdr:spPr>
            <a:xfrm>
              <a:off x="1934696" y="397971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672352</xdr:colOff>
      <xdr:row>245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183368-0F2F-48AB-BCEB-F7C8B17A1B64}"/>
                </a:ext>
              </a:extLst>
            </xdr:cNvPr>
            <xdr:cNvSpPr txBox="1"/>
          </xdr:nvSpPr>
          <xdr:spPr>
            <a:xfrm>
              <a:off x="1281952" y="401299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183368-0F2F-48AB-BCEB-F7C8B17A1B64}"/>
                </a:ext>
              </a:extLst>
            </xdr:cNvPr>
            <xdr:cNvSpPr txBox="1"/>
          </xdr:nvSpPr>
          <xdr:spPr>
            <a:xfrm>
              <a:off x="1281952" y="401299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694764</xdr:colOff>
      <xdr:row>249</xdr:row>
      <xdr:rowOff>134471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F24C1FF5-12A7-4316-8E08-35E2574BD4C0}"/>
                </a:ext>
              </a:extLst>
            </xdr:cNvPr>
            <xdr:cNvSpPr txBox="1"/>
          </xdr:nvSpPr>
          <xdr:spPr>
            <a:xfrm>
              <a:off x="1304364" y="4077764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F24C1FF5-12A7-4316-8E08-35E2574BD4C0}"/>
                </a:ext>
              </a:extLst>
            </xdr:cNvPr>
            <xdr:cNvSpPr txBox="1"/>
          </xdr:nvSpPr>
          <xdr:spPr>
            <a:xfrm>
              <a:off x="1304364" y="4077764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616324</xdr:colOff>
      <xdr:row>240</xdr:row>
      <xdr:rowOff>22411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4FC3023B-A551-4DDC-B1C9-3F69D103EAAD}"/>
                </a:ext>
              </a:extLst>
            </xdr:cNvPr>
            <xdr:cNvSpPr txBox="1"/>
          </xdr:nvSpPr>
          <xdr:spPr>
            <a:xfrm>
              <a:off x="6293224" y="3920826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4FC3023B-A551-4DDC-B1C9-3F69D103EAAD}"/>
                </a:ext>
              </a:extLst>
            </xdr:cNvPr>
            <xdr:cNvSpPr txBox="1"/>
          </xdr:nvSpPr>
          <xdr:spPr>
            <a:xfrm>
              <a:off x="6293224" y="3920826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0</xdr:colOff>
      <xdr:row>248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ED0ADCF-2ADE-414B-BBF4-82E95E8B03DD}"/>
                </a:ext>
              </a:extLst>
            </xdr:cNvPr>
            <xdr:cNvSpPr txBox="1"/>
          </xdr:nvSpPr>
          <xdr:spPr>
            <a:xfrm>
              <a:off x="1400175" y="4048125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ED0ADCF-2ADE-414B-BBF4-82E95E8B03DD}"/>
                </a:ext>
              </a:extLst>
            </xdr:cNvPr>
            <xdr:cNvSpPr txBox="1"/>
          </xdr:nvSpPr>
          <xdr:spPr>
            <a:xfrm>
              <a:off x="1400175" y="4048125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459440</xdr:colOff>
      <xdr:row>243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1239143-F3CD-4573-B100-25C4FC968047}"/>
                </a:ext>
              </a:extLst>
            </xdr:cNvPr>
            <xdr:cNvSpPr txBox="1"/>
          </xdr:nvSpPr>
          <xdr:spPr>
            <a:xfrm>
              <a:off x="6974540" y="397948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1239143-F3CD-4573-B100-25C4FC968047}"/>
                </a:ext>
              </a:extLst>
            </xdr:cNvPr>
            <xdr:cNvSpPr txBox="1"/>
          </xdr:nvSpPr>
          <xdr:spPr>
            <a:xfrm>
              <a:off x="6974540" y="397948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534521</xdr:colOff>
      <xdr:row>257</xdr:row>
      <xdr:rowOff>125506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7DC03494-071E-45F9-8E10-98CE014B3DBB}"/>
                </a:ext>
              </a:extLst>
            </xdr:cNvPr>
            <xdr:cNvSpPr txBox="1"/>
          </xdr:nvSpPr>
          <xdr:spPr>
            <a:xfrm>
              <a:off x="1934696" y="421212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7DC03494-071E-45F9-8E10-98CE014B3DBB}"/>
                </a:ext>
              </a:extLst>
            </xdr:cNvPr>
            <xdr:cNvSpPr txBox="1"/>
          </xdr:nvSpPr>
          <xdr:spPr>
            <a:xfrm>
              <a:off x="1934696" y="421212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672352</xdr:colOff>
      <xdr:row>259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484A27D-E0F9-4EDF-849A-BCE3BAB210BA}"/>
                </a:ext>
              </a:extLst>
            </xdr:cNvPr>
            <xdr:cNvSpPr txBox="1"/>
          </xdr:nvSpPr>
          <xdr:spPr>
            <a:xfrm>
              <a:off x="1281952" y="424540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484A27D-E0F9-4EDF-849A-BCE3BAB210BA}"/>
                </a:ext>
              </a:extLst>
            </xdr:cNvPr>
            <xdr:cNvSpPr txBox="1"/>
          </xdr:nvSpPr>
          <xdr:spPr>
            <a:xfrm>
              <a:off x="1281952" y="424540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369794</xdr:colOff>
      <xdr:row>264</xdr:row>
      <xdr:rowOff>11206</xdr:rowOff>
    </xdr:from>
    <xdr:ext cx="1389529" cy="235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1A934519-517E-490B-A5F4-DA4A95ABE610}"/>
                </a:ext>
              </a:extLst>
            </xdr:cNvPr>
            <xdr:cNvSpPr txBox="1"/>
          </xdr:nvSpPr>
          <xdr:spPr>
            <a:xfrm>
              <a:off x="979394" y="43140406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∗(1+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0)=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1A934519-517E-490B-A5F4-DA4A95ABE610}"/>
                </a:ext>
              </a:extLst>
            </xdr:cNvPr>
            <xdr:cNvSpPr txBox="1"/>
          </xdr:nvSpPr>
          <xdr:spPr>
            <a:xfrm>
              <a:off x="979394" y="43140406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2∗(1+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616324</xdr:colOff>
      <xdr:row>254</xdr:row>
      <xdr:rowOff>22411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D526C6B-9794-4D4B-9B8D-1CD9B7E35CBC}"/>
                </a:ext>
              </a:extLst>
            </xdr:cNvPr>
            <xdr:cNvSpPr txBox="1"/>
          </xdr:nvSpPr>
          <xdr:spPr>
            <a:xfrm>
              <a:off x="6293224" y="4153236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D526C6B-9794-4D4B-9B8D-1CD9B7E35CBC}"/>
                </a:ext>
              </a:extLst>
            </xdr:cNvPr>
            <xdr:cNvSpPr txBox="1"/>
          </xdr:nvSpPr>
          <xdr:spPr>
            <a:xfrm>
              <a:off x="6293224" y="4153236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0</xdr:colOff>
      <xdr:row>262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14C8E861-A5DD-4395-9FF2-9400D8CCDE35}"/>
                </a:ext>
              </a:extLst>
            </xdr:cNvPr>
            <xdr:cNvSpPr txBox="1"/>
          </xdr:nvSpPr>
          <xdr:spPr>
            <a:xfrm>
              <a:off x="1400175" y="4280535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14C8E861-A5DD-4395-9FF2-9400D8CCDE35}"/>
                </a:ext>
              </a:extLst>
            </xdr:cNvPr>
            <xdr:cNvSpPr txBox="1"/>
          </xdr:nvSpPr>
          <xdr:spPr>
            <a:xfrm>
              <a:off x="1400175" y="4280535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459440</xdr:colOff>
      <xdr:row>257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21CFDECE-5BE7-45E9-93F8-C7DDA1196660}"/>
                </a:ext>
              </a:extLst>
            </xdr:cNvPr>
            <xdr:cNvSpPr txBox="1"/>
          </xdr:nvSpPr>
          <xdr:spPr>
            <a:xfrm>
              <a:off x="6974540" y="421189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21CFDECE-5BE7-45E9-93F8-C7DDA1196660}"/>
                </a:ext>
              </a:extLst>
            </xdr:cNvPr>
            <xdr:cNvSpPr txBox="1"/>
          </xdr:nvSpPr>
          <xdr:spPr>
            <a:xfrm>
              <a:off x="6974540" y="421189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212913</xdr:colOff>
      <xdr:row>268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580E111-A15C-4D56-A51A-05072D3E785E}"/>
                </a:ext>
              </a:extLst>
            </xdr:cNvPr>
            <xdr:cNvSpPr txBox="1"/>
          </xdr:nvSpPr>
          <xdr:spPr>
            <a:xfrm>
              <a:off x="822513" y="439349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580E111-A15C-4D56-A51A-05072D3E785E}"/>
                </a:ext>
              </a:extLst>
            </xdr:cNvPr>
            <xdr:cNvSpPr txBox="1"/>
          </xdr:nvSpPr>
          <xdr:spPr>
            <a:xfrm>
              <a:off x="822513" y="439349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𝐻0:𝐵_0=0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270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7622B50A-44F2-4437-985B-E72932250DDF}"/>
                </a:ext>
              </a:extLst>
            </xdr:cNvPr>
            <xdr:cNvSpPr txBox="1"/>
          </xdr:nvSpPr>
          <xdr:spPr>
            <a:xfrm>
              <a:off x="833717" y="442811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7622B50A-44F2-4437-985B-E72932250DDF}"/>
                </a:ext>
              </a:extLst>
            </xdr:cNvPr>
            <xdr:cNvSpPr txBox="1"/>
          </xdr:nvSpPr>
          <xdr:spPr>
            <a:xfrm>
              <a:off x="833717" y="442811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𝐻1:𝐵_0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273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DE67025F-97FA-4198-9A33-82DF14F6F772}"/>
                </a:ext>
              </a:extLst>
            </xdr:cNvPr>
            <xdr:cNvSpPr txBox="1"/>
          </xdr:nvSpPr>
          <xdr:spPr>
            <a:xfrm>
              <a:off x="1057836" y="447781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DE67025F-97FA-4198-9A33-82DF14F6F772}"/>
                </a:ext>
              </a:extLst>
            </xdr:cNvPr>
            <xdr:cNvSpPr txBox="1"/>
          </xdr:nvSpPr>
          <xdr:spPr>
            <a:xfrm>
              <a:off x="1057836" y="447781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268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5EBAB549-D989-42CF-9FA6-BF6F6CF6D17D}"/>
                </a:ext>
              </a:extLst>
            </xdr:cNvPr>
            <xdr:cNvSpPr txBox="1"/>
          </xdr:nvSpPr>
          <xdr:spPr>
            <a:xfrm>
              <a:off x="2436158" y="439259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00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5EBAB549-D989-42CF-9FA6-BF6F6CF6D17D}"/>
                </a:ext>
              </a:extLst>
            </xdr:cNvPr>
            <xdr:cNvSpPr txBox="1"/>
          </xdr:nvSpPr>
          <xdr:spPr>
            <a:xfrm>
              <a:off x="2436158" y="439259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400" b="0" i="0">
                  <a:latin typeface="Cambria Math" panose="02040503050406030204" pitchFamily="18" charset="0"/>
                </a:rPr>
                <a:t>0 ) ̂/√(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400" b="0" i="0">
                  <a:latin typeface="Cambria Math" panose="02040503050406030204" pitchFamily="18" charset="0"/>
                </a:rPr>
                <a:t>2∗𝐶_00 )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270</xdr:row>
      <xdr:rowOff>145675</xdr:rowOff>
    </xdr:from>
    <xdr:ext cx="288477" cy="172227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E89027E0-27BC-456E-8BC5-EF874EB957D8}"/>
            </a:ext>
          </a:extLst>
        </xdr:cNvPr>
        <xdr:cNvSpPr txBox="1"/>
      </xdr:nvSpPr>
      <xdr:spPr>
        <a:xfrm>
          <a:off x="5410200" y="4430357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</xdr:col>
      <xdr:colOff>212913</xdr:colOff>
      <xdr:row>286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A0C9A99-F5D2-4CD3-AD66-35F7A56577F2}"/>
                </a:ext>
              </a:extLst>
            </xdr:cNvPr>
            <xdr:cNvSpPr txBox="1"/>
          </xdr:nvSpPr>
          <xdr:spPr>
            <a:xfrm>
              <a:off x="822513" y="468686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A0C9A99-F5D2-4CD3-AD66-35F7A56577F2}"/>
                </a:ext>
              </a:extLst>
            </xdr:cNvPr>
            <xdr:cNvSpPr txBox="1"/>
          </xdr:nvSpPr>
          <xdr:spPr>
            <a:xfrm>
              <a:off x="822513" y="468686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𝐻0:𝐵_1=0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288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E9399F1-BC13-42CC-B8C0-4C0329182A4E}"/>
                </a:ext>
              </a:extLst>
            </xdr:cNvPr>
            <xdr:cNvSpPr txBox="1"/>
          </xdr:nvSpPr>
          <xdr:spPr>
            <a:xfrm>
              <a:off x="833717" y="472148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E9399F1-BC13-42CC-B8C0-4C0329182A4E}"/>
                </a:ext>
              </a:extLst>
            </xdr:cNvPr>
            <xdr:cNvSpPr txBox="1"/>
          </xdr:nvSpPr>
          <xdr:spPr>
            <a:xfrm>
              <a:off x="833717" y="472148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𝐻1:𝐵_1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291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99CBB56A-AF06-49A0-84F4-10824399D333}"/>
                </a:ext>
              </a:extLst>
            </xdr:cNvPr>
            <xdr:cNvSpPr txBox="1"/>
          </xdr:nvSpPr>
          <xdr:spPr>
            <a:xfrm>
              <a:off x="1057836" y="477118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99CBB56A-AF06-49A0-84F4-10824399D333}"/>
                </a:ext>
              </a:extLst>
            </xdr:cNvPr>
            <xdr:cNvSpPr txBox="1"/>
          </xdr:nvSpPr>
          <xdr:spPr>
            <a:xfrm>
              <a:off x="1057836" y="477118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286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0BFA6C5-15D4-4E53-BB8C-D193775D54FE}"/>
                </a:ext>
              </a:extLst>
            </xdr:cNvPr>
            <xdr:cNvSpPr txBox="1"/>
          </xdr:nvSpPr>
          <xdr:spPr>
            <a:xfrm>
              <a:off x="2436158" y="468596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0BFA6C5-15D4-4E53-BB8C-D193775D54FE}"/>
                </a:ext>
              </a:extLst>
            </xdr:cNvPr>
            <xdr:cNvSpPr txBox="1"/>
          </xdr:nvSpPr>
          <xdr:spPr>
            <a:xfrm>
              <a:off x="2436158" y="468596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𝛽_1 )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2∗𝐶_11 )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288</xdr:row>
      <xdr:rowOff>145675</xdr:rowOff>
    </xdr:from>
    <xdr:ext cx="288477" cy="172227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B4031735-1A9E-4D1E-90C1-86537EA25225}"/>
            </a:ext>
          </a:extLst>
        </xdr:cNvPr>
        <xdr:cNvSpPr txBox="1"/>
      </xdr:nvSpPr>
      <xdr:spPr>
        <a:xfrm>
          <a:off x="5410200" y="4723727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</xdr:col>
      <xdr:colOff>212913</xdr:colOff>
      <xdr:row>304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1F2473E2-77EB-454F-986A-8B808BF0822E}"/>
                </a:ext>
              </a:extLst>
            </xdr:cNvPr>
            <xdr:cNvSpPr txBox="1"/>
          </xdr:nvSpPr>
          <xdr:spPr>
            <a:xfrm>
              <a:off x="822513" y="498023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1F2473E2-77EB-454F-986A-8B808BF0822E}"/>
                </a:ext>
              </a:extLst>
            </xdr:cNvPr>
            <xdr:cNvSpPr txBox="1"/>
          </xdr:nvSpPr>
          <xdr:spPr>
            <a:xfrm>
              <a:off x="822513" y="498023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𝐻0:𝐵_2=0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306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2D26DB4F-9925-4F2E-9A37-2906548B06CE}"/>
                </a:ext>
              </a:extLst>
            </xdr:cNvPr>
            <xdr:cNvSpPr txBox="1"/>
          </xdr:nvSpPr>
          <xdr:spPr>
            <a:xfrm>
              <a:off x="833717" y="501485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2D26DB4F-9925-4F2E-9A37-2906548B06CE}"/>
                </a:ext>
              </a:extLst>
            </xdr:cNvPr>
            <xdr:cNvSpPr txBox="1"/>
          </xdr:nvSpPr>
          <xdr:spPr>
            <a:xfrm>
              <a:off x="833717" y="501485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𝐻1:𝐵_2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309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317B9C9-D8A8-4C74-AC8E-4AA4BFFC1422}"/>
                </a:ext>
              </a:extLst>
            </xdr:cNvPr>
            <xdr:cNvSpPr txBox="1"/>
          </xdr:nvSpPr>
          <xdr:spPr>
            <a:xfrm>
              <a:off x="1057836" y="506455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317B9C9-D8A8-4C74-AC8E-4AA4BFFC1422}"/>
                </a:ext>
              </a:extLst>
            </xdr:cNvPr>
            <xdr:cNvSpPr txBox="1"/>
          </xdr:nvSpPr>
          <xdr:spPr>
            <a:xfrm>
              <a:off x="1057836" y="506455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304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B8F4EF5F-090F-43D4-A4D4-538781BCD787}"/>
                </a:ext>
              </a:extLst>
            </xdr:cNvPr>
            <xdr:cNvSpPr txBox="1"/>
          </xdr:nvSpPr>
          <xdr:spPr>
            <a:xfrm>
              <a:off x="2436158" y="497933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22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B8F4EF5F-090F-43D4-A4D4-538781BCD787}"/>
                </a:ext>
              </a:extLst>
            </xdr:cNvPr>
            <xdr:cNvSpPr txBox="1"/>
          </xdr:nvSpPr>
          <xdr:spPr>
            <a:xfrm>
              <a:off x="2436158" y="497933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𝛽_2 )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2∗𝐶_22 )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306</xdr:row>
      <xdr:rowOff>145675</xdr:rowOff>
    </xdr:from>
    <xdr:ext cx="288477" cy="172227"/>
    <xdr:sp macro="" textlink="">
      <xdr:nvSpPr>
        <xdr:cNvPr id="80" name="CaixaDeTexto 79">
          <a:extLst>
            <a:ext uri="{FF2B5EF4-FFF2-40B4-BE49-F238E27FC236}">
              <a16:creationId xmlns:a16="http://schemas.microsoft.com/office/drawing/2014/main" id="{318E13E9-951E-44E2-B4ED-E7A7374ECC18}"/>
            </a:ext>
          </a:extLst>
        </xdr:cNvPr>
        <xdr:cNvSpPr txBox="1"/>
      </xdr:nvSpPr>
      <xdr:spPr>
        <a:xfrm>
          <a:off x="5410200" y="5017097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</xdr:col>
      <xdr:colOff>212913</xdr:colOff>
      <xdr:row>322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2F62D089-5108-429E-BC74-6CC342EE4DB3}"/>
                </a:ext>
              </a:extLst>
            </xdr:cNvPr>
            <xdr:cNvSpPr txBox="1"/>
          </xdr:nvSpPr>
          <xdr:spPr>
            <a:xfrm>
              <a:off x="822513" y="527360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2F62D089-5108-429E-BC74-6CC342EE4DB3}"/>
                </a:ext>
              </a:extLst>
            </xdr:cNvPr>
            <xdr:cNvSpPr txBox="1"/>
          </xdr:nvSpPr>
          <xdr:spPr>
            <a:xfrm>
              <a:off x="822513" y="527360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𝐻0:𝐵_3=0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224117</xdr:colOff>
      <xdr:row>324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193AE684-AD0D-46AE-8F36-A901C66DC9F9}"/>
                </a:ext>
              </a:extLst>
            </xdr:cNvPr>
            <xdr:cNvSpPr txBox="1"/>
          </xdr:nvSpPr>
          <xdr:spPr>
            <a:xfrm>
              <a:off x="833717" y="53082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193AE684-AD0D-46AE-8F36-A901C66DC9F9}"/>
                </a:ext>
              </a:extLst>
            </xdr:cNvPr>
            <xdr:cNvSpPr txBox="1"/>
          </xdr:nvSpPr>
          <xdr:spPr>
            <a:xfrm>
              <a:off x="833717" y="53082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𝐻1:𝐵_3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448236</xdr:colOff>
      <xdr:row>327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ECF30E0F-2B67-4E7A-ACA8-1EF81BA1961F}"/>
                </a:ext>
              </a:extLst>
            </xdr:cNvPr>
            <xdr:cNvSpPr txBox="1"/>
          </xdr:nvSpPr>
          <xdr:spPr>
            <a:xfrm>
              <a:off x="1057836" y="535792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ECF30E0F-2B67-4E7A-ACA8-1EF81BA1961F}"/>
                </a:ext>
              </a:extLst>
            </xdr:cNvPr>
            <xdr:cNvSpPr txBox="1"/>
          </xdr:nvSpPr>
          <xdr:spPr>
            <a:xfrm>
              <a:off x="1057836" y="535792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112058</xdr:colOff>
      <xdr:row>322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D8F876F5-D5CF-4C57-8807-F5002DA834C3}"/>
                </a:ext>
              </a:extLst>
            </xdr:cNvPr>
            <xdr:cNvSpPr txBox="1"/>
          </xdr:nvSpPr>
          <xdr:spPr>
            <a:xfrm>
              <a:off x="2436158" y="527270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33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D8F876F5-D5CF-4C57-8807-F5002DA834C3}"/>
                </a:ext>
              </a:extLst>
            </xdr:cNvPr>
            <xdr:cNvSpPr txBox="1"/>
          </xdr:nvSpPr>
          <xdr:spPr>
            <a:xfrm>
              <a:off x="2436158" y="527270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𝛽_3 )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2∗𝐶_33 )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571500</xdr:colOff>
      <xdr:row>324</xdr:row>
      <xdr:rowOff>145675</xdr:rowOff>
    </xdr:from>
    <xdr:ext cx="288477" cy="172227"/>
    <xdr:sp macro="" textlink="">
      <xdr:nvSpPr>
        <xdr:cNvPr id="86" name="CaixaDeTexto 85">
          <a:extLst>
            <a:ext uri="{FF2B5EF4-FFF2-40B4-BE49-F238E27FC236}">
              <a16:creationId xmlns:a16="http://schemas.microsoft.com/office/drawing/2014/main" id="{08A3213D-3FF2-4CC7-83CF-1D2D2ECE3527}"/>
            </a:ext>
          </a:extLst>
        </xdr:cNvPr>
        <xdr:cNvSpPr txBox="1"/>
      </xdr:nvSpPr>
      <xdr:spPr>
        <a:xfrm>
          <a:off x="5410200" y="5310467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twoCellAnchor editAs="oneCell">
    <xdr:from>
      <xdr:col>23</xdr:col>
      <xdr:colOff>220044</xdr:colOff>
      <xdr:row>246</xdr:row>
      <xdr:rowOff>8150</xdr:rowOff>
    </xdr:from>
    <xdr:to>
      <xdr:col>32</xdr:col>
      <xdr:colOff>437579</xdr:colOff>
      <xdr:row>249</xdr:row>
      <xdr:rowOff>42398</xdr:rowOff>
    </xdr:to>
    <xdr:pic>
      <xdr:nvPicPr>
        <xdr:cNvPr id="88" name="Imagem 87">
          <a:extLst>
            <a:ext uri="{FF2B5EF4-FFF2-40B4-BE49-F238E27FC236}">
              <a16:creationId xmlns:a16="http://schemas.microsoft.com/office/drawing/2014/main" id="{4795B87E-51FB-46A9-8191-3C82D9618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84069" y="40165550"/>
          <a:ext cx="5799185" cy="520023"/>
        </a:xfrm>
        <a:prstGeom prst="rect">
          <a:avLst/>
        </a:prstGeom>
      </xdr:spPr>
    </xdr:pic>
    <xdr:clientData/>
  </xdr:twoCellAnchor>
  <xdr:twoCellAnchor editAs="oneCell">
    <xdr:from>
      <xdr:col>24</xdr:col>
      <xdr:colOff>21394</xdr:colOff>
      <xdr:row>259</xdr:row>
      <xdr:rowOff>68253</xdr:rowOff>
    </xdr:from>
    <xdr:to>
      <xdr:col>33</xdr:col>
      <xdr:colOff>324665</xdr:colOff>
      <xdr:row>262</xdr:row>
      <xdr:rowOff>54870</xdr:rowOff>
    </xdr:to>
    <xdr:pic>
      <xdr:nvPicPr>
        <xdr:cNvPr id="89" name="Imagem 88">
          <a:extLst>
            <a:ext uri="{FF2B5EF4-FFF2-40B4-BE49-F238E27FC236}">
              <a16:creationId xmlns:a16="http://schemas.microsoft.com/office/drawing/2014/main" id="{C3A349B5-7552-4CFA-B190-4F850F80F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95019" y="42387828"/>
          <a:ext cx="5884921" cy="472392"/>
        </a:xfrm>
        <a:prstGeom prst="rect">
          <a:avLst/>
        </a:prstGeom>
      </xdr:spPr>
    </xdr:pic>
    <xdr:clientData/>
  </xdr:twoCellAnchor>
  <xdr:twoCellAnchor editAs="oneCell">
    <xdr:from>
      <xdr:col>24</xdr:col>
      <xdr:colOff>409525</xdr:colOff>
      <xdr:row>268</xdr:row>
      <xdr:rowOff>37693</xdr:rowOff>
    </xdr:from>
    <xdr:to>
      <xdr:col>33</xdr:col>
      <xdr:colOff>330725</xdr:colOff>
      <xdr:row>283</xdr:row>
      <xdr:rowOff>141231</xdr:rowOff>
    </xdr:to>
    <xdr:pic>
      <xdr:nvPicPr>
        <xdr:cNvPr id="90" name="Imagem 89">
          <a:extLst>
            <a:ext uri="{FF2B5EF4-FFF2-40B4-BE49-F238E27FC236}">
              <a16:creationId xmlns:a16="http://schemas.microsoft.com/office/drawing/2014/main" id="{4639E0B2-DE43-40D6-B0C0-ED7B77C1C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83150" y="43871743"/>
          <a:ext cx="5502850" cy="2532413"/>
        </a:xfrm>
        <a:prstGeom prst="rect">
          <a:avLst/>
        </a:prstGeom>
      </xdr:spPr>
    </xdr:pic>
    <xdr:clientData/>
  </xdr:twoCellAnchor>
  <xdr:oneCellAnchor>
    <xdr:from>
      <xdr:col>13</xdr:col>
      <xdr:colOff>212913</xdr:colOff>
      <xdr:row>268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1B1946D3-6608-4B69-9504-6B86CEBF931F}"/>
                </a:ext>
              </a:extLst>
            </xdr:cNvPr>
            <xdr:cNvSpPr txBox="1"/>
          </xdr:nvSpPr>
          <xdr:spPr>
            <a:xfrm>
              <a:off x="10166538" y="439349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1B1946D3-6608-4B69-9504-6B86CEBF931F}"/>
                </a:ext>
              </a:extLst>
            </xdr:cNvPr>
            <xdr:cNvSpPr txBox="1"/>
          </xdr:nvSpPr>
          <xdr:spPr>
            <a:xfrm>
              <a:off x="10166538" y="439349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𝐻0:𝐵_0=0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270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F8196ABD-BD49-4160-ACAF-E8F9A8720653}"/>
                </a:ext>
              </a:extLst>
            </xdr:cNvPr>
            <xdr:cNvSpPr txBox="1"/>
          </xdr:nvSpPr>
          <xdr:spPr>
            <a:xfrm>
              <a:off x="10177742" y="442811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F8196ABD-BD49-4160-ACAF-E8F9A8720653}"/>
                </a:ext>
              </a:extLst>
            </xdr:cNvPr>
            <xdr:cNvSpPr txBox="1"/>
          </xdr:nvSpPr>
          <xdr:spPr>
            <a:xfrm>
              <a:off x="10177742" y="442811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𝐻1:𝐵_0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273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871C95C9-CBEF-45CE-AD96-DCB0653E0ECD}"/>
                </a:ext>
              </a:extLst>
            </xdr:cNvPr>
            <xdr:cNvSpPr txBox="1"/>
          </xdr:nvSpPr>
          <xdr:spPr>
            <a:xfrm>
              <a:off x="10401861" y="447781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871C95C9-CBEF-45CE-AD96-DCB0653E0ECD}"/>
                </a:ext>
              </a:extLst>
            </xdr:cNvPr>
            <xdr:cNvSpPr txBox="1"/>
          </xdr:nvSpPr>
          <xdr:spPr>
            <a:xfrm>
              <a:off x="10401861" y="447781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268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6B75F66D-BE69-41C6-9978-C3D11A41F361}"/>
                </a:ext>
              </a:extLst>
            </xdr:cNvPr>
            <xdr:cNvSpPr txBox="1"/>
          </xdr:nvSpPr>
          <xdr:spPr>
            <a:xfrm>
              <a:off x="11713508" y="439259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00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6B75F66D-BE69-41C6-9978-C3D11A41F361}"/>
                </a:ext>
              </a:extLst>
            </xdr:cNvPr>
            <xdr:cNvSpPr txBox="1"/>
          </xdr:nvSpPr>
          <xdr:spPr>
            <a:xfrm>
              <a:off x="11713508" y="439259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400" b="0" i="0">
                  <a:latin typeface="Cambria Math" panose="02040503050406030204" pitchFamily="18" charset="0"/>
                </a:rPr>
                <a:t>0 ) ̂/√(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400" b="0" i="0">
                  <a:latin typeface="Cambria Math" panose="02040503050406030204" pitchFamily="18" charset="0"/>
                </a:rPr>
                <a:t>2∗𝐶_00 )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297656</xdr:colOff>
      <xdr:row>271</xdr:row>
      <xdr:rowOff>14706</xdr:rowOff>
    </xdr:from>
    <xdr:ext cx="288477" cy="172227"/>
    <xdr:sp macro="" textlink="">
      <xdr:nvSpPr>
        <xdr:cNvPr id="95" name="CaixaDeTexto 94">
          <a:extLst>
            <a:ext uri="{FF2B5EF4-FFF2-40B4-BE49-F238E27FC236}">
              <a16:creationId xmlns:a16="http://schemas.microsoft.com/office/drawing/2014/main" id="{C7D24118-42DB-4CCF-A2E7-4F0521FBB7BC}"/>
            </a:ext>
          </a:extLst>
        </xdr:cNvPr>
        <xdr:cNvSpPr txBox="1"/>
      </xdr:nvSpPr>
      <xdr:spPr>
        <a:xfrm>
          <a:off x="14213681" y="44334531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13</xdr:col>
      <xdr:colOff>212913</xdr:colOff>
      <xdr:row>286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79C00E0-1925-4D3B-BDE9-84F0466DC1DA}"/>
                </a:ext>
              </a:extLst>
            </xdr:cNvPr>
            <xdr:cNvSpPr txBox="1"/>
          </xdr:nvSpPr>
          <xdr:spPr>
            <a:xfrm>
              <a:off x="10166538" y="468686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79C00E0-1925-4D3B-BDE9-84F0466DC1DA}"/>
                </a:ext>
              </a:extLst>
            </xdr:cNvPr>
            <xdr:cNvSpPr txBox="1"/>
          </xdr:nvSpPr>
          <xdr:spPr>
            <a:xfrm>
              <a:off x="10166538" y="468686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𝐻0:𝐵_1=0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288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0E053B4D-0BB6-46B8-B22B-100BE02797BA}"/>
                </a:ext>
              </a:extLst>
            </xdr:cNvPr>
            <xdr:cNvSpPr txBox="1"/>
          </xdr:nvSpPr>
          <xdr:spPr>
            <a:xfrm>
              <a:off x="10177742" y="472148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0E053B4D-0BB6-46B8-B22B-100BE02797BA}"/>
                </a:ext>
              </a:extLst>
            </xdr:cNvPr>
            <xdr:cNvSpPr txBox="1"/>
          </xdr:nvSpPr>
          <xdr:spPr>
            <a:xfrm>
              <a:off x="10177742" y="472148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𝐻1:𝐵_1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291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80FF8DE1-0D31-4B90-B3C1-213CF265FE2A}"/>
                </a:ext>
              </a:extLst>
            </xdr:cNvPr>
            <xdr:cNvSpPr txBox="1"/>
          </xdr:nvSpPr>
          <xdr:spPr>
            <a:xfrm>
              <a:off x="10401861" y="477118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80FF8DE1-0D31-4B90-B3C1-213CF265FE2A}"/>
                </a:ext>
              </a:extLst>
            </xdr:cNvPr>
            <xdr:cNvSpPr txBox="1"/>
          </xdr:nvSpPr>
          <xdr:spPr>
            <a:xfrm>
              <a:off x="10401861" y="477118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286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489EEE32-6191-41C9-86D8-6BA37F9B2D2B}"/>
                </a:ext>
              </a:extLst>
            </xdr:cNvPr>
            <xdr:cNvSpPr txBox="1"/>
          </xdr:nvSpPr>
          <xdr:spPr>
            <a:xfrm>
              <a:off x="11713508" y="468596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489EEE32-6191-41C9-86D8-6BA37F9B2D2B}"/>
                </a:ext>
              </a:extLst>
            </xdr:cNvPr>
            <xdr:cNvSpPr txBox="1"/>
          </xdr:nvSpPr>
          <xdr:spPr>
            <a:xfrm>
              <a:off x="11713508" y="468596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𝛽_1 )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2∗𝐶_11 )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297656</xdr:colOff>
      <xdr:row>289</xdr:row>
      <xdr:rowOff>14706</xdr:rowOff>
    </xdr:from>
    <xdr:ext cx="288477" cy="172227"/>
    <xdr:sp macro="" textlink="">
      <xdr:nvSpPr>
        <xdr:cNvPr id="101" name="CaixaDeTexto 100">
          <a:extLst>
            <a:ext uri="{FF2B5EF4-FFF2-40B4-BE49-F238E27FC236}">
              <a16:creationId xmlns:a16="http://schemas.microsoft.com/office/drawing/2014/main" id="{559F6948-045A-44E5-808E-A8EFB5574C6A}"/>
            </a:ext>
          </a:extLst>
        </xdr:cNvPr>
        <xdr:cNvSpPr txBox="1"/>
      </xdr:nvSpPr>
      <xdr:spPr>
        <a:xfrm>
          <a:off x="14213681" y="47268231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13</xdr:col>
      <xdr:colOff>212913</xdr:colOff>
      <xdr:row>304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AE46A64D-ACFA-48A5-A72C-37DA232554B8}"/>
                </a:ext>
              </a:extLst>
            </xdr:cNvPr>
            <xdr:cNvSpPr txBox="1"/>
          </xdr:nvSpPr>
          <xdr:spPr>
            <a:xfrm>
              <a:off x="10166538" y="498023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AE46A64D-ACFA-48A5-A72C-37DA232554B8}"/>
                </a:ext>
              </a:extLst>
            </xdr:cNvPr>
            <xdr:cNvSpPr txBox="1"/>
          </xdr:nvSpPr>
          <xdr:spPr>
            <a:xfrm>
              <a:off x="10166538" y="498023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𝐻0:𝐵_2=0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306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23440546-E49B-4C03-8598-C5575AE03217}"/>
                </a:ext>
              </a:extLst>
            </xdr:cNvPr>
            <xdr:cNvSpPr txBox="1"/>
          </xdr:nvSpPr>
          <xdr:spPr>
            <a:xfrm>
              <a:off x="10177742" y="501485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23440546-E49B-4C03-8598-C5575AE03217}"/>
                </a:ext>
              </a:extLst>
            </xdr:cNvPr>
            <xdr:cNvSpPr txBox="1"/>
          </xdr:nvSpPr>
          <xdr:spPr>
            <a:xfrm>
              <a:off x="10177742" y="501485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𝐻1:𝐵_2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309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7D519C63-F86D-4A36-9C07-F4EAD8072B50}"/>
                </a:ext>
              </a:extLst>
            </xdr:cNvPr>
            <xdr:cNvSpPr txBox="1"/>
          </xdr:nvSpPr>
          <xdr:spPr>
            <a:xfrm>
              <a:off x="10401861" y="506455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7D519C63-F86D-4A36-9C07-F4EAD8072B50}"/>
                </a:ext>
              </a:extLst>
            </xdr:cNvPr>
            <xdr:cNvSpPr txBox="1"/>
          </xdr:nvSpPr>
          <xdr:spPr>
            <a:xfrm>
              <a:off x="10401861" y="506455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304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57F7018C-DF7A-4D85-8D2D-8CF5AD196BE7}"/>
                </a:ext>
              </a:extLst>
            </xdr:cNvPr>
            <xdr:cNvSpPr txBox="1"/>
          </xdr:nvSpPr>
          <xdr:spPr>
            <a:xfrm>
              <a:off x="11713508" y="497933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22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57F7018C-DF7A-4D85-8D2D-8CF5AD196BE7}"/>
                </a:ext>
              </a:extLst>
            </xdr:cNvPr>
            <xdr:cNvSpPr txBox="1"/>
          </xdr:nvSpPr>
          <xdr:spPr>
            <a:xfrm>
              <a:off x="11713508" y="497933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𝛽_2 )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2∗𝐶_22 )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297656</xdr:colOff>
      <xdr:row>307</xdr:row>
      <xdr:rowOff>14706</xdr:rowOff>
    </xdr:from>
    <xdr:ext cx="288477" cy="172227"/>
    <xdr:sp macro="" textlink="">
      <xdr:nvSpPr>
        <xdr:cNvPr id="107" name="CaixaDeTexto 106">
          <a:extLst>
            <a:ext uri="{FF2B5EF4-FFF2-40B4-BE49-F238E27FC236}">
              <a16:creationId xmlns:a16="http://schemas.microsoft.com/office/drawing/2014/main" id="{19509295-3937-441C-91DE-C956866AE1D0}"/>
            </a:ext>
          </a:extLst>
        </xdr:cNvPr>
        <xdr:cNvSpPr txBox="1"/>
      </xdr:nvSpPr>
      <xdr:spPr>
        <a:xfrm>
          <a:off x="14213681" y="50201931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13</xdr:col>
      <xdr:colOff>212913</xdr:colOff>
      <xdr:row>322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DF25127E-C40F-4658-8D20-47A3CE319759}"/>
                </a:ext>
              </a:extLst>
            </xdr:cNvPr>
            <xdr:cNvSpPr txBox="1"/>
          </xdr:nvSpPr>
          <xdr:spPr>
            <a:xfrm>
              <a:off x="10166538" y="527360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DF25127E-C40F-4658-8D20-47A3CE319759}"/>
                </a:ext>
              </a:extLst>
            </xdr:cNvPr>
            <xdr:cNvSpPr txBox="1"/>
          </xdr:nvSpPr>
          <xdr:spPr>
            <a:xfrm>
              <a:off x="10166538" y="527360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𝐻0:𝐵_3=0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224117</xdr:colOff>
      <xdr:row>324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BBB6C14A-7515-4F6C-A701-21F95BCDFA72}"/>
                </a:ext>
              </a:extLst>
            </xdr:cNvPr>
            <xdr:cNvSpPr txBox="1"/>
          </xdr:nvSpPr>
          <xdr:spPr>
            <a:xfrm>
              <a:off x="10177742" y="53082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BBB6C14A-7515-4F6C-A701-21F95BCDFA72}"/>
                </a:ext>
              </a:extLst>
            </xdr:cNvPr>
            <xdr:cNvSpPr txBox="1"/>
          </xdr:nvSpPr>
          <xdr:spPr>
            <a:xfrm>
              <a:off x="10177742" y="53082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𝐻1:𝐵_3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13</xdr:col>
      <xdr:colOff>448236</xdr:colOff>
      <xdr:row>327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A6FFFD79-838D-4E14-BC6F-D40E508B0006}"/>
                </a:ext>
              </a:extLst>
            </xdr:cNvPr>
            <xdr:cNvSpPr txBox="1"/>
          </xdr:nvSpPr>
          <xdr:spPr>
            <a:xfrm>
              <a:off x="10401861" y="535792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A6FFFD79-838D-4E14-BC6F-D40E508B0006}"/>
                </a:ext>
              </a:extLst>
            </xdr:cNvPr>
            <xdr:cNvSpPr txBox="1"/>
          </xdr:nvSpPr>
          <xdr:spPr>
            <a:xfrm>
              <a:off x="10401861" y="535792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112058</xdr:colOff>
      <xdr:row>322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72E54470-6E8F-48A9-B556-B0956F166B5B}"/>
                </a:ext>
              </a:extLst>
            </xdr:cNvPr>
            <xdr:cNvSpPr txBox="1"/>
          </xdr:nvSpPr>
          <xdr:spPr>
            <a:xfrm>
              <a:off x="11713508" y="527270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33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72E54470-6E8F-48A9-B556-B0956F166B5B}"/>
                </a:ext>
              </a:extLst>
            </xdr:cNvPr>
            <xdr:cNvSpPr txBox="1"/>
          </xdr:nvSpPr>
          <xdr:spPr>
            <a:xfrm>
              <a:off x="11713508" y="527270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𝛽_3 )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2∗𝐶_33 )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297656</xdr:colOff>
      <xdr:row>325</xdr:row>
      <xdr:rowOff>14706</xdr:rowOff>
    </xdr:from>
    <xdr:ext cx="288477" cy="172227"/>
    <xdr:sp macro="" textlink="">
      <xdr:nvSpPr>
        <xdr:cNvPr id="113" name="CaixaDeTexto 112">
          <a:extLst>
            <a:ext uri="{FF2B5EF4-FFF2-40B4-BE49-F238E27FC236}">
              <a16:creationId xmlns:a16="http://schemas.microsoft.com/office/drawing/2014/main" id="{CD2F570E-EEF3-42DE-AAFC-43A24096BE8C}"/>
            </a:ext>
          </a:extLst>
        </xdr:cNvPr>
        <xdr:cNvSpPr txBox="1"/>
      </xdr:nvSpPr>
      <xdr:spPr>
        <a:xfrm>
          <a:off x="14213681" y="53135631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14</xdr:col>
      <xdr:colOff>510008</xdr:colOff>
      <xdr:row>203</xdr:row>
      <xdr:rowOff>157023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6535B02D-AD25-4BD1-B7CE-213C66F2F413}"/>
                </a:ext>
              </a:extLst>
            </xdr:cNvPr>
            <xdr:cNvSpPr txBox="1"/>
          </xdr:nvSpPr>
          <xdr:spPr>
            <a:xfrm>
              <a:off x="11292308" y="33275448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6535B02D-AD25-4BD1-B7CE-213C66F2F413}"/>
                </a:ext>
              </a:extLst>
            </xdr:cNvPr>
            <xdr:cNvSpPr txBox="1"/>
          </xdr:nvSpPr>
          <xdr:spPr>
            <a:xfrm>
              <a:off x="11292308" y="33275448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530179</xdr:colOff>
      <xdr:row>206</xdr:row>
      <xdr:rowOff>26612</xdr:rowOff>
    </xdr:from>
    <xdr:ext cx="288477" cy="172227"/>
    <xdr:sp macro="" textlink="">
      <xdr:nvSpPr>
        <xdr:cNvPr id="117" name="CaixaDeTexto 116">
          <a:extLst>
            <a:ext uri="{FF2B5EF4-FFF2-40B4-BE49-F238E27FC236}">
              <a16:creationId xmlns:a16="http://schemas.microsoft.com/office/drawing/2014/main" id="{F9682081-6967-4C56-AA9B-52FDB02FBC64}"/>
            </a:ext>
          </a:extLst>
        </xdr:cNvPr>
        <xdr:cNvSpPr txBox="1"/>
      </xdr:nvSpPr>
      <xdr:spPr>
        <a:xfrm>
          <a:off x="11312479" y="33630812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14</xdr:col>
      <xdr:colOff>581446</xdr:colOff>
      <xdr:row>214</xdr:row>
      <xdr:rowOff>14147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8F407BA-445F-4936-B97C-D585EDA3E793}"/>
                </a:ext>
              </a:extLst>
            </xdr:cNvPr>
            <xdr:cNvSpPr txBox="1"/>
          </xdr:nvSpPr>
          <xdr:spPr>
            <a:xfrm>
              <a:off x="11363746" y="3493279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8F407BA-445F-4936-B97C-D585EDA3E793}"/>
                </a:ext>
              </a:extLst>
            </xdr:cNvPr>
            <xdr:cNvSpPr txBox="1"/>
          </xdr:nvSpPr>
          <xdr:spPr>
            <a:xfrm>
              <a:off x="11363746" y="34932797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506366</xdr:colOff>
      <xdr:row>215</xdr:row>
      <xdr:rowOff>157581</xdr:rowOff>
    </xdr:from>
    <xdr:ext cx="288477" cy="172227"/>
    <xdr:sp macro="" textlink="">
      <xdr:nvSpPr>
        <xdr:cNvPr id="120" name="CaixaDeTexto 119">
          <a:extLst>
            <a:ext uri="{FF2B5EF4-FFF2-40B4-BE49-F238E27FC236}">
              <a16:creationId xmlns:a16="http://schemas.microsoft.com/office/drawing/2014/main" id="{EE93D8BB-6F8C-4275-BBD2-0F5B51A3BD76}"/>
            </a:ext>
          </a:extLst>
        </xdr:cNvPr>
        <xdr:cNvSpPr txBox="1"/>
      </xdr:nvSpPr>
      <xdr:spPr>
        <a:xfrm>
          <a:off x="11288666" y="35238156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14</xdr:col>
      <xdr:colOff>569540</xdr:colOff>
      <xdr:row>224</xdr:row>
      <xdr:rowOff>14148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CE47F335-F146-42F9-8225-07E942F154B3}"/>
                </a:ext>
              </a:extLst>
            </xdr:cNvPr>
            <xdr:cNvSpPr txBox="1"/>
          </xdr:nvSpPr>
          <xdr:spPr>
            <a:xfrm>
              <a:off x="11351840" y="36571098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CE47F335-F146-42F9-8225-07E942F154B3}"/>
                </a:ext>
              </a:extLst>
            </xdr:cNvPr>
            <xdr:cNvSpPr txBox="1"/>
          </xdr:nvSpPr>
          <xdr:spPr>
            <a:xfrm>
              <a:off x="11351840" y="36571098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494460</xdr:colOff>
      <xdr:row>225</xdr:row>
      <xdr:rowOff>157582</xdr:rowOff>
    </xdr:from>
    <xdr:ext cx="288477" cy="172227"/>
    <xdr:sp macro="" textlink="">
      <xdr:nvSpPr>
        <xdr:cNvPr id="123" name="CaixaDeTexto 122">
          <a:extLst>
            <a:ext uri="{FF2B5EF4-FFF2-40B4-BE49-F238E27FC236}">
              <a16:creationId xmlns:a16="http://schemas.microsoft.com/office/drawing/2014/main" id="{A3209F68-BD61-4358-B7AB-9213B5D41C60}"/>
            </a:ext>
          </a:extLst>
        </xdr:cNvPr>
        <xdr:cNvSpPr txBox="1"/>
      </xdr:nvSpPr>
      <xdr:spPr>
        <a:xfrm>
          <a:off x="11276760" y="36876457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14</xdr:col>
      <xdr:colOff>569540</xdr:colOff>
      <xdr:row>234</xdr:row>
      <xdr:rowOff>14148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CF33F071-B800-45FD-B49D-B5846721693B}"/>
                </a:ext>
              </a:extLst>
            </xdr:cNvPr>
            <xdr:cNvSpPr txBox="1"/>
          </xdr:nvSpPr>
          <xdr:spPr>
            <a:xfrm>
              <a:off x="11351840" y="38209398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CF33F071-B800-45FD-B49D-B5846721693B}"/>
                </a:ext>
              </a:extLst>
            </xdr:cNvPr>
            <xdr:cNvSpPr txBox="1"/>
          </xdr:nvSpPr>
          <xdr:spPr>
            <a:xfrm>
              <a:off x="11351840" y="38209398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494460</xdr:colOff>
      <xdr:row>235</xdr:row>
      <xdr:rowOff>157582</xdr:rowOff>
    </xdr:from>
    <xdr:ext cx="288477" cy="172227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0A185932-BA51-47B0-9ED0-CFB2CFAC94AA}"/>
            </a:ext>
          </a:extLst>
        </xdr:cNvPr>
        <xdr:cNvSpPr txBox="1"/>
      </xdr:nvSpPr>
      <xdr:spPr>
        <a:xfrm>
          <a:off x="11276760" y="38514757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14</xdr:col>
      <xdr:colOff>534521</xdr:colOff>
      <xdr:row>243</xdr:row>
      <xdr:rowOff>125506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6848EF2D-46F0-4219-993A-711207A17BF8}"/>
                </a:ext>
              </a:extLst>
            </xdr:cNvPr>
            <xdr:cNvSpPr txBox="1"/>
          </xdr:nvSpPr>
          <xdr:spPr>
            <a:xfrm>
              <a:off x="11316821" y="397971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6848EF2D-46F0-4219-993A-711207A17BF8}"/>
                </a:ext>
              </a:extLst>
            </xdr:cNvPr>
            <xdr:cNvSpPr txBox="1"/>
          </xdr:nvSpPr>
          <xdr:spPr>
            <a:xfrm>
              <a:off x="11316821" y="397971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672352</xdr:colOff>
      <xdr:row>245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724A4A53-DD99-4C84-B909-248315D4416E}"/>
                </a:ext>
              </a:extLst>
            </xdr:cNvPr>
            <xdr:cNvSpPr txBox="1"/>
          </xdr:nvSpPr>
          <xdr:spPr>
            <a:xfrm>
              <a:off x="10625977" y="401299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724A4A53-DD99-4C84-B909-248315D4416E}"/>
                </a:ext>
              </a:extLst>
            </xdr:cNvPr>
            <xdr:cNvSpPr txBox="1"/>
          </xdr:nvSpPr>
          <xdr:spPr>
            <a:xfrm>
              <a:off x="10625977" y="401299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694764</xdr:colOff>
      <xdr:row>249</xdr:row>
      <xdr:rowOff>134471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02208D8-792F-49B5-86EA-A097B03DCE7C}"/>
                </a:ext>
              </a:extLst>
            </xdr:cNvPr>
            <xdr:cNvSpPr txBox="1"/>
          </xdr:nvSpPr>
          <xdr:spPr>
            <a:xfrm>
              <a:off x="10648389" y="4077764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02208D8-792F-49B5-86EA-A097B03DCE7C}"/>
                </a:ext>
              </a:extLst>
            </xdr:cNvPr>
            <xdr:cNvSpPr txBox="1"/>
          </xdr:nvSpPr>
          <xdr:spPr>
            <a:xfrm>
              <a:off x="10648389" y="4077764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392486</xdr:colOff>
      <xdr:row>239</xdr:row>
      <xdr:rowOff>165286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A35ABF6E-A40A-4A9F-8E57-61C49BB64C35}"/>
                </a:ext>
              </a:extLst>
            </xdr:cNvPr>
            <xdr:cNvSpPr txBox="1"/>
          </xdr:nvSpPr>
          <xdr:spPr>
            <a:xfrm>
              <a:off x="14918111" y="3917968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A35ABF6E-A40A-4A9F-8E57-61C49BB64C35}"/>
                </a:ext>
              </a:extLst>
            </xdr:cNvPr>
            <xdr:cNvSpPr txBox="1"/>
          </xdr:nvSpPr>
          <xdr:spPr>
            <a:xfrm>
              <a:off x="14918111" y="3917968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0</xdr:colOff>
      <xdr:row>248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55608A79-31A8-44CA-8103-28F13965B78B}"/>
                </a:ext>
              </a:extLst>
            </xdr:cNvPr>
            <xdr:cNvSpPr txBox="1"/>
          </xdr:nvSpPr>
          <xdr:spPr>
            <a:xfrm>
              <a:off x="10782300" y="4048125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55608A79-31A8-44CA-8103-28F13965B78B}"/>
                </a:ext>
              </a:extLst>
            </xdr:cNvPr>
            <xdr:cNvSpPr txBox="1"/>
          </xdr:nvSpPr>
          <xdr:spPr>
            <a:xfrm>
              <a:off x="10782300" y="4048125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459440</xdr:colOff>
      <xdr:row>243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6B039053-AF97-4CBD-9794-EAB971F44FB9}"/>
                </a:ext>
              </a:extLst>
            </xdr:cNvPr>
            <xdr:cNvSpPr txBox="1"/>
          </xdr:nvSpPr>
          <xdr:spPr>
            <a:xfrm>
              <a:off x="15594665" y="397948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6B039053-AF97-4CBD-9794-EAB971F44FB9}"/>
                </a:ext>
              </a:extLst>
            </xdr:cNvPr>
            <xdr:cNvSpPr txBox="1"/>
          </xdr:nvSpPr>
          <xdr:spPr>
            <a:xfrm>
              <a:off x="15594665" y="397948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534521</xdr:colOff>
      <xdr:row>257</xdr:row>
      <xdr:rowOff>125506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1173CCD-EF8B-4046-A397-7E38E6D4028B}"/>
                </a:ext>
              </a:extLst>
            </xdr:cNvPr>
            <xdr:cNvSpPr txBox="1"/>
          </xdr:nvSpPr>
          <xdr:spPr>
            <a:xfrm>
              <a:off x="11316821" y="421212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1173CCD-EF8B-4046-A397-7E38E6D4028B}"/>
                </a:ext>
              </a:extLst>
            </xdr:cNvPr>
            <xdr:cNvSpPr txBox="1"/>
          </xdr:nvSpPr>
          <xdr:spPr>
            <a:xfrm>
              <a:off x="11316821" y="421212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672352</xdr:colOff>
      <xdr:row>259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B5077D97-FE6F-48B2-92A5-17A4B69D98F4}"/>
                </a:ext>
              </a:extLst>
            </xdr:cNvPr>
            <xdr:cNvSpPr txBox="1"/>
          </xdr:nvSpPr>
          <xdr:spPr>
            <a:xfrm>
              <a:off x="10625977" y="424540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B5077D97-FE6F-48B2-92A5-17A4B69D98F4}"/>
                </a:ext>
              </a:extLst>
            </xdr:cNvPr>
            <xdr:cNvSpPr txBox="1"/>
          </xdr:nvSpPr>
          <xdr:spPr>
            <a:xfrm>
              <a:off x="10625977" y="424540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13</xdr:col>
      <xdr:colOff>369794</xdr:colOff>
      <xdr:row>264</xdr:row>
      <xdr:rowOff>11206</xdr:rowOff>
    </xdr:from>
    <xdr:ext cx="1389529" cy="235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45E3B974-1790-4038-9F7A-40C150DFDC17}"/>
                </a:ext>
              </a:extLst>
            </xdr:cNvPr>
            <xdr:cNvSpPr txBox="1"/>
          </xdr:nvSpPr>
          <xdr:spPr>
            <a:xfrm>
              <a:off x="10323419" y="43140406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∗(1+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0)=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45E3B974-1790-4038-9F7A-40C150DFDC17}"/>
                </a:ext>
              </a:extLst>
            </xdr:cNvPr>
            <xdr:cNvSpPr txBox="1"/>
          </xdr:nvSpPr>
          <xdr:spPr>
            <a:xfrm>
              <a:off x="10323419" y="43140406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2∗(1+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0</xdr:colOff>
      <xdr:row>262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41C3A583-AAE5-4748-94AD-7E46C8C84BE6}"/>
                </a:ext>
              </a:extLst>
            </xdr:cNvPr>
            <xdr:cNvSpPr txBox="1"/>
          </xdr:nvSpPr>
          <xdr:spPr>
            <a:xfrm>
              <a:off x="10782300" y="4280535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41C3A583-AAE5-4748-94AD-7E46C8C84BE6}"/>
                </a:ext>
              </a:extLst>
            </xdr:cNvPr>
            <xdr:cNvSpPr txBox="1"/>
          </xdr:nvSpPr>
          <xdr:spPr>
            <a:xfrm>
              <a:off x="10782300" y="4280535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459440</xdr:colOff>
      <xdr:row>257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A290FE5F-E56C-4659-8852-65032EFD6F90}"/>
                </a:ext>
              </a:extLst>
            </xdr:cNvPr>
            <xdr:cNvSpPr txBox="1"/>
          </xdr:nvSpPr>
          <xdr:spPr>
            <a:xfrm>
              <a:off x="15594665" y="421189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A290FE5F-E56C-4659-8852-65032EFD6F90}"/>
                </a:ext>
              </a:extLst>
            </xdr:cNvPr>
            <xdr:cNvSpPr txBox="1"/>
          </xdr:nvSpPr>
          <xdr:spPr>
            <a:xfrm>
              <a:off x="15594665" y="421189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392486</xdr:colOff>
      <xdr:row>253</xdr:row>
      <xdr:rowOff>165286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9E2F8097-E028-48B7-98D4-7A4E0E07DAD5}"/>
                </a:ext>
              </a:extLst>
            </xdr:cNvPr>
            <xdr:cNvSpPr txBox="1"/>
          </xdr:nvSpPr>
          <xdr:spPr>
            <a:xfrm>
              <a:off x="14918111" y="4150378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9E2F8097-E028-48B7-98D4-7A4E0E07DAD5}"/>
                </a:ext>
              </a:extLst>
            </xdr:cNvPr>
            <xdr:cNvSpPr txBox="1"/>
          </xdr:nvSpPr>
          <xdr:spPr>
            <a:xfrm>
              <a:off x="14918111" y="4150378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5</xdr:col>
      <xdr:colOff>357187</xdr:colOff>
      <xdr:row>1</xdr:row>
      <xdr:rowOff>11907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E9A156FA-A3E5-4313-BB5B-314D0ABD63EA}"/>
                </a:ext>
              </a:extLst>
            </xdr:cNvPr>
            <xdr:cNvSpPr txBox="1"/>
          </xdr:nvSpPr>
          <xdr:spPr>
            <a:xfrm>
              <a:off x="4424362" y="173832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E9A156FA-A3E5-4313-BB5B-314D0ABD63EA}"/>
                </a:ext>
              </a:extLst>
            </xdr:cNvPr>
            <xdr:cNvSpPr txBox="1"/>
          </xdr:nvSpPr>
          <xdr:spPr>
            <a:xfrm>
              <a:off x="4424362" y="173832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0</xdr:colOff>
      <xdr:row>202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23D3261-4CFF-41EE-8BFD-F3778EA00D9F}"/>
                </a:ext>
              </a:extLst>
            </xdr:cNvPr>
            <xdr:cNvSpPr txBox="1"/>
          </xdr:nvSpPr>
          <xdr:spPr>
            <a:xfrm>
              <a:off x="1400735" y="3410790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23D3261-4CFF-41EE-8BFD-F3778EA00D9F}"/>
                </a:ext>
              </a:extLst>
            </xdr:cNvPr>
            <xdr:cNvSpPr txBox="1"/>
          </xdr:nvSpPr>
          <xdr:spPr>
            <a:xfrm>
              <a:off x="1400735" y="3410790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212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653AD49-0FC5-481A-91EC-EE1387A0F903}"/>
                </a:ext>
              </a:extLst>
            </xdr:cNvPr>
            <xdr:cNvSpPr txBox="1"/>
          </xdr:nvSpPr>
          <xdr:spPr>
            <a:xfrm>
              <a:off x="1400735" y="35788787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653AD49-0FC5-481A-91EC-EE1387A0F903}"/>
                </a:ext>
              </a:extLst>
            </xdr:cNvPr>
            <xdr:cNvSpPr txBox="1"/>
          </xdr:nvSpPr>
          <xdr:spPr>
            <a:xfrm>
              <a:off x="1400735" y="35788787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222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B68F083-F538-4CEB-906B-9F47E380C084}"/>
                </a:ext>
              </a:extLst>
            </xdr:cNvPr>
            <xdr:cNvSpPr txBox="1"/>
          </xdr:nvSpPr>
          <xdr:spPr>
            <a:xfrm>
              <a:off x="1400735" y="37469669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B68F083-F538-4CEB-906B-9F47E380C084}"/>
                </a:ext>
              </a:extLst>
            </xdr:cNvPr>
            <xdr:cNvSpPr txBox="1"/>
          </xdr:nvSpPr>
          <xdr:spPr>
            <a:xfrm>
              <a:off x="1400735" y="37469669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232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760034A1-9FD6-41FC-99E6-D87B64B6455E}"/>
                </a:ext>
              </a:extLst>
            </xdr:cNvPr>
            <xdr:cNvSpPr txBox="1"/>
          </xdr:nvSpPr>
          <xdr:spPr>
            <a:xfrm>
              <a:off x="1400735" y="39150551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760034A1-9FD6-41FC-99E6-D87B64B6455E}"/>
                </a:ext>
              </a:extLst>
            </xdr:cNvPr>
            <xdr:cNvSpPr txBox="1"/>
          </xdr:nvSpPr>
          <xdr:spPr>
            <a:xfrm>
              <a:off x="1400735" y="39150551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242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97E432A-3676-4C09-9DE1-98EFA8B82589}"/>
                </a:ext>
              </a:extLst>
            </xdr:cNvPr>
            <xdr:cNvSpPr txBox="1"/>
          </xdr:nvSpPr>
          <xdr:spPr>
            <a:xfrm>
              <a:off x="1400735" y="4083143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97E432A-3676-4C09-9DE1-98EFA8B82589}"/>
                </a:ext>
              </a:extLst>
            </xdr:cNvPr>
            <xdr:cNvSpPr txBox="1"/>
          </xdr:nvSpPr>
          <xdr:spPr>
            <a:xfrm>
              <a:off x="1400735" y="4083143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256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3610ECE-016B-4789-A8BB-6DBDD3FE2CC0}"/>
                </a:ext>
              </a:extLst>
            </xdr:cNvPr>
            <xdr:cNvSpPr txBox="1"/>
          </xdr:nvSpPr>
          <xdr:spPr>
            <a:xfrm>
              <a:off x="1400735" y="4321268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33610ECE-016B-4789-A8BB-6DBDD3FE2CC0}"/>
                </a:ext>
              </a:extLst>
            </xdr:cNvPr>
            <xdr:cNvSpPr txBox="1"/>
          </xdr:nvSpPr>
          <xdr:spPr>
            <a:xfrm>
              <a:off x="1400735" y="4321268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278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573CB46D-B0FA-4218-8849-779A9C17C62A}"/>
                </a:ext>
              </a:extLst>
            </xdr:cNvPr>
            <xdr:cNvSpPr txBox="1"/>
          </xdr:nvSpPr>
          <xdr:spPr>
            <a:xfrm>
              <a:off x="1400735" y="4693864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573CB46D-B0FA-4218-8849-779A9C17C62A}"/>
                </a:ext>
              </a:extLst>
            </xdr:cNvPr>
            <xdr:cNvSpPr txBox="1"/>
          </xdr:nvSpPr>
          <xdr:spPr>
            <a:xfrm>
              <a:off x="1400735" y="4693864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296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1F581BD-425F-4332-89E1-8FD1ABF618D0}"/>
                </a:ext>
              </a:extLst>
            </xdr:cNvPr>
            <xdr:cNvSpPr txBox="1"/>
          </xdr:nvSpPr>
          <xdr:spPr>
            <a:xfrm>
              <a:off x="1400735" y="4996422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1F581BD-425F-4332-89E1-8FD1ABF618D0}"/>
                </a:ext>
              </a:extLst>
            </xdr:cNvPr>
            <xdr:cNvSpPr txBox="1"/>
          </xdr:nvSpPr>
          <xdr:spPr>
            <a:xfrm>
              <a:off x="1400735" y="4996422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314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7CCA5765-3AD8-410E-BC16-B12361966F0E}"/>
                </a:ext>
              </a:extLst>
            </xdr:cNvPr>
            <xdr:cNvSpPr txBox="1"/>
          </xdr:nvSpPr>
          <xdr:spPr>
            <a:xfrm>
              <a:off x="1400735" y="5298981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7CCA5765-3AD8-410E-BC16-B12361966F0E}"/>
                </a:ext>
              </a:extLst>
            </xdr:cNvPr>
            <xdr:cNvSpPr txBox="1"/>
          </xdr:nvSpPr>
          <xdr:spPr>
            <a:xfrm>
              <a:off x="1400735" y="5298981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2</xdr:col>
      <xdr:colOff>0</xdr:colOff>
      <xdr:row>332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E0EE57E-B532-41E1-B961-652A0A3D2094}"/>
                </a:ext>
              </a:extLst>
            </xdr:cNvPr>
            <xdr:cNvSpPr txBox="1"/>
          </xdr:nvSpPr>
          <xdr:spPr>
            <a:xfrm>
              <a:off x="1400735" y="5601540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E0EE57E-B532-41E1-B961-652A0A3D2094}"/>
                </a:ext>
              </a:extLst>
            </xdr:cNvPr>
            <xdr:cNvSpPr txBox="1"/>
          </xdr:nvSpPr>
          <xdr:spPr>
            <a:xfrm>
              <a:off x="1400735" y="5601540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332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C8B5077-3822-4A48-9DEE-83917488CB0C}"/>
                </a:ext>
              </a:extLst>
            </xdr:cNvPr>
            <xdr:cNvSpPr txBox="1"/>
          </xdr:nvSpPr>
          <xdr:spPr>
            <a:xfrm>
              <a:off x="10799669" y="5601540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C8B5077-3822-4A48-9DEE-83917488CB0C}"/>
                </a:ext>
              </a:extLst>
            </xdr:cNvPr>
            <xdr:cNvSpPr txBox="1"/>
          </xdr:nvSpPr>
          <xdr:spPr>
            <a:xfrm>
              <a:off x="10799669" y="5601540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314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A694033-421B-4168-A054-E63650C922F2}"/>
                </a:ext>
              </a:extLst>
            </xdr:cNvPr>
            <xdr:cNvSpPr txBox="1"/>
          </xdr:nvSpPr>
          <xdr:spPr>
            <a:xfrm>
              <a:off x="10799669" y="5298981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A694033-421B-4168-A054-E63650C922F2}"/>
                </a:ext>
              </a:extLst>
            </xdr:cNvPr>
            <xdr:cNvSpPr txBox="1"/>
          </xdr:nvSpPr>
          <xdr:spPr>
            <a:xfrm>
              <a:off x="10799669" y="5298981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296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253BF84-1AE1-4AFA-AD44-51FAE43E0D3D}"/>
                </a:ext>
              </a:extLst>
            </xdr:cNvPr>
            <xdr:cNvSpPr txBox="1"/>
          </xdr:nvSpPr>
          <xdr:spPr>
            <a:xfrm>
              <a:off x="10799669" y="4996422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253BF84-1AE1-4AFA-AD44-51FAE43E0D3D}"/>
                </a:ext>
              </a:extLst>
            </xdr:cNvPr>
            <xdr:cNvSpPr txBox="1"/>
          </xdr:nvSpPr>
          <xdr:spPr>
            <a:xfrm>
              <a:off x="10799669" y="4996422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278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45B1FD5-2243-4CA4-ABF2-CEB72A3EFD05}"/>
                </a:ext>
              </a:extLst>
            </xdr:cNvPr>
            <xdr:cNvSpPr txBox="1"/>
          </xdr:nvSpPr>
          <xdr:spPr>
            <a:xfrm>
              <a:off x="10799669" y="4693864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45B1FD5-2243-4CA4-ABF2-CEB72A3EFD05}"/>
                </a:ext>
              </a:extLst>
            </xdr:cNvPr>
            <xdr:cNvSpPr txBox="1"/>
          </xdr:nvSpPr>
          <xdr:spPr>
            <a:xfrm>
              <a:off x="10799669" y="4693864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256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78478086-7C8D-4F0F-A9D8-7F7C95DC8860}"/>
                </a:ext>
              </a:extLst>
            </xdr:cNvPr>
            <xdr:cNvSpPr txBox="1"/>
          </xdr:nvSpPr>
          <xdr:spPr>
            <a:xfrm>
              <a:off x="10799669" y="4321268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78478086-7C8D-4F0F-A9D8-7F7C95DC8860}"/>
                </a:ext>
              </a:extLst>
            </xdr:cNvPr>
            <xdr:cNvSpPr txBox="1"/>
          </xdr:nvSpPr>
          <xdr:spPr>
            <a:xfrm>
              <a:off x="10799669" y="4321268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242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4E83132-6388-4756-8303-970FD359D85E}"/>
                </a:ext>
              </a:extLst>
            </xdr:cNvPr>
            <xdr:cNvSpPr txBox="1"/>
          </xdr:nvSpPr>
          <xdr:spPr>
            <a:xfrm>
              <a:off x="10799669" y="4083143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4E83132-6388-4756-8303-970FD359D85E}"/>
                </a:ext>
              </a:extLst>
            </xdr:cNvPr>
            <xdr:cNvSpPr txBox="1"/>
          </xdr:nvSpPr>
          <xdr:spPr>
            <a:xfrm>
              <a:off x="10799669" y="4083143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232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B12A110-BD23-4984-ABA1-DB35655567AF}"/>
                </a:ext>
              </a:extLst>
            </xdr:cNvPr>
            <xdr:cNvSpPr txBox="1"/>
          </xdr:nvSpPr>
          <xdr:spPr>
            <a:xfrm>
              <a:off x="10799669" y="39150551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3B12A110-BD23-4984-ABA1-DB35655567AF}"/>
                </a:ext>
              </a:extLst>
            </xdr:cNvPr>
            <xdr:cNvSpPr txBox="1"/>
          </xdr:nvSpPr>
          <xdr:spPr>
            <a:xfrm>
              <a:off x="10799669" y="39150551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222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13888E3-E47D-4D6D-9C6D-5C5518A4C53C}"/>
                </a:ext>
              </a:extLst>
            </xdr:cNvPr>
            <xdr:cNvSpPr txBox="1"/>
          </xdr:nvSpPr>
          <xdr:spPr>
            <a:xfrm>
              <a:off x="10799669" y="37469669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13888E3-E47D-4D6D-9C6D-5C5518A4C53C}"/>
                </a:ext>
              </a:extLst>
            </xdr:cNvPr>
            <xdr:cNvSpPr txBox="1"/>
          </xdr:nvSpPr>
          <xdr:spPr>
            <a:xfrm>
              <a:off x="10799669" y="37469669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212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04AE2F6-E872-429A-9B33-E6E95DEACB2B}"/>
                </a:ext>
              </a:extLst>
            </xdr:cNvPr>
            <xdr:cNvSpPr txBox="1"/>
          </xdr:nvSpPr>
          <xdr:spPr>
            <a:xfrm>
              <a:off x="10799669" y="35788787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04AE2F6-E872-429A-9B33-E6E95DEACB2B}"/>
                </a:ext>
              </a:extLst>
            </xdr:cNvPr>
            <xdr:cNvSpPr txBox="1"/>
          </xdr:nvSpPr>
          <xdr:spPr>
            <a:xfrm>
              <a:off x="10799669" y="35788787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14</xdr:col>
      <xdr:colOff>0</xdr:colOff>
      <xdr:row>202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D74DE94-1B05-497E-A9C3-29D98DE6608C}"/>
                </a:ext>
              </a:extLst>
            </xdr:cNvPr>
            <xdr:cNvSpPr txBox="1"/>
          </xdr:nvSpPr>
          <xdr:spPr>
            <a:xfrm>
              <a:off x="10799669" y="3410790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D74DE94-1B05-497E-A9C3-29D98DE6608C}"/>
                </a:ext>
              </a:extLst>
            </xdr:cNvPr>
            <xdr:cNvSpPr txBox="1"/>
          </xdr:nvSpPr>
          <xdr:spPr>
            <a:xfrm>
              <a:off x="10799669" y="3410790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342900</xdr:colOff>
      <xdr:row>2</xdr:row>
      <xdr:rowOff>123825</xdr:rowOff>
    </xdr:from>
    <xdr:ext cx="4248150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5E0E2E1E-4745-4CDA-AD36-70B0E108C10E}"/>
                </a:ext>
              </a:extLst>
            </xdr:cNvPr>
            <xdr:cNvSpPr txBox="1"/>
          </xdr:nvSpPr>
          <xdr:spPr>
            <a:xfrm>
              <a:off x="5772150" y="447675"/>
              <a:ext cx="424815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l-GR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𝜀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5E0E2E1E-4745-4CDA-AD36-70B0E108C10E}"/>
                </a:ext>
              </a:extLst>
            </xdr:cNvPr>
            <xdr:cNvSpPr txBox="1"/>
          </xdr:nvSpPr>
          <xdr:spPr>
            <a:xfrm>
              <a:off x="5772150" y="447675"/>
              <a:ext cx="424815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𝑌=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600" b="0" i="0">
                  <a:latin typeface="Cambria Math" panose="02040503050406030204" pitchFamily="18" charset="0"/>
                </a:rPr>
                <a:t>0+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𝛽_1 𝑋_1+𝛽_2 𝑋_2+𝛽_3 𝑋_3+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171450</xdr:colOff>
      <xdr:row>13</xdr:row>
      <xdr:rowOff>28575</xdr:rowOff>
    </xdr:from>
    <xdr:ext cx="695325" cy="438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67569A60-B0DD-4DBE-B748-111D8B72E4A2}"/>
                </a:ext>
              </a:extLst>
            </xdr:cNvPr>
            <xdr:cNvSpPr txBox="1"/>
          </xdr:nvSpPr>
          <xdr:spPr>
            <a:xfrm>
              <a:off x="7981950" y="2133600"/>
              <a:ext cx="695325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28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67569A60-B0DD-4DBE-B748-111D8B72E4A2}"/>
                </a:ext>
              </a:extLst>
            </xdr:cNvPr>
            <xdr:cNvSpPr txBox="1"/>
          </xdr:nvSpPr>
          <xdr:spPr>
            <a:xfrm>
              <a:off x="7981950" y="2133600"/>
              <a:ext cx="695325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11</xdr:col>
      <xdr:colOff>238125</xdr:colOff>
      <xdr:row>7</xdr:row>
      <xdr:rowOff>123824</xdr:rowOff>
    </xdr:from>
    <xdr:to>
      <xdr:col>11</xdr:col>
      <xdr:colOff>533400</xdr:colOff>
      <xdr:row>25</xdr:row>
      <xdr:rowOff>47625</xdr:rowOff>
    </xdr:to>
    <xdr:sp macro="" textlink="">
      <xdr:nvSpPr>
        <xdr:cNvPr id="4" name="Parêntese esquerdo 3">
          <a:extLst>
            <a:ext uri="{FF2B5EF4-FFF2-40B4-BE49-F238E27FC236}">
              <a16:creationId xmlns:a16="http://schemas.microsoft.com/office/drawing/2014/main" id="{685407FD-C8B2-4C85-BD72-5D62F9A91FC4}"/>
            </a:ext>
          </a:extLst>
        </xdr:cNvPr>
        <xdr:cNvSpPr/>
      </xdr:nvSpPr>
      <xdr:spPr>
        <a:xfrm>
          <a:off x="9420225" y="1257299"/>
          <a:ext cx="295275" cy="28384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14</xdr:col>
      <xdr:colOff>561973</xdr:colOff>
      <xdr:row>8</xdr:row>
      <xdr:rowOff>38100</xdr:rowOff>
    </xdr:from>
    <xdr:to>
      <xdr:col>15</xdr:col>
      <xdr:colOff>247648</xdr:colOff>
      <xdr:row>25</xdr:row>
      <xdr:rowOff>57150</xdr:rowOff>
    </xdr:to>
    <xdr:sp macro="" textlink="">
      <xdr:nvSpPr>
        <xdr:cNvPr id="5" name="Parêntese esquerdo 4">
          <a:extLst>
            <a:ext uri="{FF2B5EF4-FFF2-40B4-BE49-F238E27FC236}">
              <a16:creationId xmlns:a16="http://schemas.microsoft.com/office/drawing/2014/main" id="{BB18753E-0563-4A2F-93E9-27A38B66499A}"/>
            </a:ext>
          </a:extLst>
        </xdr:cNvPr>
        <xdr:cNvSpPr/>
      </xdr:nvSpPr>
      <xdr:spPr>
        <a:xfrm flipH="1">
          <a:off x="10972798" y="1333500"/>
          <a:ext cx="295275" cy="277177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19</xdr:col>
      <xdr:colOff>247650</xdr:colOff>
      <xdr:row>10</xdr:row>
      <xdr:rowOff>28575</xdr:rowOff>
    </xdr:from>
    <xdr:ext cx="876300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10A27778-25C8-43FB-B2E9-73E0D6EA695F}"/>
                </a:ext>
              </a:extLst>
            </xdr:cNvPr>
            <xdr:cNvSpPr txBox="1"/>
          </xdr:nvSpPr>
          <xdr:spPr>
            <a:xfrm>
              <a:off x="14678025" y="1647825"/>
              <a:ext cx="876300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10A27778-25C8-43FB-B2E9-73E0D6EA695F}"/>
                </a:ext>
              </a:extLst>
            </xdr:cNvPr>
            <xdr:cNvSpPr txBox="1"/>
          </xdr:nvSpPr>
          <xdr:spPr>
            <a:xfrm>
              <a:off x="14678025" y="1647825"/>
              <a:ext cx="876300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20</xdr:col>
      <xdr:colOff>581025</xdr:colOff>
      <xdr:row>7</xdr:row>
      <xdr:rowOff>66675</xdr:rowOff>
    </xdr:from>
    <xdr:to>
      <xdr:col>21</xdr:col>
      <xdr:colOff>266700</xdr:colOff>
      <xdr:row>15</xdr:row>
      <xdr:rowOff>123826</xdr:rowOff>
    </xdr:to>
    <xdr:sp macro="" textlink="">
      <xdr:nvSpPr>
        <xdr:cNvPr id="7" name="Parêntese esquerdo 6">
          <a:extLst>
            <a:ext uri="{FF2B5EF4-FFF2-40B4-BE49-F238E27FC236}">
              <a16:creationId xmlns:a16="http://schemas.microsoft.com/office/drawing/2014/main" id="{99AD23AE-B1CF-4BB6-8B47-CAABAA07E0C6}"/>
            </a:ext>
          </a:extLst>
        </xdr:cNvPr>
        <xdr:cNvSpPr/>
      </xdr:nvSpPr>
      <xdr:spPr>
        <a:xfrm>
          <a:off x="15630525" y="1200150"/>
          <a:ext cx="561975" cy="13525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37</xdr:col>
      <xdr:colOff>523875</xdr:colOff>
      <xdr:row>7</xdr:row>
      <xdr:rowOff>47625</xdr:rowOff>
    </xdr:from>
    <xdr:to>
      <xdr:col>38</xdr:col>
      <xdr:colOff>209550</xdr:colOff>
      <xdr:row>15</xdr:row>
      <xdr:rowOff>104776</xdr:rowOff>
    </xdr:to>
    <xdr:sp macro="" textlink="">
      <xdr:nvSpPr>
        <xdr:cNvPr id="8" name="Parêntese esquerdo 7">
          <a:extLst>
            <a:ext uri="{FF2B5EF4-FFF2-40B4-BE49-F238E27FC236}">
              <a16:creationId xmlns:a16="http://schemas.microsoft.com/office/drawing/2014/main" id="{0CA18E7E-C6FB-41AF-80A3-E4F9B1EA1DEA}"/>
            </a:ext>
          </a:extLst>
        </xdr:cNvPr>
        <xdr:cNvSpPr/>
      </xdr:nvSpPr>
      <xdr:spPr>
        <a:xfrm flipH="1">
          <a:off x="26393775" y="1181100"/>
          <a:ext cx="295275" cy="13525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19</xdr:col>
      <xdr:colOff>333375</xdr:colOff>
      <xdr:row>20</xdr:row>
      <xdr:rowOff>9525</xdr:rowOff>
    </xdr:from>
    <xdr:ext cx="832883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1812F0D4-438A-4932-A6B2-1A7E2678A0B0}"/>
                </a:ext>
              </a:extLst>
            </xdr:cNvPr>
            <xdr:cNvSpPr txBox="1"/>
          </xdr:nvSpPr>
          <xdr:spPr>
            <a:xfrm>
              <a:off x="14763750" y="3248025"/>
              <a:ext cx="832883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1812F0D4-438A-4932-A6B2-1A7E2678A0B0}"/>
                </a:ext>
              </a:extLst>
            </xdr:cNvPr>
            <xdr:cNvSpPr txBox="1"/>
          </xdr:nvSpPr>
          <xdr:spPr>
            <a:xfrm>
              <a:off x="14763750" y="3248025"/>
              <a:ext cx="832883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𝑌^𝑡=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37</xdr:col>
      <xdr:colOff>476248</xdr:colOff>
      <xdr:row>20</xdr:row>
      <xdr:rowOff>85725</xdr:rowOff>
    </xdr:from>
    <xdr:to>
      <xdr:col>38</xdr:col>
      <xdr:colOff>161923</xdr:colOff>
      <xdr:row>22</xdr:row>
      <xdr:rowOff>66676</xdr:rowOff>
    </xdr:to>
    <xdr:sp macro="" textlink="">
      <xdr:nvSpPr>
        <xdr:cNvPr id="10" name="Parêntese esquerdo 9">
          <a:extLst>
            <a:ext uri="{FF2B5EF4-FFF2-40B4-BE49-F238E27FC236}">
              <a16:creationId xmlns:a16="http://schemas.microsoft.com/office/drawing/2014/main" id="{92E95AAA-B0EF-4C1A-A6C2-DE2E176FFA11}"/>
            </a:ext>
          </a:extLst>
        </xdr:cNvPr>
        <xdr:cNvSpPr/>
      </xdr:nvSpPr>
      <xdr:spPr>
        <a:xfrm flipH="1">
          <a:off x="26346148" y="3324225"/>
          <a:ext cx="295275" cy="30480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20</xdr:col>
      <xdr:colOff>581025</xdr:colOff>
      <xdr:row>20</xdr:row>
      <xdr:rowOff>85725</xdr:rowOff>
    </xdr:from>
    <xdr:to>
      <xdr:col>21</xdr:col>
      <xdr:colOff>266700</xdr:colOff>
      <xdr:row>22</xdr:row>
      <xdr:rowOff>66676</xdr:rowOff>
    </xdr:to>
    <xdr:sp macro="" textlink="">
      <xdr:nvSpPr>
        <xdr:cNvPr id="11" name="Parêntese esquerdo 10">
          <a:extLst>
            <a:ext uri="{FF2B5EF4-FFF2-40B4-BE49-F238E27FC236}">
              <a16:creationId xmlns:a16="http://schemas.microsoft.com/office/drawing/2014/main" id="{4B3C7483-7DD0-4E7B-89E7-35460EBC4E1D}"/>
            </a:ext>
          </a:extLst>
        </xdr:cNvPr>
        <xdr:cNvSpPr/>
      </xdr:nvSpPr>
      <xdr:spPr>
        <a:xfrm>
          <a:off x="15630525" y="3324225"/>
          <a:ext cx="561975" cy="30480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</xdr:col>
      <xdr:colOff>333375</xdr:colOff>
      <xdr:row>31</xdr:row>
      <xdr:rowOff>28575</xdr:rowOff>
    </xdr:from>
    <xdr:ext cx="1408655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51C495E-89A3-42EA-A398-A9A6D1A3769E}"/>
                </a:ext>
              </a:extLst>
            </xdr:cNvPr>
            <xdr:cNvSpPr txBox="1"/>
          </xdr:nvSpPr>
          <xdr:spPr>
            <a:xfrm>
              <a:off x="942975" y="5048250"/>
              <a:ext cx="140865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51C495E-89A3-42EA-A398-A9A6D1A3769E}"/>
                </a:ext>
              </a:extLst>
            </xdr:cNvPr>
            <xdr:cNvSpPr txBox="1"/>
          </xdr:nvSpPr>
          <xdr:spPr>
            <a:xfrm>
              <a:off x="942975" y="5048250"/>
              <a:ext cx="140865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𝑋^𝑡∗𝑋=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3</xdr:col>
      <xdr:colOff>19050</xdr:colOff>
      <xdr:row>28</xdr:row>
      <xdr:rowOff>114301</xdr:rowOff>
    </xdr:from>
    <xdr:to>
      <xdr:col>3</xdr:col>
      <xdr:colOff>314325</xdr:colOff>
      <xdr:row>36</xdr:row>
      <xdr:rowOff>38101</xdr:rowOff>
    </xdr:to>
    <xdr:sp macro="" textlink="">
      <xdr:nvSpPr>
        <xdr:cNvPr id="13" name="Parêntese esquerdo 12">
          <a:extLst>
            <a:ext uri="{FF2B5EF4-FFF2-40B4-BE49-F238E27FC236}">
              <a16:creationId xmlns:a16="http://schemas.microsoft.com/office/drawing/2014/main" id="{5E916F1D-83F7-47C4-A585-DE670D9EDDD4}"/>
            </a:ext>
          </a:extLst>
        </xdr:cNvPr>
        <xdr:cNvSpPr/>
      </xdr:nvSpPr>
      <xdr:spPr>
        <a:xfrm>
          <a:off x="2428875" y="4648201"/>
          <a:ext cx="295275" cy="121920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6</xdr:col>
      <xdr:colOff>600075</xdr:colOff>
      <xdr:row>28</xdr:row>
      <xdr:rowOff>66675</xdr:rowOff>
    </xdr:from>
    <xdr:to>
      <xdr:col>7</xdr:col>
      <xdr:colOff>28575</xdr:colOff>
      <xdr:row>35</xdr:row>
      <xdr:rowOff>152400</xdr:rowOff>
    </xdr:to>
    <xdr:sp macro="" textlink="">
      <xdr:nvSpPr>
        <xdr:cNvPr id="14" name="Parêntese esquerdo 13">
          <a:extLst>
            <a:ext uri="{FF2B5EF4-FFF2-40B4-BE49-F238E27FC236}">
              <a16:creationId xmlns:a16="http://schemas.microsoft.com/office/drawing/2014/main" id="{C0DAB0E0-B78D-4A78-BB56-154199130B63}"/>
            </a:ext>
          </a:extLst>
        </xdr:cNvPr>
        <xdr:cNvSpPr/>
      </xdr:nvSpPr>
      <xdr:spPr>
        <a:xfrm flipH="1">
          <a:off x="5334000" y="4600575"/>
          <a:ext cx="190500" cy="121920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10</xdr:col>
      <xdr:colOff>504825</xdr:colOff>
      <xdr:row>31</xdr:row>
      <xdr:rowOff>9525</xdr:rowOff>
    </xdr:from>
    <xdr:ext cx="1964127" cy="445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337B8A4-5B22-4177-86FE-C0B27398FBA3}"/>
                </a:ext>
              </a:extLst>
            </xdr:cNvPr>
            <xdr:cNvSpPr txBox="1"/>
          </xdr:nvSpPr>
          <xdr:spPr>
            <a:xfrm>
              <a:off x="9077325" y="5029200"/>
              <a:ext cx="1964127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(</m:t>
                        </m:r>
                        <m:sSup>
                          <m:sSupPr>
                            <m:ctrlP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p>
                        </m:s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337B8A4-5B22-4177-86FE-C0B27398FBA3}"/>
                </a:ext>
              </a:extLst>
            </xdr:cNvPr>
            <xdr:cNvSpPr txBox="1"/>
          </xdr:nvSpPr>
          <xdr:spPr>
            <a:xfrm>
              <a:off x="9077325" y="5029200"/>
              <a:ext cx="1964127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〖(</a:t>
              </a:r>
              <a:r>
                <a:rPr lang="pt-PT" sz="2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𝑋^𝑡∗𝑋</a:t>
              </a:r>
              <a:r>
                <a:rPr lang="pt-PT" sz="2800" b="0" i="0">
                  <a:latin typeface="Cambria Math" panose="02040503050406030204" pitchFamily="18" charset="0"/>
                </a:rPr>
                <a:t>)〗^(−1)=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13</xdr:col>
      <xdr:colOff>542925</xdr:colOff>
      <xdr:row>28</xdr:row>
      <xdr:rowOff>123825</xdr:rowOff>
    </xdr:from>
    <xdr:to>
      <xdr:col>14</xdr:col>
      <xdr:colOff>228600</xdr:colOff>
      <xdr:row>36</xdr:row>
      <xdr:rowOff>47625</xdr:rowOff>
    </xdr:to>
    <xdr:sp macro="" textlink="">
      <xdr:nvSpPr>
        <xdr:cNvPr id="16" name="Parêntese esquerdo 15">
          <a:extLst>
            <a:ext uri="{FF2B5EF4-FFF2-40B4-BE49-F238E27FC236}">
              <a16:creationId xmlns:a16="http://schemas.microsoft.com/office/drawing/2014/main" id="{E125F967-7945-455A-B91D-DF5A396CEAC2}"/>
            </a:ext>
          </a:extLst>
        </xdr:cNvPr>
        <xdr:cNvSpPr/>
      </xdr:nvSpPr>
      <xdr:spPr>
        <a:xfrm>
          <a:off x="10944225" y="4657725"/>
          <a:ext cx="295275" cy="121920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17</xdr:col>
      <xdr:colOff>381000</xdr:colOff>
      <xdr:row>28</xdr:row>
      <xdr:rowOff>47624</xdr:rowOff>
    </xdr:from>
    <xdr:to>
      <xdr:col>18</xdr:col>
      <xdr:colOff>38100</xdr:colOff>
      <xdr:row>35</xdr:row>
      <xdr:rowOff>133349</xdr:rowOff>
    </xdr:to>
    <xdr:sp macro="" textlink="">
      <xdr:nvSpPr>
        <xdr:cNvPr id="17" name="Parêntese esquerdo 16">
          <a:extLst>
            <a:ext uri="{FF2B5EF4-FFF2-40B4-BE49-F238E27FC236}">
              <a16:creationId xmlns:a16="http://schemas.microsoft.com/office/drawing/2014/main" id="{9C16CBF2-C8AC-4EEF-8CAA-79C437A89A93}"/>
            </a:ext>
          </a:extLst>
        </xdr:cNvPr>
        <xdr:cNvSpPr/>
      </xdr:nvSpPr>
      <xdr:spPr>
        <a:xfrm flipH="1">
          <a:off x="12687300" y="4581524"/>
          <a:ext cx="266700" cy="121920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22</xdr:col>
      <xdr:colOff>361950</xdr:colOff>
      <xdr:row>31</xdr:row>
      <xdr:rowOff>38100</xdr:rowOff>
    </xdr:from>
    <xdr:ext cx="1393395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744FE8B-C377-493D-A75C-BE37EAAB239F}"/>
                </a:ext>
              </a:extLst>
            </xdr:cNvPr>
            <xdr:cNvSpPr txBox="1"/>
          </xdr:nvSpPr>
          <xdr:spPr>
            <a:xfrm>
              <a:off x="16897350" y="5057775"/>
              <a:ext cx="139339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744FE8B-C377-493D-A75C-BE37EAAB239F}"/>
                </a:ext>
              </a:extLst>
            </xdr:cNvPr>
            <xdr:cNvSpPr txBox="1"/>
          </xdr:nvSpPr>
          <xdr:spPr>
            <a:xfrm>
              <a:off x="16897350" y="5057775"/>
              <a:ext cx="139339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𝑋^𝑡∗𝑌=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25</xdr:col>
      <xdr:colOff>657223</xdr:colOff>
      <xdr:row>29</xdr:row>
      <xdr:rowOff>0</xdr:rowOff>
    </xdr:from>
    <xdr:to>
      <xdr:col>26</xdr:col>
      <xdr:colOff>180973</xdr:colOff>
      <xdr:row>34</xdr:row>
      <xdr:rowOff>114301</xdr:rowOff>
    </xdr:to>
    <xdr:sp macro="" textlink="">
      <xdr:nvSpPr>
        <xdr:cNvPr id="19" name="Parêntese esquerdo 18">
          <a:extLst>
            <a:ext uri="{FF2B5EF4-FFF2-40B4-BE49-F238E27FC236}">
              <a16:creationId xmlns:a16="http://schemas.microsoft.com/office/drawing/2014/main" id="{C56FBF3E-3DB1-45BB-A471-548742FB1AC8}"/>
            </a:ext>
          </a:extLst>
        </xdr:cNvPr>
        <xdr:cNvSpPr/>
      </xdr:nvSpPr>
      <xdr:spPr>
        <a:xfrm flipH="1">
          <a:off x="17840323" y="4695825"/>
          <a:ext cx="257175" cy="92392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24</xdr:col>
      <xdr:colOff>561975</xdr:colOff>
      <xdr:row>29</xdr:row>
      <xdr:rowOff>1</xdr:rowOff>
    </xdr:from>
    <xdr:to>
      <xdr:col>25</xdr:col>
      <xdr:colOff>247650</xdr:colOff>
      <xdr:row>34</xdr:row>
      <xdr:rowOff>123826</xdr:rowOff>
    </xdr:to>
    <xdr:sp macro="" textlink="">
      <xdr:nvSpPr>
        <xdr:cNvPr id="20" name="Parêntese esquerdo 19">
          <a:extLst>
            <a:ext uri="{FF2B5EF4-FFF2-40B4-BE49-F238E27FC236}">
              <a16:creationId xmlns:a16="http://schemas.microsoft.com/office/drawing/2014/main" id="{04E0BCDD-1108-4F9F-B030-3D74664E5963}"/>
            </a:ext>
          </a:extLst>
        </xdr:cNvPr>
        <xdr:cNvSpPr/>
      </xdr:nvSpPr>
      <xdr:spPr>
        <a:xfrm>
          <a:off x="17135475" y="4695826"/>
          <a:ext cx="295275" cy="93345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27</xdr:col>
      <xdr:colOff>123825</xdr:colOff>
      <xdr:row>31</xdr:row>
      <xdr:rowOff>28575</xdr:rowOff>
    </xdr:from>
    <xdr:ext cx="3957494" cy="445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C0C2414-AE67-4816-87ED-4DC1A48C823D}"/>
                </a:ext>
              </a:extLst>
            </xdr:cNvPr>
            <xdr:cNvSpPr txBox="1"/>
          </xdr:nvSpPr>
          <xdr:spPr>
            <a:xfrm>
              <a:off x="19897725" y="5048250"/>
              <a:ext cx="3957494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2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𝛽</m:t>
                    </m:r>
                    <m:r>
                      <a:rPr lang="pt-PT" sz="2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p>
                        </m:s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𝑌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C0C2414-AE67-4816-87ED-4DC1A48C823D}"/>
                </a:ext>
              </a:extLst>
            </xdr:cNvPr>
            <xdr:cNvSpPr txBox="1"/>
          </xdr:nvSpPr>
          <xdr:spPr>
            <a:xfrm>
              <a:off x="19897725" y="5048250"/>
              <a:ext cx="3957494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𝛽=</a:t>
              </a:r>
              <a:r>
                <a:rPr lang="pt-PT" sz="2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〖(𝑋^𝑡∗𝑋)〗^(−1)∗𝑋^𝑡∗𝑌</a:t>
              </a:r>
              <a:r>
                <a:rPr lang="pt-PT" sz="2800" b="0" i="0">
                  <a:latin typeface="Cambria Math" panose="02040503050406030204" pitchFamily="18" charset="0"/>
                </a:rPr>
                <a:t>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35</xdr:col>
      <xdr:colOff>47624</xdr:colOff>
      <xdr:row>28</xdr:row>
      <xdr:rowOff>104775</xdr:rowOff>
    </xdr:from>
    <xdr:to>
      <xdr:col>35</xdr:col>
      <xdr:colOff>342899</xdr:colOff>
      <xdr:row>36</xdr:row>
      <xdr:rowOff>76200</xdr:rowOff>
    </xdr:to>
    <xdr:sp macro="" textlink="">
      <xdr:nvSpPr>
        <xdr:cNvPr id="22" name="Parêntese esquerdo 21">
          <a:extLst>
            <a:ext uri="{FF2B5EF4-FFF2-40B4-BE49-F238E27FC236}">
              <a16:creationId xmlns:a16="http://schemas.microsoft.com/office/drawing/2014/main" id="{08D50952-B66D-48A8-A4C3-9F05435AD073}"/>
            </a:ext>
          </a:extLst>
        </xdr:cNvPr>
        <xdr:cNvSpPr/>
      </xdr:nvSpPr>
      <xdr:spPr>
        <a:xfrm flipH="1">
          <a:off x="24698324" y="4638675"/>
          <a:ext cx="295275" cy="126682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33</xdr:col>
      <xdr:colOff>428625</xdr:colOff>
      <xdr:row>28</xdr:row>
      <xdr:rowOff>114301</xdr:rowOff>
    </xdr:from>
    <xdr:to>
      <xdr:col>34</xdr:col>
      <xdr:colOff>114300</xdr:colOff>
      <xdr:row>36</xdr:row>
      <xdr:rowOff>85726</xdr:rowOff>
    </xdr:to>
    <xdr:sp macro="" textlink="">
      <xdr:nvSpPr>
        <xdr:cNvPr id="23" name="Parêntese esquerdo 22">
          <a:extLst>
            <a:ext uri="{FF2B5EF4-FFF2-40B4-BE49-F238E27FC236}">
              <a16:creationId xmlns:a16="http://schemas.microsoft.com/office/drawing/2014/main" id="{7D22848A-7A3D-4B62-BBAA-B71F3C98A184}"/>
            </a:ext>
          </a:extLst>
        </xdr:cNvPr>
        <xdr:cNvSpPr/>
      </xdr:nvSpPr>
      <xdr:spPr>
        <a:xfrm>
          <a:off x="23860125" y="4648201"/>
          <a:ext cx="295275" cy="126682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13</xdr:col>
      <xdr:colOff>22411</xdr:colOff>
      <xdr:row>46</xdr:row>
      <xdr:rowOff>134470</xdr:rowOff>
    </xdr:from>
    <xdr:ext cx="806824" cy="2129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3F5EE8B-6C4A-48A4-A26C-0A24C483E5D8}"/>
                </a:ext>
              </a:extLst>
            </xdr:cNvPr>
            <xdr:cNvSpPr txBox="1"/>
          </xdr:nvSpPr>
          <xdr:spPr>
            <a:xfrm>
              <a:off x="9366436" y="25242370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3F5EE8B-6C4A-48A4-A26C-0A24C483E5D8}"/>
                </a:ext>
              </a:extLst>
            </xdr:cNvPr>
            <xdr:cNvSpPr txBox="1"/>
          </xdr:nvSpPr>
          <xdr:spPr>
            <a:xfrm>
              <a:off x="9366436" y="25242370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493058</xdr:colOff>
      <xdr:row>48</xdr:row>
      <xdr:rowOff>145677</xdr:rowOff>
    </xdr:from>
    <xdr:ext cx="806824" cy="2129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10756B36-7679-4C25-9C8A-D8623CFFFB05}"/>
                </a:ext>
              </a:extLst>
            </xdr:cNvPr>
            <xdr:cNvSpPr txBox="1"/>
          </xdr:nvSpPr>
          <xdr:spPr>
            <a:xfrm>
              <a:off x="9227483" y="25577427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10756B36-7679-4C25-9C8A-D8623CFFFB05}"/>
                </a:ext>
              </a:extLst>
            </xdr:cNvPr>
            <xdr:cNvSpPr txBox="1"/>
          </xdr:nvSpPr>
          <xdr:spPr>
            <a:xfrm>
              <a:off x="9227483" y="25577427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459442</xdr:colOff>
      <xdr:row>43</xdr:row>
      <xdr:rowOff>0</xdr:rowOff>
    </xdr:from>
    <xdr:ext cx="1320800" cy="3556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067D6432-6E7E-4A66-9C01-F6434EC78730}"/>
                </a:ext>
              </a:extLst>
            </xdr:cNvPr>
            <xdr:cNvSpPr txBox="1"/>
          </xdr:nvSpPr>
          <xdr:spPr>
            <a:xfrm>
              <a:off x="1069042" y="24622125"/>
              <a:ext cx="13208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𝑛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067D6432-6E7E-4A66-9C01-F6434EC78730}"/>
                </a:ext>
              </a:extLst>
            </xdr:cNvPr>
            <xdr:cNvSpPr txBox="1"/>
          </xdr:nvSpPr>
          <xdr:spPr>
            <a:xfrm>
              <a:off x="1069042" y="24622125"/>
              <a:ext cx="13208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〖𝑆𝑄〗_𝑇=𝑌^𝑇 𝑌−𝑛𝑦 ̅^2=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280146</xdr:colOff>
      <xdr:row>44</xdr:row>
      <xdr:rowOff>123265</xdr:rowOff>
    </xdr:from>
    <xdr:ext cx="1549400" cy="3810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79A0E7C5-4612-455D-98C1-92480BB86ACB}"/>
                </a:ext>
              </a:extLst>
            </xdr:cNvPr>
            <xdr:cNvSpPr txBox="1"/>
          </xdr:nvSpPr>
          <xdr:spPr>
            <a:xfrm>
              <a:off x="889746" y="24907315"/>
              <a:ext cx="1549400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𝑛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79A0E7C5-4612-455D-98C1-92480BB86ACB}"/>
                </a:ext>
              </a:extLst>
            </xdr:cNvPr>
            <xdr:cNvSpPr txBox="1"/>
          </xdr:nvSpPr>
          <xdr:spPr>
            <a:xfrm>
              <a:off x="889746" y="24907315"/>
              <a:ext cx="1549400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〖𝑆𝑄〗_𝑅=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𝑌−𝑛𝑦 ̅^2=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268942</xdr:colOff>
      <xdr:row>46</xdr:row>
      <xdr:rowOff>123264</xdr:rowOff>
    </xdr:from>
    <xdr:ext cx="1549400" cy="2635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CA3A54C7-F929-4584-9054-303708429A74}"/>
                </a:ext>
              </a:extLst>
            </xdr:cNvPr>
            <xdr:cNvSpPr txBox="1"/>
          </xdr:nvSpPr>
          <xdr:spPr>
            <a:xfrm>
              <a:off x="878542" y="25231164"/>
              <a:ext cx="1549400" cy="2635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𝐸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CA3A54C7-F929-4584-9054-303708429A74}"/>
                </a:ext>
              </a:extLst>
            </xdr:cNvPr>
            <xdr:cNvSpPr txBox="1"/>
          </xdr:nvSpPr>
          <xdr:spPr>
            <a:xfrm>
              <a:off x="878542" y="25231164"/>
              <a:ext cx="1549400" cy="2635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〖𝑆𝑄〗_𝐸=𝑌^𝑇 𝑌−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1066800</xdr:colOff>
      <xdr:row>55</xdr:row>
      <xdr:rowOff>56588</xdr:rowOff>
    </xdr:from>
    <xdr:ext cx="818030" cy="5042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698F2C6E-686F-4118-8F91-C24D88E3D8CA}"/>
                </a:ext>
              </a:extLst>
            </xdr:cNvPr>
            <xdr:cNvSpPr txBox="1"/>
          </xdr:nvSpPr>
          <xdr:spPr>
            <a:xfrm>
              <a:off x="2428875" y="9133913"/>
              <a:ext cx="818030" cy="5042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𝑀</m:t>
                        </m:r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𝑀𝑄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698F2C6E-686F-4118-8F91-C24D88E3D8CA}"/>
                </a:ext>
              </a:extLst>
            </xdr:cNvPr>
            <xdr:cNvSpPr txBox="1"/>
          </xdr:nvSpPr>
          <xdr:spPr>
            <a:xfrm>
              <a:off x="2428875" y="9133913"/>
              <a:ext cx="818030" cy="5042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𝐹_0=(𝑀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𝑄_𝑅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〖𝑀𝑄〗_𝐸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851087</xdr:colOff>
      <xdr:row>49</xdr:row>
      <xdr:rowOff>76761</xdr:rowOff>
    </xdr:from>
    <xdr:ext cx="1053353" cy="3922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48BB2F8D-25CB-45F3-801B-17C735EB8ABE}"/>
                </a:ext>
              </a:extLst>
            </xdr:cNvPr>
            <xdr:cNvSpPr txBox="1"/>
          </xdr:nvSpPr>
          <xdr:spPr>
            <a:xfrm>
              <a:off x="2213162" y="818253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𝑀</m:t>
                    </m:r>
                    <m:sSub>
                      <m:sSubPr>
                        <m:ctrlP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𝑄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𝑅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𝑔𝑙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48BB2F8D-25CB-45F3-801B-17C735EB8ABE}"/>
                </a:ext>
              </a:extLst>
            </xdr:cNvPr>
            <xdr:cNvSpPr txBox="1"/>
          </xdr:nvSpPr>
          <xdr:spPr>
            <a:xfrm>
              <a:off x="2213162" y="818253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𝑀𝑄_𝑅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〖𝑆𝑄〗_𝑅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〖𝑔𝑙〗_𝑅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761999</xdr:colOff>
      <xdr:row>52</xdr:row>
      <xdr:rowOff>67236</xdr:rowOff>
    </xdr:from>
    <xdr:ext cx="1053353" cy="3922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D8DBF0B-3863-489A-9C49-159E398D6150}"/>
                </a:ext>
              </a:extLst>
            </xdr:cNvPr>
            <xdr:cNvSpPr txBox="1"/>
          </xdr:nvSpPr>
          <xdr:spPr>
            <a:xfrm>
              <a:off x="1371599" y="2614668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𝑀</m:t>
                    </m:r>
                    <m:sSub>
                      <m:sSubPr>
                        <m:ctrlP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𝑄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𝐸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𝑔𝑙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D8DBF0B-3863-489A-9C49-159E398D6150}"/>
                </a:ext>
              </a:extLst>
            </xdr:cNvPr>
            <xdr:cNvSpPr txBox="1"/>
          </xdr:nvSpPr>
          <xdr:spPr>
            <a:xfrm>
              <a:off x="1371599" y="2614668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𝑀𝑄_𝐸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〖𝑆𝑄〗_𝐸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〖𝑔𝑙〗_𝐸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twoCellAnchor editAs="oneCell">
    <xdr:from>
      <xdr:col>1</xdr:col>
      <xdr:colOff>100852</xdr:colOff>
      <xdr:row>72</xdr:row>
      <xdr:rowOff>33617</xdr:rowOff>
    </xdr:from>
    <xdr:to>
      <xdr:col>5</xdr:col>
      <xdr:colOff>25684</xdr:colOff>
      <xdr:row>75</xdr:row>
      <xdr:rowOff>96444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8BFEB0D1-59FD-4C72-B3A0-153775E1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52" y="29389667"/>
          <a:ext cx="3382407" cy="54860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68</xdr:row>
      <xdr:rowOff>123264</xdr:rowOff>
    </xdr:from>
    <xdr:to>
      <xdr:col>2</xdr:col>
      <xdr:colOff>1054148</xdr:colOff>
      <xdr:row>71</xdr:row>
      <xdr:rowOff>147986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30CC12CE-D659-4633-9516-F84B34D5C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5" y="28831614"/>
          <a:ext cx="1683358" cy="510497"/>
        </a:xfrm>
        <a:prstGeom prst="rect">
          <a:avLst/>
        </a:prstGeom>
      </xdr:spPr>
    </xdr:pic>
    <xdr:clientData/>
  </xdr:twoCellAnchor>
  <xdr:oneCellAnchor>
    <xdr:from>
      <xdr:col>5</xdr:col>
      <xdr:colOff>280147</xdr:colOff>
      <xdr:row>81</xdr:row>
      <xdr:rowOff>89647</xdr:rowOff>
    </xdr:from>
    <xdr:ext cx="4616823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9E46D8E-3ABB-461F-993A-A139B2EC7092}"/>
                </a:ext>
              </a:extLst>
            </xdr:cNvPr>
            <xdr:cNvSpPr txBox="1"/>
          </xdr:nvSpPr>
          <xdr:spPr>
            <a:xfrm>
              <a:off x="3518647" y="30922072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=0, 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𝑘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=2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9E46D8E-3ABB-461F-993A-A139B2EC7092}"/>
                </a:ext>
              </a:extLst>
            </xdr:cNvPr>
            <xdr:cNvSpPr txBox="1"/>
          </xdr:nvSpPr>
          <xdr:spPr>
            <a:xfrm>
              <a:off x="3518647" y="30922072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600" b="0" i="0">
                  <a:latin typeface="Cambria Math" panose="02040503050406030204" pitchFamily="18" charset="0"/>
                </a:rPr>
                <a:t>0=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𝛽_1=𝛽_2=𝛽_3=0, 𝑘=2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280147</xdr:colOff>
      <xdr:row>83</xdr:row>
      <xdr:rowOff>112059</xdr:rowOff>
    </xdr:from>
    <xdr:ext cx="4616823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9691A83-0A76-40FF-A6B6-2E64A4E9AB90}"/>
                </a:ext>
              </a:extLst>
            </xdr:cNvPr>
            <xdr:cNvSpPr txBox="1"/>
          </xdr:nvSpPr>
          <xdr:spPr>
            <a:xfrm>
              <a:off x="3518647" y="31268334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2=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𝑗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𝑝𝑎𝑟𝑎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𝑎𝑙𝑔𝑢𝑚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𝑗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, 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𝑗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=1,2,3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9691A83-0A76-40FF-A6B6-2E64A4E9AB90}"/>
                </a:ext>
              </a:extLst>
            </xdr:cNvPr>
            <xdr:cNvSpPr txBox="1"/>
          </xdr:nvSpPr>
          <xdr:spPr>
            <a:xfrm>
              <a:off x="3518647" y="31268334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𝐻2=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𝛽_𝑗≠0 𝑝𝑎𝑟𝑎 𝑎𝑙𝑔𝑢𝑚 𝑗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, 𝑗=1,2,3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459442</xdr:colOff>
      <xdr:row>89</xdr:row>
      <xdr:rowOff>125505</xdr:rowOff>
    </xdr:from>
    <xdr:ext cx="6633882" cy="27404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BEE5796F-B0E9-4006-87EF-6989985A2BA7}"/>
                </a:ext>
              </a:extLst>
            </xdr:cNvPr>
            <xdr:cNvSpPr txBox="1"/>
          </xdr:nvSpPr>
          <xdr:spPr>
            <a:xfrm>
              <a:off x="3697942" y="32262855"/>
              <a:ext cx="6633882" cy="2740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𝐼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.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𝐶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=]</m:t>
                  </m:r>
                  <m:sSub>
                    <m:sSub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𝐽</m:t>
                      </m:r>
                    </m:sub>
                  </m:sSub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/2[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𝑛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+1</m:t>
                      </m:r>
                    </m:e>
                  </m:d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]</m:t>
                  </m:r>
                  <m:rad>
                    <m:radPr>
                      <m:degHide m:val="on"/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𝜎</m:t>
                          </m:r>
                        </m:e>
                        <m:sup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𝐶𝑗𝑗</m:t>
                      </m:r>
                    </m:e>
                  </m:rad>
                </m:oMath>
              </a14:m>
              <a:r>
                <a:rPr lang="pt-PT" sz="1400"/>
                <a:t>,</a:t>
              </a:r>
              <a14:m>
                <m:oMath xmlns:m="http://schemas.openxmlformats.org/officeDocument/2006/math">
                  <m:sSub>
                    <m:sSub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𝐽</m:t>
                      </m:r>
                    </m:sub>
                  </m:sSub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/2[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𝑛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+1</m:t>
                      </m:r>
                    </m:e>
                  </m:d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]</m:t>
                  </m:r>
                  <m:rad>
                    <m:radPr>
                      <m:degHide m:val="on"/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𝜎</m:t>
                          </m:r>
                        </m:e>
                        <m:sup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𝐶𝑗𝑗</m:t>
                      </m:r>
                    </m:e>
                  </m:rad>
                </m:oMath>
              </a14:m>
              <a:r>
                <a:rPr lang="pt-PT" sz="1400"/>
                <a:t>[</a:t>
              </a:r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BEE5796F-B0E9-4006-87EF-6989985A2BA7}"/>
                </a:ext>
              </a:extLst>
            </xdr:cNvPr>
            <xdr:cNvSpPr txBox="1"/>
          </xdr:nvSpPr>
          <xdr:spPr>
            <a:xfrm>
              <a:off x="3697942" y="32262855"/>
              <a:ext cx="6633882" cy="2740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𝐼.𝐶=]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𝛽_𝐽−𝑇1−𝑎/2[𝑛−(𝑘+1)]√(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 𝐶𝑗𝑗)</a:t>
              </a:r>
              <a:r>
                <a:rPr lang="pt-PT" sz="1400"/>
                <a:t>,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𝛽_𝐽+𝑇1−𝑎/2[𝑛−(𝑘+1)]√(𝜎^2 𝐶𝑗𝑗)</a:t>
              </a:r>
              <a:r>
                <a:rPr lang="pt-PT" sz="1400"/>
                <a:t>[</a:t>
              </a:r>
            </a:p>
          </xdr:txBody>
        </xdr:sp>
      </mc:Fallback>
    </mc:AlternateContent>
    <xdr:clientData/>
  </xdr:oneCellAnchor>
  <xdr:oneCellAnchor>
    <xdr:from>
      <xdr:col>3</xdr:col>
      <xdr:colOff>507627</xdr:colOff>
      <xdr:row>96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AF181AB-60F0-4A53-A66F-DD5E698144FC}"/>
                </a:ext>
              </a:extLst>
            </xdr:cNvPr>
            <xdr:cNvSpPr txBox="1"/>
          </xdr:nvSpPr>
          <xdr:spPr>
            <a:xfrm>
              <a:off x="2965077" y="157946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AF181AB-60F0-4A53-A66F-DD5E698144FC}"/>
                </a:ext>
              </a:extLst>
            </xdr:cNvPr>
            <xdr:cNvSpPr txBox="1"/>
          </xdr:nvSpPr>
          <xdr:spPr>
            <a:xfrm>
              <a:off x="2965077" y="157946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442072</xdr:colOff>
      <xdr:row>97</xdr:row>
      <xdr:rowOff>136150</xdr:rowOff>
    </xdr:from>
    <xdr:ext cx="288477" cy="172227"/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615737E0-3D92-4C67-B66A-C300D4E431EB}"/>
            </a:ext>
          </a:extLst>
        </xdr:cNvPr>
        <xdr:cNvSpPr txBox="1"/>
      </xdr:nvSpPr>
      <xdr:spPr>
        <a:xfrm>
          <a:off x="2899522" y="160905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3</xdr:col>
      <xdr:colOff>545727</xdr:colOff>
      <xdr:row>106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2B9130EA-0F6C-44CA-9D55-50408B9D4344}"/>
                </a:ext>
              </a:extLst>
            </xdr:cNvPr>
            <xdr:cNvSpPr txBox="1"/>
          </xdr:nvSpPr>
          <xdr:spPr>
            <a:xfrm>
              <a:off x="3003177" y="174329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2B9130EA-0F6C-44CA-9D55-50408B9D4344}"/>
                </a:ext>
              </a:extLst>
            </xdr:cNvPr>
            <xdr:cNvSpPr txBox="1"/>
          </xdr:nvSpPr>
          <xdr:spPr>
            <a:xfrm>
              <a:off x="3003177" y="174329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480172</xdr:colOff>
      <xdr:row>107</xdr:row>
      <xdr:rowOff>145675</xdr:rowOff>
    </xdr:from>
    <xdr:ext cx="288477" cy="172227"/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86283516-35B2-4DAF-9203-8AE248201AF4}"/>
            </a:ext>
          </a:extLst>
        </xdr:cNvPr>
        <xdr:cNvSpPr txBox="1"/>
      </xdr:nvSpPr>
      <xdr:spPr>
        <a:xfrm>
          <a:off x="2937622" y="177383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3</xdr:col>
      <xdr:colOff>536202</xdr:colOff>
      <xdr:row>116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3517713E-03B9-4B7B-9862-843E78836303}"/>
                </a:ext>
              </a:extLst>
            </xdr:cNvPr>
            <xdr:cNvSpPr txBox="1"/>
          </xdr:nvSpPr>
          <xdr:spPr>
            <a:xfrm>
              <a:off x="2993652" y="190712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3517713E-03B9-4B7B-9862-843E78836303}"/>
                </a:ext>
              </a:extLst>
            </xdr:cNvPr>
            <xdr:cNvSpPr txBox="1"/>
          </xdr:nvSpPr>
          <xdr:spPr>
            <a:xfrm>
              <a:off x="2993652" y="190712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442072</xdr:colOff>
      <xdr:row>117</xdr:row>
      <xdr:rowOff>136150</xdr:rowOff>
    </xdr:from>
    <xdr:ext cx="288477" cy="172227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94C3BE34-B9DD-4027-A828-4FF48DF12011}"/>
            </a:ext>
          </a:extLst>
        </xdr:cNvPr>
        <xdr:cNvSpPr txBox="1"/>
      </xdr:nvSpPr>
      <xdr:spPr>
        <a:xfrm>
          <a:off x="2899522" y="193671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3</xdr:col>
      <xdr:colOff>498102</xdr:colOff>
      <xdr:row>126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3E98F09-F98B-4A2F-851D-0A71EF04577F}"/>
                </a:ext>
              </a:extLst>
            </xdr:cNvPr>
            <xdr:cNvSpPr txBox="1"/>
          </xdr:nvSpPr>
          <xdr:spPr>
            <a:xfrm>
              <a:off x="2955552" y="207095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3E98F09-F98B-4A2F-851D-0A71EF04577F}"/>
                </a:ext>
              </a:extLst>
            </xdr:cNvPr>
            <xdr:cNvSpPr txBox="1"/>
          </xdr:nvSpPr>
          <xdr:spPr>
            <a:xfrm>
              <a:off x="2955552" y="207095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451597</xdr:colOff>
      <xdr:row>127</xdr:row>
      <xdr:rowOff>145675</xdr:rowOff>
    </xdr:from>
    <xdr:ext cx="288477" cy="197225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99D667F1-2254-4927-B6E9-E156C4BA60E4}"/>
            </a:ext>
          </a:extLst>
        </xdr:cNvPr>
        <xdr:cNvSpPr txBox="1"/>
      </xdr:nvSpPr>
      <xdr:spPr>
        <a:xfrm>
          <a:off x="2909047" y="21014950"/>
          <a:ext cx="288477" cy="197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3</xdr:col>
      <xdr:colOff>534521</xdr:colOff>
      <xdr:row>135</xdr:row>
      <xdr:rowOff>125506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48C4602F-26C6-4AA6-AF30-F379722DAB7E}"/>
                </a:ext>
              </a:extLst>
            </xdr:cNvPr>
            <xdr:cNvSpPr txBox="1"/>
          </xdr:nvSpPr>
          <xdr:spPr>
            <a:xfrm>
              <a:off x="1934696" y="397971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48C4602F-26C6-4AA6-AF30-F379722DAB7E}"/>
                </a:ext>
              </a:extLst>
            </xdr:cNvPr>
            <xdr:cNvSpPr txBox="1"/>
          </xdr:nvSpPr>
          <xdr:spPr>
            <a:xfrm>
              <a:off x="1934696" y="397971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672352</xdr:colOff>
      <xdr:row>137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8739004-06C7-497E-870F-E0947EAA540B}"/>
                </a:ext>
              </a:extLst>
            </xdr:cNvPr>
            <xdr:cNvSpPr txBox="1"/>
          </xdr:nvSpPr>
          <xdr:spPr>
            <a:xfrm>
              <a:off x="1281952" y="401299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8739004-06C7-497E-870F-E0947EAA540B}"/>
                </a:ext>
              </a:extLst>
            </xdr:cNvPr>
            <xdr:cNvSpPr txBox="1"/>
          </xdr:nvSpPr>
          <xdr:spPr>
            <a:xfrm>
              <a:off x="1281952" y="401299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24</xdr:col>
      <xdr:colOff>132573</xdr:colOff>
      <xdr:row>134</xdr:row>
      <xdr:rowOff>31338</xdr:rowOff>
    </xdr:from>
    <xdr:to>
      <xdr:col>33</xdr:col>
      <xdr:colOff>305947</xdr:colOff>
      <xdr:row>137</xdr:row>
      <xdr:rowOff>65586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03155A20-7559-491E-A0DB-098F5AA5C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99988" y="22100279"/>
          <a:ext cx="5807654" cy="518570"/>
        </a:xfrm>
        <a:prstGeom prst="rect">
          <a:avLst/>
        </a:prstGeom>
      </xdr:spPr>
    </xdr:pic>
    <xdr:clientData/>
  </xdr:twoCellAnchor>
  <xdr:oneCellAnchor>
    <xdr:from>
      <xdr:col>2</xdr:col>
      <xdr:colOff>694764</xdr:colOff>
      <xdr:row>141</xdr:row>
      <xdr:rowOff>134471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374DAB63-6DE4-4A72-A945-8BF3F47817C1}"/>
                </a:ext>
              </a:extLst>
            </xdr:cNvPr>
            <xdr:cNvSpPr txBox="1"/>
          </xdr:nvSpPr>
          <xdr:spPr>
            <a:xfrm>
              <a:off x="1304364" y="4077764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374DAB63-6DE4-4A72-A945-8BF3F47817C1}"/>
                </a:ext>
              </a:extLst>
            </xdr:cNvPr>
            <xdr:cNvSpPr txBox="1"/>
          </xdr:nvSpPr>
          <xdr:spPr>
            <a:xfrm>
              <a:off x="1304364" y="4077764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378199</xdr:colOff>
      <xdr:row>132</xdr:row>
      <xdr:rowOff>22411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506B476-F057-4305-9F25-AFDEC45D0CD0}"/>
                </a:ext>
              </a:extLst>
            </xdr:cNvPr>
            <xdr:cNvSpPr txBox="1"/>
          </xdr:nvSpPr>
          <xdr:spPr>
            <a:xfrm>
              <a:off x="7198099" y="2172036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506B476-F057-4305-9F25-AFDEC45D0CD0}"/>
                </a:ext>
              </a:extLst>
            </xdr:cNvPr>
            <xdr:cNvSpPr txBox="1"/>
          </xdr:nvSpPr>
          <xdr:spPr>
            <a:xfrm>
              <a:off x="7198099" y="2172036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952500</xdr:colOff>
      <xdr:row>140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446F9F4B-E654-4E0D-B25F-0D7868E87686}"/>
                </a:ext>
              </a:extLst>
            </xdr:cNvPr>
            <xdr:cNvSpPr txBox="1"/>
          </xdr:nvSpPr>
          <xdr:spPr>
            <a:xfrm>
              <a:off x="2314575" y="2299335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446F9F4B-E654-4E0D-B25F-0D7868E87686}"/>
                </a:ext>
              </a:extLst>
            </xdr:cNvPr>
            <xdr:cNvSpPr txBox="1"/>
          </xdr:nvSpPr>
          <xdr:spPr>
            <a:xfrm>
              <a:off x="2314575" y="2299335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459440</xdr:colOff>
      <xdr:row>135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88379E0-099F-40EA-ACDD-2869F65FCD9F}"/>
                </a:ext>
              </a:extLst>
            </xdr:cNvPr>
            <xdr:cNvSpPr txBox="1"/>
          </xdr:nvSpPr>
          <xdr:spPr>
            <a:xfrm>
              <a:off x="6974540" y="397948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88379E0-099F-40EA-ACDD-2869F65FCD9F}"/>
                </a:ext>
              </a:extLst>
            </xdr:cNvPr>
            <xdr:cNvSpPr txBox="1"/>
          </xdr:nvSpPr>
          <xdr:spPr>
            <a:xfrm>
              <a:off x="6974540" y="397948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3</xdr:col>
      <xdr:colOff>534521</xdr:colOff>
      <xdr:row>149</xdr:row>
      <xdr:rowOff>125506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EAF205CC-3045-43AF-8EC4-6F8979F1761D}"/>
                </a:ext>
              </a:extLst>
            </xdr:cNvPr>
            <xdr:cNvSpPr txBox="1"/>
          </xdr:nvSpPr>
          <xdr:spPr>
            <a:xfrm>
              <a:off x="1934696" y="421212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EAF205CC-3045-43AF-8EC4-6F8979F1761D}"/>
                </a:ext>
              </a:extLst>
            </xdr:cNvPr>
            <xdr:cNvSpPr txBox="1"/>
          </xdr:nvSpPr>
          <xdr:spPr>
            <a:xfrm>
              <a:off x="1934696" y="421212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672352</xdr:colOff>
      <xdr:row>151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E4B2D78B-585B-4B23-9524-711A414BFF1F}"/>
                </a:ext>
              </a:extLst>
            </xdr:cNvPr>
            <xdr:cNvSpPr txBox="1"/>
          </xdr:nvSpPr>
          <xdr:spPr>
            <a:xfrm>
              <a:off x="1281952" y="424540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E4B2D78B-585B-4B23-9524-711A414BFF1F}"/>
                </a:ext>
              </a:extLst>
            </xdr:cNvPr>
            <xdr:cNvSpPr txBox="1"/>
          </xdr:nvSpPr>
          <xdr:spPr>
            <a:xfrm>
              <a:off x="1281952" y="424540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369794</xdr:colOff>
      <xdr:row>156</xdr:row>
      <xdr:rowOff>11206</xdr:rowOff>
    </xdr:from>
    <xdr:ext cx="1389529" cy="235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1D87B46-D302-4277-B5C2-C99AF41F028A}"/>
                </a:ext>
              </a:extLst>
            </xdr:cNvPr>
            <xdr:cNvSpPr txBox="1"/>
          </xdr:nvSpPr>
          <xdr:spPr>
            <a:xfrm>
              <a:off x="979394" y="43140406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∗(1+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0)=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1D87B46-D302-4277-B5C2-C99AF41F028A}"/>
                </a:ext>
              </a:extLst>
            </xdr:cNvPr>
            <xdr:cNvSpPr txBox="1"/>
          </xdr:nvSpPr>
          <xdr:spPr>
            <a:xfrm>
              <a:off x="979394" y="43140406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2∗(1+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349624</xdr:colOff>
      <xdr:row>146</xdr:row>
      <xdr:rowOff>3361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C9256CE-E04C-4872-B820-D5F0948DADE8}"/>
                </a:ext>
              </a:extLst>
            </xdr:cNvPr>
            <xdr:cNvSpPr txBox="1"/>
          </xdr:nvSpPr>
          <xdr:spPr>
            <a:xfrm>
              <a:off x="7169524" y="2402541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C9256CE-E04C-4872-B820-D5F0948DADE8}"/>
                </a:ext>
              </a:extLst>
            </xdr:cNvPr>
            <xdr:cNvSpPr txBox="1"/>
          </xdr:nvSpPr>
          <xdr:spPr>
            <a:xfrm>
              <a:off x="7169524" y="2402541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971550</xdr:colOff>
      <xdr:row>153</xdr:row>
      <xdr:rowOff>152400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E47AEB6F-DE1E-4140-A7BD-EB83B9C25011}"/>
                </a:ext>
              </a:extLst>
            </xdr:cNvPr>
            <xdr:cNvSpPr txBox="1"/>
          </xdr:nvSpPr>
          <xdr:spPr>
            <a:xfrm>
              <a:off x="2333625" y="2530792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E47AEB6F-DE1E-4140-A7BD-EB83B9C25011}"/>
                </a:ext>
              </a:extLst>
            </xdr:cNvPr>
            <xdr:cNvSpPr txBox="1"/>
          </xdr:nvSpPr>
          <xdr:spPr>
            <a:xfrm>
              <a:off x="2333625" y="2530792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459440</xdr:colOff>
      <xdr:row>149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A3A8A258-DCF2-4F7C-BB72-A365D673DEB5}"/>
                </a:ext>
              </a:extLst>
            </xdr:cNvPr>
            <xdr:cNvSpPr txBox="1"/>
          </xdr:nvSpPr>
          <xdr:spPr>
            <a:xfrm>
              <a:off x="6974540" y="421189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A3A8A258-DCF2-4F7C-BB72-A365D673DEB5}"/>
                </a:ext>
              </a:extLst>
            </xdr:cNvPr>
            <xdr:cNvSpPr txBox="1"/>
          </xdr:nvSpPr>
          <xdr:spPr>
            <a:xfrm>
              <a:off x="6974540" y="421189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twoCellAnchor editAs="oneCell">
    <xdr:from>
      <xdr:col>26</xdr:col>
      <xdr:colOff>246530</xdr:colOff>
      <xdr:row>144</xdr:row>
      <xdr:rowOff>98193</xdr:rowOff>
    </xdr:from>
    <xdr:to>
      <xdr:col>36</xdr:col>
      <xdr:colOff>5175</xdr:colOff>
      <xdr:row>147</xdr:row>
      <xdr:rowOff>52522</xdr:rowOff>
    </xdr:to>
    <xdr:pic>
      <xdr:nvPicPr>
        <xdr:cNvPr id="64" name="Imagem 63">
          <a:extLst>
            <a:ext uri="{FF2B5EF4-FFF2-40B4-BE49-F238E27FC236}">
              <a16:creationId xmlns:a16="http://schemas.microsoft.com/office/drawing/2014/main" id="{0AEC85F9-08D4-4A86-8517-4229EC3C5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53903" y="23813829"/>
          <a:ext cx="5893391" cy="470939"/>
        </a:xfrm>
        <a:prstGeom prst="rect">
          <a:avLst/>
        </a:prstGeom>
      </xdr:spPr>
    </xdr:pic>
    <xdr:clientData/>
  </xdr:twoCellAnchor>
  <xdr:twoCellAnchor editAs="oneCell">
    <xdr:from>
      <xdr:col>26</xdr:col>
      <xdr:colOff>271956</xdr:colOff>
      <xdr:row>161</xdr:row>
      <xdr:rowOff>28495</xdr:rowOff>
    </xdr:from>
    <xdr:to>
      <xdr:col>35</xdr:col>
      <xdr:colOff>254667</xdr:colOff>
      <xdr:row>176</xdr:row>
      <xdr:rowOff>145194</xdr:rowOff>
    </xdr:to>
    <xdr:pic>
      <xdr:nvPicPr>
        <xdr:cNvPr id="65" name="Imagem 64">
          <a:extLst>
            <a:ext uri="{FF2B5EF4-FFF2-40B4-BE49-F238E27FC236}">
              <a16:creationId xmlns:a16="http://schemas.microsoft.com/office/drawing/2014/main" id="{6DC621A4-7F55-4C82-B159-AB6CB2C4F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84911" y="26150086"/>
          <a:ext cx="5437938" cy="2497949"/>
        </a:xfrm>
        <a:prstGeom prst="rect">
          <a:avLst/>
        </a:prstGeom>
      </xdr:spPr>
    </xdr:pic>
    <xdr:clientData/>
  </xdr:twoCellAnchor>
  <xdr:oneCellAnchor>
    <xdr:from>
      <xdr:col>2</xdr:col>
      <xdr:colOff>212913</xdr:colOff>
      <xdr:row>160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350B70A-A8C1-4C35-9AA1-3300D6B71BDB}"/>
                </a:ext>
              </a:extLst>
            </xdr:cNvPr>
            <xdr:cNvSpPr txBox="1"/>
          </xdr:nvSpPr>
          <xdr:spPr>
            <a:xfrm>
              <a:off x="822513" y="439349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350B70A-A8C1-4C35-9AA1-3300D6B71BDB}"/>
                </a:ext>
              </a:extLst>
            </xdr:cNvPr>
            <xdr:cNvSpPr txBox="1"/>
          </xdr:nvSpPr>
          <xdr:spPr>
            <a:xfrm>
              <a:off x="822513" y="439349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𝐻0:𝐵_0=0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</xdr:col>
      <xdr:colOff>224117</xdr:colOff>
      <xdr:row>162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12A38DF-78F5-405E-AA62-80F83C849D08}"/>
                </a:ext>
              </a:extLst>
            </xdr:cNvPr>
            <xdr:cNvSpPr txBox="1"/>
          </xdr:nvSpPr>
          <xdr:spPr>
            <a:xfrm>
              <a:off x="833717" y="442811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12A38DF-78F5-405E-AA62-80F83C849D08}"/>
                </a:ext>
              </a:extLst>
            </xdr:cNvPr>
            <xdr:cNvSpPr txBox="1"/>
          </xdr:nvSpPr>
          <xdr:spPr>
            <a:xfrm>
              <a:off x="833717" y="442811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𝐻1:𝐵_0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</xdr:col>
      <xdr:colOff>448236</xdr:colOff>
      <xdr:row>165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D38E2DC-046A-4183-887A-32EB2AE772D0}"/>
                </a:ext>
              </a:extLst>
            </xdr:cNvPr>
            <xdr:cNvSpPr txBox="1"/>
          </xdr:nvSpPr>
          <xdr:spPr>
            <a:xfrm>
              <a:off x="1057836" y="447781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D38E2DC-046A-4183-887A-32EB2AE772D0}"/>
                </a:ext>
              </a:extLst>
            </xdr:cNvPr>
            <xdr:cNvSpPr txBox="1"/>
          </xdr:nvSpPr>
          <xdr:spPr>
            <a:xfrm>
              <a:off x="1057836" y="447781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4</xdr:col>
      <xdr:colOff>112058</xdr:colOff>
      <xdr:row>160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36627542-494B-4752-9E53-D0C83D4A0FE0}"/>
                </a:ext>
              </a:extLst>
            </xdr:cNvPr>
            <xdr:cNvSpPr txBox="1"/>
          </xdr:nvSpPr>
          <xdr:spPr>
            <a:xfrm>
              <a:off x="2436158" y="439259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00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36627542-494B-4752-9E53-D0C83D4A0FE0}"/>
                </a:ext>
              </a:extLst>
            </xdr:cNvPr>
            <xdr:cNvSpPr txBox="1"/>
          </xdr:nvSpPr>
          <xdr:spPr>
            <a:xfrm>
              <a:off x="2436158" y="439259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400" b="0" i="0">
                  <a:latin typeface="Cambria Math" panose="02040503050406030204" pitchFamily="18" charset="0"/>
                </a:rPr>
                <a:t>0 ) ̂/√(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400" b="0" i="0">
                  <a:latin typeface="Cambria Math" panose="02040503050406030204" pitchFamily="18" charset="0"/>
                </a:rPr>
                <a:t>2∗𝐶_00 )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1019175</xdr:colOff>
      <xdr:row>162</xdr:row>
      <xdr:rowOff>155200</xdr:rowOff>
    </xdr:from>
    <xdr:ext cx="288477" cy="172227"/>
    <xdr:sp macro="" textlink="">
      <xdr:nvSpPr>
        <xdr:cNvPr id="70" name="CaixaDeTexto 69">
          <a:extLst>
            <a:ext uri="{FF2B5EF4-FFF2-40B4-BE49-F238E27FC236}">
              <a16:creationId xmlns:a16="http://schemas.microsoft.com/office/drawing/2014/main" id="{37F3DD55-292F-427A-AF68-1F25017F8674}"/>
            </a:ext>
          </a:extLst>
        </xdr:cNvPr>
        <xdr:cNvSpPr txBox="1"/>
      </xdr:nvSpPr>
      <xdr:spPr>
        <a:xfrm>
          <a:off x="6515100" y="268252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2</xdr:col>
      <xdr:colOff>212913</xdr:colOff>
      <xdr:row>178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09DCF395-5419-4CB6-8C19-1C530AC3DDFC}"/>
                </a:ext>
              </a:extLst>
            </xdr:cNvPr>
            <xdr:cNvSpPr txBox="1"/>
          </xdr:nvSpPr>
          <xdr:spPr>
            <a:xfrm>
              <a:off x="822513" y="468686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09DCF395-5419-4CB6-8C19-1C530AC3DDFC}"/>
                </a:ext>
              </a:extLst>
            </xdr:cNvPr>
            <xdr:cNvSpPr txBox="1"/>
          </xdr:nvSpPr>
          <xdr:spPr>
            <a:xfrm>
              <a:off x="822513" y="468686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𝐻0:𝐵_1=0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</xdr:col>
      <xdr:colOff>224117</xdr:colOff>
      <xdr:row>180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975FD8B8-F07A-4218-9A43-809604392BDD}"/>
                </a:ext>
              </a:extLst>
            </xdr:cNvPr>
            <xdr:cNvSpPr txBox="1"/>
          </xdr:nvSpPr>
          <xdr:spPr>
            <a:xfrm>
              <a:off x="833717" y="472148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975FD8B8-F07A-4218-9A43-809604392BDD}"/>
                </a:ext>
              </a:extLst>
            </xdr:cNvPr>
            <xdr:cNvSpPr txBox="1"/>
          </xdr:nvSpPr>
          <xdr:spPr>
            <a:xfrm>
              <a:off x="833717" y="472148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𝐻1:𝐵_1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</xdr:col>
      <xdr:colOff>448236</xdr:colOff>
      <xdr:row>183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E0562C5F-3B97-468F-9532-7F6AD6B60369}"/>
                </a:ext>
              </a:extLst>
            </xdr:cNvPr>
            <xdr:cNvSpPr txBox="1"/>
          </xdr:nvSpPr>
          <xdr:spPr>
            <a:xfrm>
              <a:off x="1057836" y="477118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E0562C5F-3B97-468F-9532-7F6AD6B60369}"/>
                </a:ext>
              </a:extLst>
            </xdr:cNvPr>
            <xdr:cNvSpPr txBox="1"/>
          </xdr:nvSpPr>
          <xdr:spPr>
            <a:xfrm>
              <a:off x="1057836" y="477118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4</xdr:col>
      <xdr:colOff>112058</xdr:colOff>
      <xdr:row>178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8DF23FF0-BA01-4E46-AEF9-55C211CC47DD}"/>
                </a:ext>
              </a:extLst>
            </xdr:cNvPr>
            <xdr:cNvSpPr txBox="1"/>
          </xdr:nvSpPr>
          <xdr:spPr>
            <a:xfrm>
              <a:off x="2436158" y="468596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8DF23FF0-BA01-4E46-AEF9-55C211CC47DD}"/>
                </a:ext>
              </a:extLst>
            </xdr:cNvPr>
            <xdr:cNvSpPr txBox="1"/>
          </xdr:nvSpPr>
          <xdr:spPr>
            <a:xfrm>
              <a:off x="2436158" y="468596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𝛽_1 )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2∗𝐶_11 )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1019175</xdr:colOff>
      <xdr:row>180</xdr:row>
      <xdr:rowOff>155200</xdr:rowOff>
    </xdr:from>
    <xdr:ext cx="288477" cy="172227"/>
    <xdr:sp macro="" textlink="">
      <xdr:nvSpPr>
        <xdr:cNvPr id="76" name="CaixaDeTexto 75">
          <a:extLst>
            <a:ext uri="{FF2B5EF4-FFF2-40B4-BE49-F238E27FC236}">
              <a16:creationId xmlns:a16="http://schemas.microsoft.com/office/drawing/2014/main" id="{3527E852-18A4-452A-8232-FA8B7487C5E5}"/>
            </a:ext>
          </a:extLst>
        </xdr:cNvPr>
        <xdr:cNvSpPr txBox="1"/>
      </xdr:nvSpPr>
      <xdr:spPr>
        <a:xfrm>
          <a:off x="6515100" y="297589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2</xdr:col>
      <xdr:colOff>212913</xdr:colOff>
      <xdr:row>196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54CC463-1AD2-45FA-9EEF-E2FE093D0B6E}"/>
                </a:ext>
              </a:extLst>
            </xdr:cNvPr>
            <xdr:cNvSpPr txBox="1"/>
          </xdr:nvSpPr>
          <xdr:spPr>
            <a:xfrm>
              <a:off x="822513" y="498023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54CC463-1AD2-45FA-9EEF-E2FE093D0B6E}"/>
                </a:ext>
              </a:extLst>
            </xdr:cNvPr>
            <xdr:cNvSpPr txBox="1"/>
          </xdr:nvSpPr>
          <xdr:spPr>
            <a:xfrm>
              <a:off x="822513" y="498023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𝐻0:𝐵_2=0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</xdr:col>
      <xdr:colOff>224117</xdr:colOff>
      <xdr:row>198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F0CF71E-802E-499D-B52A-EBD289A77309}"/>
                </a:ext>
              </a:extLst>
            </xdr:cNvPr>
            <xdr:cNvSpPr txBox="1"/>
          </xdr:nvSpPr>
          <xdr:spPr>
            <a:xfrm>
              <a:off x="833717" y="501485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F0CF71E-802E-499D-B52A-EBD289A77309}"/>
                </a:ext>
              </a:extLst>
            </xdr:cNvPr>
            <xdr:cNvSpPr txBox="1"/>
          </xdr:nvSpPr>
          <xdr:spPr>
            <a:xfrm>
              <a:off x="833717" y="501485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𝐻1:𝐵_2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</xdr:col>
      <xdr:colOff>448236</xdr:colOff>
      <xdr:row>201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24DF89C-1FDB-4041-8E2F-4BE965018F87}"/>
                </a:ext>
              </a:extLst>
            </xdr:cNvPr>
            <xdr:cNvSpPr txBox="1"/>
          </xdr:nvSpPr>
          <xdr:spPr>
            <a:xfrm>
              <a:off x="1057836" y="506455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24DF89C-1FDB-4041-8E2F-4BE965018F87}"/>
                </a:ext>
              </a:extLst>
            </xdr:cNvPr>
            <xdr:cNvSpPr txBox="1"/>
          </xdr:nvSpPr>
          <xdr:spPr>
            <a:xfrm>
              <a:off x="1057836" y="506455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4</xdr:col>
      <xdr:colOff>112058</xdr:colOff>
      <xdr:row>196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2AE50CC4-A3A9-44EF-A3CC-BD2489390595}"/>
                </a:ext>
              </a:extLst>
            </xdr:cNvPr>
            <xdr:cNvSpPr txBox="1"/>
          </xdr:nvSpPr>
          <xdr:spPr>
            <a:xfrm>
              <a:off x="2436158" y="497933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22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2AE50CC4-A3A9-44EF-A3CC-BD2489390595}"/>
                </a:ext>
              </a:extLst>
            </xdr:cNvPr>
            <xdr:cNvSpPr txBox="1"/>
          </xdr:nvSpPr>
          <xdr:spPr>
            <a:xfrm>
              <a:off x="2436158" y="497933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𝛽_2 )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2∗𝐶_22 )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990600</xdr:colOff>
      <xdr:row>199</xdr:row>
      <xdr:rowOff>2800</xdr:rowOff>
    </xdr:from>
    <xdr:ext cx="288477" cy="172227"/>
    <xdr:sp macro="" textlink="">
      <xdr:nvSpPr>
        <xdr:cNvPr id="82" name="CaixaDeTexto 81">
          <a:extLst>
            <a:ext uri="{FF2B5EF4-FFF2-40B4-BE49-F238E27FC236}">
              <a16:creationId xmlns:a16="http://schemas.microsoft.com/office/drawing/2014/main" id="{9C1B254B-F7AF-4AB2-9A89-318842F3508E}"/>
            </a:ext>
          </a:extLst>
        </xdr:cNvPr>
        <xdr:cNvSpPr txBox="1"/>
      </xdr:nvSpPr>
      <xdr:spPr>
        <a:xfrm>
          <a:off x="6486525" y="327021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2</xdr:col>
      <xdr:colOff>212913</xdr:colOff>
      <xdr:row>214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55329020-717A-4166-B66A-DCA7883926E6}"/>
                </a:ext>
              </a:extLst>
            </xdr:cNvPr>
            <xdr:cNvSpPr txBox="1"/>
          </xdr:nvSpPr>
          <xdr:spPr>
            <a:xfrm>
              <a:off x="822513" y="527360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55329020-717A-4166-B66A-DCA7883926E6}"/>
                </a:ext>
              </a:extLst>
            </xdr:cNvPr>
            <xdr:cNvSpPr txBox="1"/>
          </xdr:nvSpPr>
          <xdr:spPr>
            <a:xfrm>
              <a:off x="822513" y="527360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𝐻0:𝐵_3=0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</xdr:col>
      <xdr:colOff>224117</xdr:colOff>
      <xdr:row>216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F92B729F-9A1D-4035-89D9-71985974A5E4}"/>
                </a:ext>
              </a:extLst>
            </xdr:cNvPr>
            <xdr:cNvSpPr txBox="1"/>
          </xdr:nvSpPr>
          <xdr:spPr>
            <a:xfrm>
              <a:off x="833717" y="53082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F92B729F-9A1D-4035-89D9-71985974A5E4}"/>
                </a:ext>
              </a:extLst>
            </xdr:cNvPr>
            <xdr:cNvSpPr txBox="1"/>
          </xdr:nvSpPr>
          <xdr:spPr>
            <a:xfrm>
              <a:off x="833717" y="53082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𝐻1:𝐵_3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</xdr:col>
      <xdr:colOff>448236</xdr:colOff>
      <xdr:row>219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F2E58E7E-2FD0-4863-A1A2-A511B34F23D3}"/>
                </a:ext>
              </a:extLst>
            </xdr:cNvPr>
            <xdr:cNvSpPr txBox="1"/>
          </xdr:nvSpPr>
          <xdr:spPr>
            <a:xfrm>
              <a:off x="1057836" y="535792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F2E58E7E-2FD0-4863-A1A2-A511B34F23D3}"/>
                </a:ext>
              </a:extLst>
            </xdr:cNvPr>
            <xdr:cNvSpPr txBox="1"/>
          </xdr:nvSpPr>
          <xdr:spPr>
            <a:xfrm>
              <a:off x="1057836" y="535792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4</xdr:col>
      <xdr:colOff>112058</xdr:colOff>
      <xdr:row>214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90F5EEF7-170B-47A1-B209-32B8CB097FEB}"/>
                </a:ext>
              </a:extLst>
            </xdr:cNvPr>
            <xdr:cNvSpPr txBox="1"/>
          </xdr:nvSpPr>
          <xdr:spPr>
            <a:xfrm>
              <a:off x="2436158" y="527270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33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90F5EEF7-170B-47A1-B209-32B8CB097FEB}"/>
                </a:ext>
              </a:extLst>
            </xdr:cNvPr>
            <xdr:cNvSpPr txBox="1"/>
          </xdr:nvSpPr>
          <xdr:spPr>
            <a:xfrm>
              <a:off x="2436158" y="527270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𝛽_3 )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2∗𝐶_33 )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1000125</xdr:colOff>
      <xdr:row>217</xdr:row>
      <xdr:rowOff>12325</xdr:rowOff>
    </xdr:from>
    <xdr:ext cx="288477" cy="172227"/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F1ACBB61-40E3-4D62-A3C7-E67831E34A38}"/>
            </a:ext>
          </a:extLst>
        </xdr:cNvPr>
        <xdr:cNvSpPr txBox="1"/>
      </xdr:nvSpPr>
      <xdr:spPr>
        <a:xfrm>
          <a:off x="6496050" y="356453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14</xdr:col>
      <xdr:colOff>212913</xdr:colOff>
      <xdr:row>160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5B1C2EFF-00B9-4687-8ABC-80AB162D3237}"/>
                </a:ext>
              </a:extLst>
            </xdr:cNvPr>
            <xdr:cNvSpPr txBox="1"/>
          </xdr:nvSpPr>
          <xdr:spPr>
            <a:xfrm>
              <a:off x="1585159" y="2649640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5B1C2EFF-00B9-4687-8ABC-80AB162D3237}"/>
                </a:ext>
              </a:extLst>
            </xdr:cNvPr>
            <xdr:cNvSpPr txBox="1"/>
          </xdr:nvSpPr>
          <xdr:spPr>
            <a:xfrm>
              <a:off x="1585159" y="2649640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𝐻0:𝐵_0=0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224117</xdr:colOff>
      <xdr:row>162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436E3BB-0CC5-4DE4-9B8B-9549CE70AE57}"/>
                </a:ext>
              </a:extLst>
            </xdr:cNvPr>
            <xdr:cNvSpPr txBox="1"/>
          </xdr:nvSpPr>
          <xdr:spPr>
            <a:xfrm>
              <a:off x="1596363" y="26841696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436E3BB-0CC5-4DE4-9B8B-9549CE70AE57}"/>
                </a:ext>
              </a:extLst>
            </xdr:cNvPr>
            <xdr:cNvSpPr txBox="1"/>
          </xdr:nvSpPr>
          <xdr:spPr>
            <a:xfrm>
              <a:off x="1596363" y="26841696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𝐻1:𝐵_0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448236</xdr:colOff>
      <xdr:row>165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AEFF0B81-903B-445F-B780-BD62671630F9}"/>
                </a:ext>
              </a:extLst>
            </xdr:cNvPr>
            <xdr:cNvSpPr txBox="1"/>
          </xdr:nvSpPr>
          <xdr:spPr>
            <a:xfrm>
              <a:off x="1820482" y="27337224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AEFF0B81-903B-445F-B780-BD62671630F9}"/>
                </a:ext>
              </a:extLst>
            </xdr:cNvPr>
            <xdr:cNvSpPr txBox="1"/>
          </xdr:nvSpPr>
          <xdr:spPr>
            <a:xfrm>
              <a:off x="1820482" y="27337224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112058</xdr:colOff>
      <xdr:row>160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F8C9F192-4E8F-415B-A4F6-33A7955AB6F1}"/>
                </a:ext>
              </a:extLst>
            </xdr:cNvPr>
            <xdr:cNvSpPr txBox="1"/>
          </xdr:nvSpPr>
          <xdr:spPr>
            <a:xfrm>
              <a:off x="3340872" y="26487440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00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F8C9F192-4E8F-415B-A4F6-33A7955AB6F1}"/>
                </a:ext>
              </a:extLst>
            </xdr:cNvPr>
            <xdr:cNvSpPr txBox="1"/>
          </xdr:nvSpPr>
          <xdr:spPr>
            <a:xfrm>
              <a:off x="3340872" y="26487440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400" b="0" i="0">
                  <a:latin typeface="Cambria Math" panose="02040503050406030204" pitchFamily="18" charset="0"/>
                </a:rPr>
                <a:t>0 ) ̂/√(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400" b="0" i="0">
                  <a:latin typeface="Cambria Math" panose="02040503050406030204" pitchFamily="18" charset="0"/>
                </a:rPr>
                <a:t>2∗𝐶_00 )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342900</xdr:colOff>
      <xdr:row>163</xdr:row>
      <xdr:rowOff>2800</xdr:rowOff>
    </xdr:from>
    <xdr:ext cx="288477" cy="172227"/>
    <xdr:sp macro="" textlink="">
      <xdr:nvSpPr>
        <xdr:cNvPr id="94" name="CaixaDeTexto 93">
          <a:extLst>
            <a:ext uri="{FF2B5EF4-FFF2-40B4-BE49-F238E27FC236}">
              <a16:creationId xmlns:a16="http://schemas.microsoft.com/office/drawing/2014/main" id="{BBB6987C-BF36-43E3-BD99-2C29D5DE8CF4}"/>
            </a:ext>
          </a:extLst>
        </xdr:cNvPr>
        <xdr:cNvSpPr txBox="1"/>
      </xdr:nvSpPr>
      <xdr:spPr>
        <a:xfrm>
          <a:off x="14211300" y="268347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14</xdr:col>
      <xdr:colOff>212913</xdr:colOff>
      <xdr:row>178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2061B7F5-F1FB-4FA9-87E1-153211CEEBBB}"/>
                </a:ext>
              </a:extLst>
            </xdr:cNvPr>
            <xdr:cNvSpPr txBox="1"/>
          </xdr:nvSpPr>
          <xdr:spPr>
            <a:xfrm>
              <a:off x="1585159" y="2943462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2061B7F5-F1FB-4FA9-87E1-153211CEEBBB}"/>
                </a:ext>
              </a:extLst>
            </xdr:cNvPr>
            <xdr:cNvSpPr txBox="1"/>
          </xdr:nvSpPr>
          <xdr:spPr>
            <a:xfrm>
              <a:off x="1585159" y="29434625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𝐻0:𝐵_1=0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224117</xdr:colOff>
      <xdr:row>180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D9764D95-8261-4EE4-A14F-3BEE571DE2C1}"/>
                </a:ext>
              </a:extLst>
            </xdr:cNvPr>
            <xdr:cNvSpPr txBox="1"/>
          </xdr:nvSpPr>
          <xdr:spPr>
            <a:xfrm>
              <a:off x="1596363" y="2977991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D9764D95-8261-4EE4-A14F-3BEE571DE2C1}"/>
                </a:ext>
              </a:extLst>
            </xdr:cNvPr>
            <xdr:cNvSpPr txBox="1"/>
          </xdr:nvSpPr>
          <xdr:spPr>
            <a:xfrm>
              <a:off x="1596363" y="2977991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𝐻1:𝐵_1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448236</xdr:colOff>
      <xdr:row>183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33D31436-379E-4684-8FA7-DBD52976598D}"/>
                </a:ext>
              </a:extLst>
            </xdr:cNvPr>
            <xdr:cNvSpPr txBox="1"/>
          </xdr:nvSpPr>
          <xdr:spPr>
            <a:xfrm>
              <a:off x="1820482" y="302754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33D31436-379E-4684-8FA7-DBD52976598D}"/>
                </a:ext>
              </a:extLst>
            </xdr:cNvPr>
            <xdr:cNvSpPr txBox="1"/>
          </xdr:nvSpPr>
          <xdr:spPr>
            <a:xfrm>
              <a:off x="1820482" y="302754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112058</xdr:colOff>
      <xdr:row>178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2F839C64-755B-4A91-A71A-EFA7AA3A9A24}"/>
                </a:ext>
              </a:extLst>
            </xdr:cNvPr>
            <xdr:cNvSpPr txBox="1"/>
          </xdr:nvSpPr>
          <xdr:spPr>
            <a:xfrm>
              <a:off x="3340872" y="29425660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2F839C64-755B-4A91-A71A-EFA7AA3A9A24}"/>
                </a:ext>
              </a:extLst>
            </xdr:cNvPr>
            <xdr:cNvSpPr txBox="1"/>
          </xdr:nvSpPr>
          <xdr:spPr>
            <a:xfrm>
              <a:off x="3340872" y="29425660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𝛽_1 )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2∗𝐶_11 )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285750</xdr:colOff>
      <xdr:row>180</xdr:row>
      <xdr:rowOff>155200</xdr:rowOff>
    </xdr:from>
    <xdr:ext cx="288477" cy="172227"/>
    <xdr:sp macro="" textlink="">
      <xdr:nvSpPr>
        <xdr:cNvPr id="100" name="CaixaDeTexto 99">
          <a:extLst>
            <a:ext uri="{FF2B5EF4-FFF2-40B4-BE49-F238E27FC236}">
              <a16:creationId xmlns:a16="http://schemas.microsoft.com/office/drawing/2014/main" id="{392A4E19-54CB-4CDA-96C0-5CDDA46B9CD8}"/>
            </a:ext>
          </a:extLst>
        </xdr:cNvPr>
        <xdr:cNvSpPr txBox="1"/>
      </xdr:nvSpPr>
      <xdr:spPr>
        <a:xfrm>
          <a:off x="14154150" y="297589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14</xdr:col>
      <xdr:colOff>212913</xdr:colOff>
      <xdr:row>196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9A93251F-68BD-433E-9496-E62A6A58AD1E}"/>
                </a:ext>
              </a:extLst>
            </xdr:cNvPr>
            <xdr:cNvSpPr txBox="1"/>
          </xdr:nvSpPr>
          <xdr:spPr>
            <a:xfrm>
              <a:off x="1585159" y="32372846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9A93251F-68BD-433E-9496-E62A6A58AD1E}"/>
                </a:ext>
              </a:extLst>
            </xdr:cNvPr>
            <xdr:cNvSpPr txBox="1"/>
          </xdr:nvSpPr>
          <xdr:spPr>
            <a:xfrm>
              <a:off x="1585159" y="32372846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𝐻0:𝐵_2=0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224117</xdr:colOff>
      <xdr:row>198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A1FA2A32-7C51-428C-B61B-77AA253EDBB9}"/>
                </a:ext>
              </a:extLst>
            </xdr:cNvPr>
            <xdr:cNvSpPr txBox="1"/>
          </xdr:nvSpPr>
          <xdr:spPr>
            <a:xfrm>
              <a:off x="1596363" y="3271813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A1FA2A32-7C51-428C-B61B-77AA253EDBB9}"/>
                </a:ext>
              </a:extLst>
            </xdr:cNvPr>
            <xdr:cNvSpPr txBox="1"/>
          </xdr:nvSpPr>
          <xdr:spPr>
            <a:xfrm>
              <a:off x="1596363" y="3271813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𝐻1:𝐵_2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448236</xdr:colOff>
      <xdr:row>201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AAA0A503-1D84-4A00-AD40-E7EBAD0CDEE8}"/>
                </a:ext>
              </a:extLst>
            </xdr:cNvPr>
            <xdr:cNvSpPr txBox="1"/>
          </xdr:nvSpPr>
          <xdr:spPr>
            <a:xfrm>
              <a:off x="1820482" y="3321366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AAA0A503-1D84-4A00-AD40-E7EBAD0CDEE8}"/>
                </a:ext>
              </a:extLst>
            </xdr:cNvPr>
            <xdr:cNvSpPr txBox="1"/>
          </xdr:nvSpPr>
          <xdr:spPr>
            <a:xfrm>
              <a:off x="1820482" y="3321366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112058</xdr:colOff>
      <xdr:row>196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E29E441C-8B52-4110-ADBE-72431DF68A07}"/>
                </a:ext>
              </a:extLst>
            </xdr:cNvPr>
            <xdr:cNvSpPr txBox="1"/>
          </xdr:nvSpPr>
          <xdr:spPr>
            <a:xfrm>
              <a:off x="3340872" y="32363881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22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E29E441C-8B52-4110-ADBE-72431DF68A07}"/>
                </a:ext>
              </a:extLst>
            </xdr:cNvPr>
            <xdr:cNvSpPr txBox="1"/>
          </xdr:nvSpPr>
          <xdr:spPr>
            <a:xfrm>
              <a:off x="3340872" y="32363881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𝛽_2 )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2∗𝐶_22 )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314325</xdr:colOff>
      <xdr:row>199</xdr:row>
      <xdr:rowOff>2800</xdr:rowOff>
    </xdr:from>
    <xdr:ext cx="288477" cy="172227"/>
    <xdr:sp macro="" textlink="">
      <xdr:nvSpPr>
        <xdr:cNvPr id="106" name="CaixaDeTexto 105">
          <a:extLst>
            <a:ext uri="{FF2B5EF4-FFF2-40B4-BE49-F238E27FC236}">
              <a16:creationId xmlns:a16="http://schemas.microsoft.com/office/drawing/2014/main" id="{13EC2597-3DEB-48B2-9FB1-5780FEF8E63B}"/>
            </a:ext>
          </a:extLst>
        </xdr:cNvPr>
        <xdr:cNvSpPr txBox="1"/>
      </xdr:nvSpPr>
      <xdr:spPr>
        <a:xfrm>
          <a:off x="14182725" y="327021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14</xdr:col>
      <xdr:colOff>212913</xdr:colOff>
      <xdr:row>214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A90D365D-C76F-4229-BB5E-AD4652D05CA0}"/>
                </a:ext>
              </a:extLst>
            </xdr:cNvPr>
            <xdr:cNvSpPr txBox="1"/>
          </xdr:nvSpPr>
          <xdr:spPr>
            <a:xfrm>
              <a:off x="1585159" y="35311066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A90D365D-C76F-4229-BB5E-AD4652D05CA0}"/>
                </a:ext>
              </a:extLst>
            </xdr:cNvPr>
            <xdr:cNvSpPr txBox="1"/>
          </xdr:nvSpPr>
          <xdr:spPr>
            <a:xfrm>
              <a:off x="1585159" y="35311066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𝐻0:𝐵_3=0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224117</xdr:colOff>
      <xdr:row>216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47C37D9D-C084-47B4-8676-FF914DCE8244}"/>
                </a:ext>
              </a:extLst>
            </xdr:cNvPr>
            <xdr:cNvSpPr txBox="1"/>
          </xdr:nvSpPr>
          <xdr:spPr>
            <a:xfrm>
              <a:off x="1596363" y="3565635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47C37D9D-C084-47B4-8676-FF914DCE8244}"/>
                </a:ext>
              </a:extLst>
            </xdr:cNvPr>
            <xdr:cNvSpPr txBox="1"/>
          </xdr:nvSpPr>
          <xdr:spPr>
            <a:xfrm>
              <a:off x="1596363" y="35656357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𝐻1:𝐵_3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448236</xdr:colOff>
      <xdr:row>219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585980B-A222-4967-ADFC-AF49739B4E89}"/>
                </a:ext>
              </a:extLst>
            </xdr:cNvPr>
            <xdr:cNvSpPr txBox="1"/>
          </xdr:nvSpPr>
          <xdr:spPr>
            <a:xfrm>
              <a:off x="1820482" y="3615188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585980B-A222-4967-ADFC-AF49739B4E89}"/>
                </a:ext>
              </a:extLst>
            </xdr:cNvPr>
            <xdr:cNvSpPr txBox="1"/>
          </xdr:nvSpPr>
          <xdr:spPr>
            <a:xfrm>
              <a:off x="1820482" y="3615188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112058</xdr:colOff>
      <xdr:row>214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611A744D-F802-4BDA-9198-49D07E85E2CA}"/>
                </a:ext>
              </a:extLst>
            </xdr:cNvPr>
            <xdr:cNvSpPr txBox="1"/>
          </xdr:nvSpPr>
          <xdr:spPr>
            <a:xfrm>
              <a:off x="3340872" y="35302101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33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611A744D-F802-4BDA-9198-49D07E85E2CA}"/>
                </a:ext>
              </a:extLst>
            </xdr:cNvPr>
            <xdr:cNvSpPr txBox="1"/>
          </xdr:nvSpPr>
          <xdr:spPr>
            <a:xfrm>
              <a:off x="3340872" y="35302101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𝛽_3 )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2∗𝐶_33 )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304800</xdr:colOff>
      <xdr:row>217</xdr:row>
      <xdr:rowOff>2800</xdr:rowOff>
    </xdr:from>
    <xdr:ext cx="288477" cy="172227"/>
    <xdr:sp macro="" textlink="">
      <xdr:nvSpPr>
        <xdr:cNvPr id="112" name="CaixaDeTexto 111">
          <a:extLst>
            <a:ext uri="{FF2B5EF4-FFF2-40B4-BE49-F238E27FC236}">
              <a16:creationId xmlns:a16="http://schemas.microsoft.com/office/drawing/2014/main" id="{9E8A03D6-E448-433D-A7DB-966A503D7CCF}"/>
            </a:ext>
          </a:extLst>
        </xdr:cNvPr>
        <xdr:cNvSpPr txBox="1"/>
      </xdr:nvSpPr>
      <xdr:spPr>
        <a:xfrm>
          <a:off x="14173200" y="356358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15</xdr:col>
      <xdr:colOff>317127</xdr:colOff>
      <xdr:row>96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8F108A9-4180-4ACF-B997-3DABCDD3B6D7}"/>
                </a:ext>
              </a:extLst>
            </xdr:cNvPr>
            <xdr:cNvSpPr txBox="1"/>
          </xdr:nvSpPr>
          <xdr:spPr>
            <a:xfrm>
              <a:off x="11747127" y="157946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8F108A9-4180-4ACF-B997-3DABCDD3B6D7}"/>
                </a:ext>
              </a:extLst>
            </xdr:cNvPr>
            <xdr:cNvSpPr txBox="1"/>
          </xdr:nvSpPr>
          <xdr:spPr>
            <a:xfrm>
              <a:off x="11747127" y="157946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251572</xdr:colOff>
      <xdr:row>97</xdr:row>
      <xdr:rowOff>136150</xdr:rowOff>
    </xdr:from>
    <xdr:ext cx="288477" cy="172227"/>
    <xdr:sp macro="" textlink="">
      <xdr:nvSpPr>
        <xdr:cNvPr id="116" name="CaixaDeTexto 115">
          <a:extLst>
            <a:ext uri="{FF2B5EF4-FFF2-40B4-BE49-F238E27FC236}">
              <a16:creationId xmlns:a16="http://schemas.microsoft.com/office/drawing/2014/main" id="{3157D6AC-F418-4A37-B8FF-304E3848DA82}"/>
            </a:ext>
          </a:extLst>
        </xdr:cNvPr>
        <xdr:cNvSpPr txBox="1"/>
      </xdr:nvSpPr>
      <xdr:spPr>
        <a:xfrm>
          <a:off x="11681572" y="160905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15</xdr:col>
      <xdr:colOff>355227</xdr:colOff>
      <xdr:row>106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B47D21FE-91E9-4384-9CC2-FC5F8EA16C7F}"/>
                </a:ext>
              </a:extLst>
            </xdr:cNvPr>
            <xdr:cNvSpPr txBox="1"/>
          </xdr:nvSpPr>
          <xdr:spPr>
            <a:xfrm>
              <a:off x="11785227" y="174329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B47D21FE-91E9-4384-9CC2-FC5F8EA16C7F}"/>
                </a:ext>
              </a:extLst>
            </xdr:cNvPr>
            <xdr:cNvSpPr txBox="1"/>
          </xdr:nvSpPr>
          <xdr:spPr>
            <a:xfrm>
              <a:off x="11785227" y="174329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289672</xdr:colOff>
      <xdr:row>107</xdr:row>
      <xdr:rowOff>145675</xdr:rowOff>
    </xdr:from>
    <xdr:ext cx="288477" cy="172227"/>
    <xdr:sp macro="" textlink="">
      <xdr:nvSpPr>
        <xdr:cNvPr id="119" name="CaixaDeTexto 118">
          <a:extLst>
            <a:ext uri="{FF2B5EF4-FFF2-40B4-BE49-F238E27FC236}">
              <a16:creationId xmlns:a16="http://schemas.microsoft.com/office/drawing/2014/main" id="{14A2F5C0-545F-4C5B-80B3-14581941A4FA}"/>
            </a:ext>
          </a:extLst>
        </xdr:cNvPr>
        <xdr:cNvSpPr txBox="1"/>
      </xdr:nvSpPr>
      <xdr:spPr>
        <a:xfrm>
          <a:off x="11719672" y="177383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15</xdr:col>
      <xdr:colOff>345702</xdr:colOff>
      <xdr:row>116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A147459-391E-4EDB-80D7-8D2DBEE9FAAE}"/>
                </a:ext>
              </a:extLst>
            </xdr:cNvPr>
            <xdr:cNvSpPr txBox="1"/>
          </xdr:nvSpPr>
          <xdr:spPr>
            <a:xfrm>
              <a:off x="11775702" y="190712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A147459-391E-4EDB-80D7-8D2DBEE9FAAE}"/>
                </a:ext>
              </a:extLst>
            </xdr:cNvPr>
            <xdr:cNvSpPr txBox="1"/>
          </xdr:nvSpPr>
          <xdr:spPr>
            <a:xfrm>
              <a:off x="11775702" y="190712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251572</xdr:colOff>
      <xdr:row>117</xdr:row>
      <xdr:rowOff>136150</xdr:rowOff>
    </xdr:from>
    <xdr:ext cx="288477" cy="172227"/>
    <xdr:sp macro="" textlink="">
      <xdr:nvSpPr>
        <xdr:cNvPr id="122" name="CaixaDeTexto 121">
          <a:extLst>
            <a:ext uri="{FF2B5EF4-FFF2-40B4-BE49-F238E27FC236}">
              <a16:creationId xmlns:a16="http://schemas.microsoft.com/office/drawing/2014/main" id="{724C20BD-8865-4479-A16A-6653DCE4967F}"/>
            </a:ext>
          </a:extLst>
        </xdr:cNvPr>
        <xdr:cNvSpPr txBox="1"/>
      </xdr:nvSpPr>
      <xdr:spPr>
        <a:xfrm>
          <a:off x="11681572" y="193671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15</xdr:col>
      <xdr:colOff>307602</xdr:colOff>
      <xdr:row>126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FEAFFF0A-C2FA-4B3B-A011-738255CB613C}"/>
                </a:ext>
              </a:extLst>
            </xdr:cNvPr>
            <xdr:cNvSpPr txBox="1"/>
          </xdr:nvSpPr>
          <xdr:spPr>
            <a:xfrm>
              <a:off x="11737602" y="207095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FEAFFF0A-C2FA-4B3B-A011-738255CB613C}"/>
                </a:ext>
              </a:extLst>
            </xdr:cNvPr>
            <xdr:cNvSpPr txBox="1"/>
          </xdr:nvSpPr>
          <xdr:spPr>
            <a:xfrm>
              <a:off x="11737602" y="207095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261097</xdr:colOff>
      <xdr:row>127</xdr:row>
      <xdr:rowOff>145675</xdr:rowOff>
    </xdr:from>
    <xdr:ext cx="288477" cy="197225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20B1D450-CF28-4651-817E-9BF48F6CD045}"/>
            </a:ext>
          </a:extLst>
        </xdr:cNvPr>
        <xdr:cNvSpPr txBox="1"/>
      </xdr:nvSpPr>
      <xdr:spPr>
        <a:xfrm>
          <a:off x="11691097" y="21014950"/>
          <a:ext cx="288477" cy="197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15</xdr:col>
      <xdr:colOff>534521</xdr:colOff>
      <xdr:row>135</xdr:row>
      <xdr:rowOff>125506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4E26742F-0436-472E-8105-743779D15A74}"/>
                </a:ext>
              </a:extLst>
            </xdr:cNvPr>
            <xdr:cNvSpPr txBox="1"/>
          </xdr:nvSpPr>
          <xdr:spPr>
            <a:xfrm>
              <a:off x="3004563" y="22355887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4E26742F-0436-472E-8105-743779D15A74}"/>
                </a:ext>
              </a:extLst>
            </xdr:cNvPr>
            <xdr:cNvSpPr txBox="1"/>
          </xdr:nvSpPr>
          <xdr:spPr>
            <a:xfrm>
              <a:off x="3004563" y="22355887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310402</xdr:colOff>
      <xdr:row>138</xdr:row>
      <xdr:rowOff>10644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DFB23EAE-E78A-4155-A39F-FA720BF43AAB}"/>
                </a:ext>
              </a:extLst>
            </xdr:cNvPr>
            <xdr:cNvSpPr txBox="1"/>
          </xdr:nvSpPr>
          <xdr:spPr>
            <a:xfrm>
              <a:off x="11006977" y="226801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DFB23EAE-E78A-4155-A39F-FA720BF43AAB}"/>
                </a:ext>
              </a:extLst>
            </xdr:cNvPr>
            <xdr:cNvSpPr txBox="1"/>
          </xdr:nvSpPr>
          <xdr:spPr>
            <a:xfrm>
              <a:off x="11006977" y="226801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266139</xdr:colOff>
      <xdr:row>142</xdr:row>
      <xdr:rowOff>10646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4C8A3706-A70E-45B2-A967-5EC37F753AFC}"/>
                </a:ext>
              </a:extLst>
            </xdr:cNvPr>
            <xdr:cNvSpPr txBox="1"/>
          </xdr:nvSpPr>
          <xdr:spPr>
            <a:xfrm>
              <a:off x="10962714" y="2332784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4C8A3706-A70E-45B2-A967-5EC37F753AFC}"/>
                </a:ext>
              </a:extLst>
            </xdr:cNvPr>
            <xdr:cNvSpPr txBox="1"/>
          </xdr:nvSpPr>
          <xdr:spPr>
            <a:xfrm>
              <a:off x="10962714" y="2332784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378199</xdr:colOff>
      <xdr:row>132</xdr:row>
      <xdr:rowOff>22411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D0B5522A-F4BF-49ED-98D9-17A00FB843AD}"/>
                </a:ext>
              </a:extLst>
            </xdr:cNvPr>
            <xdr:cNvSpPr txBox="1"/>
          </xdr:nvSpPr>
          <xdr:spPr>
            <a:xfrm>
              <a:off x="7207140" y="217684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D0B5522A-F4BF-49ED-98D9-17A00FB843AD}"/>
                </a:ext>
              </a:extLst>
            </xdr:cNvPr>
            <xdr:cNvSpPr txBox="1"/>
          </xdr:nvSpPr>
          <xdr:spPr>
            <a:xfrm>
              <a:off x="7207140" y="21768470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428625</xdr:colOff>
      <xdr:row>140</xdr:row>
      <xdr:rowOff>9525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92B8B201-2131-4F93-94C5-0E616CF43BF9}"/>
                </a:ext>
              </a:extLst>
            </xdr:cNvPr>
            <xdr:cNvSpPr txBox="1"/>
          </xdr:nvSpPr>
          <xdr:spPr>
            <a:xfrm>
              <a:off x="11125200" y="2300287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92B8B201-2131-4F93-94C5-0E616CF43BF9}"/>
                </a:ext>
              </a:extLst>
            </xdr:cNvPr>
            <xdr:cNvSpPr txBox="1"/>
          </xdr:nvSpPr>
          <xdr:spPr>
            <a:xfrm>
              <a:off x="11125200" y="2300287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21</xdr:col>
      <xdr:colOff>459440</xdr:colOff>
      <xdr:row>135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D4A8A9FF-6AB2-41D3-A28B-B23946BD4774}"/>
                </a:ext>
              </a:extLst>
            </xdr:cNvPr>
            <xdr:cNvSpPr txBox="1"/>
          </xdr:nvSpPr>
          <xdr:spPr>
            <a:xfrm>
              <a:off x="8111728" y="22353645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D4A8A9FF-6AB2-41D3-A28B-B23946BD4774}"/>
                </a:ext>
              </a:extLst>
            </xdr:cNvPr>
            <xdr:cNvSpPr txBox="1"/>
          </xdr:nvSpPr>
          <xdr:spPr>
            <a:xfrm>
              <a:off x="8111728" y="22353645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15</xdr:col>
      <xdr:colOff>534521</xdr:colOff>
      <xdr:row>149</xdr:row>
      <xdr:rowOff>125506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72555A57-A0C8-496B-BCB2-4B809B1A2A25}"/>
                </a:ext>
              </a:extLst>
            </xdr:cNvPr>
            <xdr:cNvSpPr txBox="1"/>
          </xdr:nvSpPr>
          <xdr:spPr>
            <a:xfrm>
              <a:off x="3004563" y="24680633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72555A57-A0C8-496B-BCB2-4B809B1A2A25}"/>
                </a:ext>
              </a:extLst>
            </xdr:cNvPr>
            <xdr:cNvSpPr txBox="1"/>
          </xdr:nvSpPr>
          <xdr:spPr>
            <a:xfrm>
              <a:off x="3004563" y="24680633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196102</xdr:colOff>
      <xdr:row>152</xdr:row>
      <xdr:rowOff>10644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597977E2-455B-4116-BEF8-809F398895B5}"/>
                </a:ext>
              </a:extLst>
            </xdr:cNvPr>
            <xdr:cNvSpPr txBox="1"/>
          </xdr:nvSpPr>
          <xdr:spPr>
            <a:xfrm>
              <a:off x="10892677" y="250042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597977E2-455B-4116-BEF8-809F398895B5}"/>
                </a:ext>
              </a:extLst>
            </xdr:cNvPr>
            <xdr:cNvSpPr txBox="1"/>
          </xdr:nvSpPr>
          <xdr:spPr>
            <a:xfrm>
              <a:off x="10892677" y="250042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17369</xdr:colOff>
      <xdr:row>156</xdr:row>
      <xdr:rowOff>30256</xdr:rowOff>
    </xdr:from>
    <xdr:ext cx="1389529" cy="235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C2C04BDB-C728-441A-B6B6-4CCFBD853C07}"/>
                </a:ext>
              </a:extLst>
            </xdr:cNvPr>
            <xdr:cNvSpPr txBox="1"/>
          </xdr:nvSpPr>
          <xdr:spPr>
            <a:xfrm>
              <a:off x="10713944" y="25671556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∗(1+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0)=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C2C04BDB-C728-441A-B6B6-4CCFBD853C07}"/>
                </a:ext>
              </a:extLst>
            </xdr:cNvPr>
            <xdr:cNvSpPr txBox="1"/>
          </xdr:nvSpPr>
          <xdr:spPr>
            <a:xfrm>
              <a:off x="10713944" y="25671556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2∗(1+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349624</xdr:colOff>
      <xdr:row>146</xdr:row>
      <xdr:rowOff>3361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40D2E64C-9761-4C85-8ACB-92959A33464F}"/>
                </a:ext>
              </a:extLst>
            </xdr:cNvPr>
            <xdr:cNvSpPr txBox="1"/>
          </xdr:nvSpPr>
          <xdr:spPr>
            <a:xfrm>
              <a:off x="7178565" y="2407416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40D2E64C-9761-4C85-8ACB-92959A33464F}"/>
                </a:ext>
              </a:extLst>
            </xdr:cNvPr>
            <xdr:cNvSpPr txBox="1"/>
          </xdr:nvSpPr>
          <xdr:spPr>
            <a:xfrm>
              <a:off x="7178565" y="24074166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295275</xdr:colOff>
      <xdr:row>153</xdr:row>
      <xdr:rowOff>152400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65C2BB3C-83C4-4FCD-8AA7-6E23D9609A2D}"/>
                </a:ext>
              </a:extLst>
            </xdr:cNvPr>
            <xdr:cNvSpPr txBox="1"/>
          </xdr:nvSpPr>
          <xdr:spPr>
            <a:xfrm>
              <a:off x="10991850" y="2530792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65C2BB3C-83C4-4FCD-8AA7-6E23D9609A2D}"/>
                </a:ext>
              </a:extLst>
            </xdr:cNvPr>
            <xdr:cNvSpPr txBox="1"/>
          </xdr:nvSpPr>
          <xdr:spPr>
            <a:xfrm>
              <a:off x="10991850" y="2530792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21</xdr:col>
      <xdr:colOff>459440</xdr:colOff>
      <xdr:row>149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03DE8AE1-5AE4-4D61-A818-0EECB27C6637}"/>
                </a:ext>
              </a:extLst>
            </xdr:cNvPr>
            <xdr:cNvSpPr txBox="1"/>
          </xdr:nvSpPr>
          <xdr:spPr>
            <a:xfrm>
              <a:off x="8111728" y="24678391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03DE8AE1-5AE4-4D61-A818-0EECB27C6637}"/>
                </a:ext>
              </a:extLst>
            </xdr:cNvPr>
            <xdr:cNvSpPr txBox="1"/>
          </xdr:nvSpPr>
          <xdr:spPr>
            <a:xfrm>
              <a:off x="8111728" y="24678391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230910</xdr:colOff>
      <xdr:row>1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4241B49-D532-40E0-A6ED-8F616FAA28B6}"/>
                </a:ext>
              </a:extLst>
            </xdr:cNvPr>
            <xdr:cNvSpPr txBox="1"/>
          </xdr:nvSpPr>
          <xdr:spPr>
            <a:xfrm>
              <a:off x="4300683" y="15875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4241B49-D532-40E0-A6ED-8F616FAA28B6}"/>
                </a:ext>
              </a:extLst>
            </xdr:cNvPr>
            <xdr:cNvSpPr txBox="1"/>
          </xdr:nvSpPr>
          <xdr:spPr>
            <a:xfrm>
              <a:off x="4300683" y="158750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3</xdr:col>
      <xdr:colOff>0</xdr:colOff>
      <xdr:row>224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D0E7A69-2D5B-4E2C-B750-AFED9C96E6EE}"/>
                </a:ext>
              </a:extLst>
            </xdr:cNvPr>
            <xdr:cNvSpPr txBox="1"/>
          </xdr:nvSpPr>
          <xdr:spPr>
            <a:xfrm>
              <a:off x="2453409" y="3620943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D0E7A69-2D5B-4E2C-B750-AFED9C96E6EE}"/>
                </a:ext>
              </a:extLst>
            </xdr:cNvPr>
            <xdr:cNvSpPr txBox="1"/>
          </xdr:nvSpPr>
          <xdr:spPr>
            <a:xfrm>
              <a:off x="2453409" y="3620943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206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FB50875-2D88-4DE5-914F-359B8A169547}"/>
                </a:ext>
              </a:extLst>
            </xdr:cNvPr>
            <xdr:cNvSpPr txBox="1"/>
          </xdr:nvSpPr>
          <xdr:spPr>
            <a:xfrm>
              <a:off x="2453409" y="3332306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FB50875-2D88-4DE5-914F-359B8A169547}"/>
                </a:ext>
              </a:extLst>
            </xdr:cNvPr>
            <xdr:cNvSpPr txBox="1"/>
          </xdr:nvSpPr>
          <xdr:spPr>
            <a:xfrm>
              <a:off x="2453409" y="3332306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188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9126416B-5BEE-42DB-ACF3-DD2359090384}"/>
                </a:ext>
              </a:extLst>
            </xdr:cNvPr>
            <xdr:cNvSpPr txBox="1"/>
          </xdr:nvSpPr>
          <xdr:spPr>
            <a:xfrm>
              <a:off x="2453409" y="304367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9126416B-5BEE-42DB-ACF3-DD2359090384}"/>
                </a:ext>
              </a:extLst>
            </xdr:cNvPr>
            <xdr:cNvSpPr txBox="1"/>
          </xdr:nvSpPr>
          <xdr:spPr>
            <a:xfrm>
              <a:off x="2453409" y="304367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170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F9D0A3D-0C51-4AD3-BCEE-ED88DAB555A6}"/>
                </a:ext>
              </a:extLst>
            </xdr:cNvPr>
            <xdr:cNvSpPr txBox="1"/>
          </xdr:nvSpPr>
          <xdr:spPr>
            <a:xfrm>
              <a:off x="2453409" y="27550341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F9D0A3D-0C51-4AD3-BCEE-ED88DAB555A6}"/>
                </a:ext>
              </a:extLst>
            </xdr:cNvPr>
            <xdr:cNvSpPr txBox="1"/>
          </xdr:nvSpPr>
          <xdr:spPr>
            <a:xfrm>
              <a:off x="2453409" y="27550341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148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85D4DAB-2A11-4BEC-939C-DA8B9A593DC6}"/>
                </a:ext>
              </a:extLst>
            </xdr:cNvPr>
            <xdr:cNvSpPr txBox="1"/>
          </xdr:nvSpPr>
          <xdr:spPr>
            <a:xfrm>
              <a:off x="2453409" y="2398568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85D4DAB-2A11-4BEC-939C-DA8B9A593DC6}"/>
                </a:ext>
              </a:extLst>
            </xdr:cNvPr>
            <xdr:cNvSpPr txBox="1"/>
          </xdr:nvSpPr>
          <xdr:spPr>
            <a:xfrm>
              <a:off x="2453409" y="2398568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124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B738800-DE91-491E-B592-DF4E81418DC5}"/>
                </a:ext>
              </a:extLst>
            </xdr:cNvPr>
            <xdr:cNvSpPr txBox="1"/>
          </xdr:nvSpPr>
          <xdr:spPr>
            <a:xfrm>
              <a:off x="2453409" y="20074659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B738800-DE91-491E-B592-DF4E81418DC5}"/>
                </a:ext>
              </a:extLst>
            </xdr:cNvPr>
            <xdr:cNvSpPr txBox="1"/>
          </xdr:nvSpPr>
          <xdr:spPr>
            <a:xfrm>
              <a:off x="2453409" y="20074659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134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ADCE954-EAF7-4B8A-8F09-A4E9E4046A1B}"/>
                </a:ext>
              </a:extLst>
            </xdr:cNvPr>
            <xdr:cNvSpPr txBox="1"/>
          </xdr:nvSpPr>
          <xdr:spPr>
            <a:xfrm>
              <a:off x="2453409" y="2169102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ADCE954-EAF7-4B8A-8F09-A4E9E4046A1B}"/>
                </a:ext>
              </a:extLst>
            </xdr:cNvPr>
            <xdr:cNvSpPr txBox="1"/>
          </xdr:nvSpPr>
          <xdr:spPr>
            <a:xfrm>
              <a:off x="2453409" y="2169102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114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DA4ED8A-76AC-4E1D-B4F8-D1EEE2A43C73}"/>
                </a:ext>
              </a:extLst>
            </xdr:cNvPr>
            <xdr:cNvSpPr txBox="1"/>
          </xdr:nvSpPr>
          <xdr:spPr>
            <a:xfrm>
              <a:off x="2453409" y="1845829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DA4ED8A-76AC-4E1D-B4F8-D1EEE2A43C73}"/>
                </a:ext>
              </a:extLst>
            </xdr:cNvPr>
            <xdr:cNvSpPr txBox="1"/>
          </xdr:nvSpPr>
          <xdr:spPr>
            <a:xfrm>
              <a:off x="2453409" y="1845829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94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17A3C67-6BAA-4B04-92E6-3E480B1AB66A}"/>
                </a:ext>
              </a:extLst>
            </xdr:cNvPr>
            <xdr:cNvSpPr txBox="1"/>
          </xdr:nvSpPr>
          <xdr:spPr>
            <a:xfrm>
              <a:off x="2453409" y="1522556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17A3C67-6BAA-4B04-92E6-3E480B1AB66A}"/>
                </a:ext>
              </a:extLst>
            </xdr:cNvPr>
            <xdr:cNvSpPr txBox="1"/>
          </xdr:nvSpPr>
          <xdr:spPr>
            <a:xfrm>
              <a:off x="2453409" y="1522556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104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0C204C0-9883-43C3-AD56-AFC0EB511333}"/>
                </a:ext>
              </a:extLst>
            </xdr:cNvPr>
            <xdr:cNvSpPr txBox="1"/>
          </xdr:nvSpPr>
          <xdr:spPr>
            <a:xfrm>
              <a:off x="2453409" y="1684193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B0C204C0-9883-43C3-AD56-AFC0EB511333}"/>
                </a:ext>
              </a:extLst>
            </xdr:cNvPr>
            <xdr:cNvSpPr txBox="1"/>
          </xdr:nvSpPr>
          <xdr:spPr>
            <a:xfrm>
              <a:off x="2453409" y="1684193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94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06EC7AC-87F7-4D7D-AE10-10DBAB5C4753}"/>
                </a:ext>
              </a:extLst>
            </xdr:cNvPr>
            <xdr:cNvSpPr txBox="1"/>
          </xdr:nvSpPr>
          <xdr:spPr>
            <a:xfrm>
              <a:off x="11415568" y="1522556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06EC7AC-87F7-4D7D-AE10-10DBAB5C4753}"/>
                </a:ext>
              </a:extLst>
            </xdr:cNvPr>
            <xdr:cNvSpPr txBox="1"/>
          </xdr:nvSpPr>
          <xdr:spPr>
            <a:xfrm>
              <a:off x="11415568" y="1522556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104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B61D63B-5280-4570-8B39-01F6A0959968}"/>
                </a:ext>
              </a:extLst>
            </xdr:cNvPr>
            <xdr:cNvSpPr txBox="1"/>
          </xdr:nvSpPr>
          <xdr:spPr>
            <a:xfrm>
              <a:off x="11415568" y="1684193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B61D63B-5280-4570-8B39-01F6A0959968}"/>
                </a:ext>
              </a:extLst>
            </xdr:cNvPr>
            <xdr:cNvSpPr txBox="1"/>
          </xdr:nvSpPr>
          <xdr:spPr>
            <a:xfrm>
              <a:off x="11415568" y="1684193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114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3AA8284-BFE5-4B65-AC84-FDD66D996DAC}"/>
                </a:ext>
              </a:extLst>
            </xdr:cNvPr>
            <xdr:cNvSpPr txBox="1"/>
          </xdr:nvSpPr>
          <xdr:spPr>
            <a:xfrm>
              <a:off x="11415568" y="1845829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3AA8284-BFE5-4B65-AC84-FDD66D996DAC}"/>
                </a:ext>
              </a:extLst>
            </xdr:cNvPr>
            <xdr:cNvSpPr txBox="1"/>
          </xdr:nvSpPr>
          <xdr:spPr>
            <a:xfrm>
              <a:off x="11415568" y="1845829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124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E287297-FB75-48CC-9C20-D14E98E69D1C}"/>
                </a:ext>
              </a:extLst>
            </xdr:cNvPr>
            <xdr:cNvSpPr txBox="1"/>
          </xdr:nvSpPr>
          <xdr:spPr>
            <a:xfrm>
              <a:off x="11415568" y="20074659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E287297-FB75-48CC-9C20-D14E98E69D1C}"/>
                </a:ext>
              </a:extLst>
            </xdr:cNvPr>
            <xdr:cNvSpPr txBox="1"/>
          </xdr:nvSpPr>
          <xdr:spPr>
            <a:xfrm>
              <a:off x="11415568" y="20074659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134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FD11FE92-AD4A-4AC9-BED9-D0DFD15F1287}"/>
                </a:ext>
              </a:extLst>
            </xdr:cNvPr>
            <xdr:cNvSpPr txBox="1"/>
          </xdr:nvSpPr>
          <xdr:spPr>
            <a:xfrm>
              <a:off x="11415568" y="2169102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FD11FE92-AD4A-4AC9-BED9-D0DFD15F1287}"/>
                </a:ext>
              </a:extLst>
            </xdr:cNvPr>
            <xdr:cNvSpPr txBox="1"/>
          </xdr:nvSpPr>
          <xdr:spPr>
            <a:xfrm>
              <a:off x="11415568" y="21691023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148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3D4D7E6A-4099-4954-ADD0-0ACBEA5448B4}"/>
                </a:ext>
              </a:extLst>
            </xdr:cNvPr>
            <xdr:cNvSpPr txBox="1"/>
          </xdr:nvSpPr>
          <xdr:spPr>
            <a:xfrm>
              <a:off x="11415568" y="2398568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3D4D7E6A-4099-4954-ADD0-0ACBEA5448B4}"/>
                </a:ext>
              </a:extLst>
            </xdr:cNvPr>
            <xdr:cNvSpPr txBox="1"/>
          </xdr:nvSpPr>
          <xdr:spPr>
            <a:xfrm>
              <a:off x="11415568" y="2398568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170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70A9535-73BB-418B-B7FB-14A5695CC7F9}"/>
                </a:ext>
              </a:extLst>
            </xdr:cNvPr>
            <xdr:cNvSpPr txBox="1"/>
          </xdr:nvSpPr>
          <xdr:spPr>
            <a:xfrm>
              <a:off x="11415568" y="27550341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70A9535-73BB-418B-B7FB-14A5695CC7F9}"/>
                </a:ext>
              </a:extLst>
            </xdr:cNvPr>
            <xdr:cNvSpPr txBox="1"/>
          </xdr:nvSpPr>
          <xdr:spPr>
            <a:xfrm>
              <a:off x="11415568" y="27550341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188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B9EB0AB-2730-46AF-B1A3-8EA1D9808D82}"/>
                </a:ext>
              </a:extLst>
            </xdr:cNvPr>
            <xdr:cNvSpPr txBox="1"/>
          </xdr:nvSpPr>
          <xdr:spPr>
            <a:xfrm>
              <a:off x="11415568" y="304367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B9EB0AB-2730-46AF-B1A3-8EA1D9808D82}"/>
                </a:ext>
              </a:extLst>
            </xdr:cNvPr>
            <xdr:cNvSpPr txBox="1"/>
          </xdr:nvSpPr>
          <xdr:spPr>
            <a:xfrm>
              <a:off x="11415568" y="3043670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206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C54A0774-337A-4B2F-99F1-E2E5BC0239B3}"/>
                </a:ext>
              </a:extLst>
            </xdr:cNvPr>
            <xdr:cNvSpPr txBox="1"/>
          </xdr:nvSpPr>
          <xdr:spPr>
            <a:xfrm>
              <a:off x="11415568" y="3332306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C54A0774-337A-4B2F-99F1-E2E5BC0239B3}"/>
                </a:ext>
              </a:extLst>
            </xdr:cNvPr>
            <xdr:cNvSpPr txBox="1"/>
          </xdr:nvSpPr>
          <xdr:spPr>
            <a:xfrm>
              <a:off x="11415568" y="3332306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224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3E1CF2B-58C6-4EED-A039-50CE3DF39CC4}"/>
                </a:ext>
              </a:extLst>
            </xdr:cNvPr>
            <xdr:cNvSpPr txBox="1"/>
          </xdr:nvSpPr>
          <xdr:spPr>
            <a:xfrm>
              <a:off x="11415568" y="3620943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3E1CF2B-58C6-4EED-A039-50CE3DF39CC4}"/>
                </a:ext>
              </a:extLst>
            </xdr:cNvPr>
            <xdr:cNvSpPr txBox="1"/>
          </xdr:nvSpPr>
          <xdr:spPr>
            <a:xfrm>
              <a:off x="11415568" y="3620943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342900</xdr:colOff>
      <xdr:row>2</xdr:row>
      <xdr:rowOff>123825</xdr:rowOff>
    </xdr:from>
    <xdr:ext cx="4248150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79C46B14-4306-45B4-AEA1-213B9C14FCA3}"/>
                </a:ext>
              </a:extLst>
            </xdr:cNvPr>
            <xdr:cNvSpPr txBox="1"/>
          </xdr:nvSpPr>
          <xdr:spPr>
            <a:xfrm>
              <a:off x="5838825" y="447675"/>
              <a:ext cx="424815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l-GR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𝜀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" name="CaixaDeTexto 1">
              <a:extLst>
                <a:ext uri="{FF2B5EF4-FFF2-40B4-BE49-F238E27FC236}">
                  <a16:creationId xmlns:a16="http://schemas.microsoft.com/office/drawing/2014/main" id="{79C46B14-4306-45B4-AEA1-213B9C14FCA3}"/>
                </a:ext>
              </a:extLst>
            </xdr:cNvPr>
            <xdr:cNvSpPr txBox="1"/>
          </xdr:nvSpPr>
          <xdr:spPr>
            <a:xfrm>
              <a:off x="5838825" y="447675"/>
              <a:ext cx="424815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𝑌=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600" b="0" i="0">
                  <a:latin typeface="Cambria Math" panose="02040503050406030204" pitchFamily="18" charset="0"/>
                </a:rPr>
                <a:t>0+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𝛽_1 𝑋_1+𝛽_2 𝑋_2+𝛽_3 𝑋_3+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171450</xdr:colOff>
      <xdr:row>13</xdr:row>
      <xdr:rowOff>28575</xdr:rowOff>
    </xdr:from>
    <xdr:ext cx="695325" cy="438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101E7225-EFAB-4606-AF95-2F9BEED9BDD3}"/>
                </a:ext>
              </a:extLst>
            </xdr:cNvPr>
            <xdr:cNvSpPr txBox="1"/>
          </xdr:nvSpPr>
          <xdr:spPr>
            <a:xfrm>
              <a:off x="7820025" y="2133600"/>
              <a:ext cx="695325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28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101E7225-EFAB-4606-AF95-2F9BEED9BDD3}"/>
                </a:ext>
              </a:extLst>
            </xdr:cNvPr>
            <xdr:cNvSpPr txBox="1"/>
          </xdr:nvSpPr>
          <xdr:spPr>
            <a:xfrm>
              <a:off x="7820025" y="2133600"/>
              <a:ext cx="695325" cy="438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11</xdr:col>
      <xdr:colOff>238125</xdr:colOff>
      <xdr:row>7</xdr:row>
      <xdr:rowOff>123824</xdr:rowOff>
    </xdr:from>
    <xdr:to>
      <xdr:col>11</xdr:col>
      <xdr:colOff>533400</xdr:colOff>
      <xdr:row>25</xdr:row>
      <xdr:rowOff>47625</xdr:rowOff>
    </xdr:to>
    <xdr:sp macro="" textlink="">
      <xdr:nvSpPr>
        <xdr:cNvPr id="4" name="Parêntese esquerdo 3">
          <a:extLst>
            <a:ext uri="{FF2B5EF4-FFF2-40B4-BE49-F238E27FC236}">
              <a16:creationId xmlns:a16="http://schemas.microsoft.com/office/drawing/2014/main" id="{D2801181-ADF4-4FC4-9BAA-B8795D44D226}"/>
            </a:ext>
          </a:extLst>
        </xdr:cNvPr>
        <xdr:cNvSpPr/>
      </xdr:nvSpPr>
      <xdr:spPr>
        <a:xfrm>
          <a:off x="9105900" y="1257299"/>
          <a:ext cx="295275" cy="28384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14</xdr:col>
      <xdr:colOff>561973</xdr:colOff>
      <xdr:row>8</xdr:row>
      <xdr:rowOff>38100</xdr:rowOff>
    </xdr:from>
    <xdr:to>
      <xdr:col>15</xdr:col>
      <xdr:colOff>247648</xdr:colOff>
      <xdr:row>25</xdr:row>
      <xdr:rowOff>57150</xdr:rowOff>
    </xdr:to>
    <xdr:sp macro="" textlink="">
      <xdr:nvSpPr>
        <xdr:cNvPr id="5" name="Parêntese esquerdo 4">
          <a:extLst>
            <a:ext uri="{FF2B5EF4-FFF2-40B4-BE49-F238E27FC236}">
              <a16:creationId xmlns:a16="http://schemas.microsoft.com/office/drawing/2014/main" id="{E6DF52B9-9BE7-4BFC-B88C-A2C218F4D7C9}"/>
            </a:ext>
          </a:extLst>
        </xdr:cNvPr>
        <xdr:cNvSpPr/>
      </xdr:nvSpPr>
      <xdr:spPr>
        <a:xfrm flipH="1">
          <a:off x="11258548" y="1333500"/>
          <a:ext cx="419100" cy="277177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19</xdr:col>
      <xdr:colOff>247650</xdr:colOff>
      <xdr:row>10</xdr:row>
      <xdr:rowOff>28575</xdr:rowOff>
    </xdr:from>
    <xdr:ext cx="876300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8471315-B78D-4480-9429-8C3D0C6D7B19}"/>
                </a:ext>
              </a:extLst>
            </xdr:cNvPr>
            <xdr:cNvSpPr txBox="1"/>
          </xdr:nvSpPr>
          <xdr:spPr>
            <a:xfrm>
              <a:off x="14116050" y="1647825"/>
              <a:ext cx="876300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8471315-B78D-4480-9429-8C3D0C6D7B19}"/>
                </a:ext>
              </a:extLst>
            </xdr:cNvPr>
            <xdr:cNvSpPr txBox="1"/>
          </xdr:nvSpPr>
          <xdr:spPr>
            <a:xfrm>
              <a:off x="14116050" y="1647825"/>
              <a:ext cx="876300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20</xdr:col>
      <xdr:colOff>581025</xdr:colOff>
      <xdr:row>7</xdr:row>
      <xdr:rowOff>66675</xdr:rowOff>
    </xdr:from>
    <xdr:to>
      <xdr:col>21</xdr:col>
      <xdr:colOff>266700</xdr:colOff>
      <xdr:row>15</xdr:row>
      <xdr:rowOff>123826</xdr:rowOff>
    </xdr:to>
    <xdr:sp macro="" textlink="">
      <xdr:nvSpPr>
        <xdr:cNvPr id="7" name="Parêntese esquerdo 6">
          <a:extLst>
            <a:ext uri="{FF2B5EF4-FFF2-40B4-BE49-F238E27FC236}">
              <a16:creationId xmlns:a16="http://schemas.microsoft.com/office/drawing/2014/main" id="{DDDC0DF8-77CB-4F36-8159-89AF7F7C1D17}"/>
            </a:ext>
          </a:extLst>
        </xdr:cNvPr>
        <xdr:cNvSpPr/>
      </xdr:nvSpPr>
      <xdr:spPr>
        <a:xfrm>
          <a:off x="15059025" y="1200150"/>
          <a:ext cx="295275" cy="13525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37</xdr:col>
      <xdr:colOff>523875</xdr:colOff>
      <xdr:row>7</xdr:row>
      <xdr:rowOff>47625</xdr:rowOff>
    </xdr:from>
    <xdr:to>
      <xdr:col>38</xdr:col>
      <xdr:colOff>209550</xdr:colOff>
      <xdr:row>15</xdr:row>
      <xdr:rowOff>104776</xdr:rowOff>
    </xdr:to>
    <xdr:sp macro="" textlink="">
      <xdr:nvSpPr>
        <xdr:cNvPr id="8" name="Parêntese esquerdo 7">
          <a:extLst>
            <a:ext uri="{FF2B5EF4-FFF2-40B4-BE49-F238E27FC236}">
              <a16:creationId xmlns:a16="http://schemas.microsoft.com/office/drawing/2014/main" id="{575E2D59-CBF8-44EB-9D35-E6ECAAAC89D5}"/>
            </a:ext>
          </a:extLst>
        </xdr:cNvPr>
        <xdr:cNvSpPr/>
      </xdr:nvSpPr>
      <xdr:spPr>
        <a:xfrm flipH="1">
          <a:off x="25488900" y="1181100"/>
          <a:ext cx="295275" cy="135255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19</xdr:col>
      <xdr:colOff>333375</xdr:colOff>
      <xdr:row>20</xdr:row>
      <xdr:rowOff>9525</xdr:rowOff>
    </xdr:from>
    <xdr:ext cx="832883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26FFFA1C-B67E-45CC-AEF1-ADFA9091DF9D}"/>
                </a:ext>
              </a:extLst>
            </xdr:cNvPr>
            <xdr:cNvSpPr txBox="1"/>
          </xdr:nvSpPr>
          <xdr:spPr>
            <a:xfrm>
              <a:off x="14201775" y="3248025"/>
              <a:ext cx="832883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26FFFA1C-B67E-45CC-AEF1-ADFA9091DF9D}"/>
                </a:ext>
              </a:extLst>
            </xdr:cNvPr>
            <xdr:cNvSpPr txBox="1"/>
          </xdr:nvSpPr>
          <xdr:spPr>
            <a:xfrm>
              <a:off x="14201775" y="3248025"/>
              <a:ext cx="832883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𝑌^𝑡=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37</xdr:col>
      <xdr:colOff>476248</xdr:colOff>
      <xdr:row>20</xdr:row>
      <xdr:rowOff>85725</xdr:rowOff>
    </xdr:from>
    <xdr:to>
      <xdr:col>38</xdr:col>
      <xdr:colOff>161923</xdr:colOff>
      <xdr:row>22</xdr:row>
      <xdr:rowOff>66676</xdr:rowOff>
    </xdr:to>
    <xdr:sp macro="" textlink="">
      <xdr:nvSpPr>
        <xdr:cNvPr id="10" name="Parêntese esquerdo 9">
          <a:extLst>
            <a:ext uri="{FF2B5EF4-FFF2-40B4-BE49-F238E27FC236}">
              <a16:creationId xmlns:a16="http://schemas.microsoft.com/office/drawing/2014/main" id="{34ED5C92-1742-4524-A151-D0E619F479C3}"/>
            </a:ext>
          </a:extLst>
        </xdr:cNvPr>
        <xdr:cNvSpPr/>
      </xdr:nvSpPr>
      <xdr:spPr>
        <a:xfrm flipH="1">
          <a:off x="25441273" y="3324225"/>
          <a:ext cx="295275" cy="30480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20</xdr:col>
      <xdr:colOff>581025</xdr:colOff>
      <xdr:row>20</xdr:row>
      <xdr:rowOff>85725</xdr:rowOff>
    </xdr:from>
    <xdr:to>
      <xdr:col>21</xdr:col>
      <xdr:colOff>266700</xdr:colOff>
      <xdr:row>22</xdr:row>
      <xdr:rowOff>66676</xdr:rowOff>
    </xdr:to>
    <xdr:sp macro="" textlink="">
      <xdr:nvSpPr>
        <xdr:cNvPr id="11" name="Parêntese esquerdo 10">
          <a:extLst>
            <a:ext uri="{FF2B5EF4-FFF2-40B4-BE49-F238E27FC236}">
              <a16:creationId xmlns:a16="http://schemas.microsoft.com/office/drawing/2014/main" id="{7E7825BC-C384-49CD-8CBE-A93B5D80BFB9}"/>
            </a:ext>
          </a:extLst>
        </xdr:cNvPr>
        <xdr:cNvSpPr/>
      </xdr:nvSpPr>
      <xdr:spPr>
        <a:xfrm>
          <a:off x="15059025" y="3324225"/>
          <a:ext cx="295275" cy="304801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</xdr:col>
      <xdr:colOff>333375</xdr:colOff>
      <xdr:row>31</xdr:row>
      <xdr:rowOff>28575</xdr:rowOff>
    </xdr:from>
    <xdr:ext cx="1408655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D3B7429A-0F35-45AD-B2D7-AC20A08A8D28}"/>
                </a:ext>
              </a:extLst>
            </xdr:cNvPr>
            <xdr:cNvSpPr txBox="1"/>
          </xdr:nvSpPr>
          <xdr:spPr>
            <a:xfrm>
              <a:off x="942975" y="5048250"/>
              <a:ext cx="140865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D3B7429A-0F35-45AD-B2D7-AC20A08A8D28}"/>
                </a:ext>
              </a:extLst>
            </xdr:cNvPr>
            <xdr:cNvSpPr txBox="1"/>
          </xdr:nvSpPr>
          <xdr:spPr>
            <a:xfrm>
              <a:off x="942975" y="5048250"/>
              <a:ext cx="140865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𝑋^𝑡∗𝑋=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3</xdr:col>
      <xdr:colOff>19050</xdr:colOff>
      <xdr:row>28</xdr:row>
      <xdr:rowOff>114301</xdr:rowOff>
    </xdr:from>
    <xdr:to>
      <xdr:col>3</xdr:col>
      <xdr:colOff>314325</xdr:colOff>
      <xdr:row>36</xdr:row>
      <xdr:rowOff>38101</xdr:rowOff>
    </xdr:to>
    <xdr:sp macro="" textlink="">
      <xdr:nvSpPr>
        <xdr:cNvPr id="13" name="Parêntese esquerdo 12">
          <a:extLst>
            <a:ext uri="{FF2B5EF4-FFF2-40B4-BE49-F238E27FC236}">
              <a16:creationId xmlns:a16="http://schemas.microsoft.com/office/drawing/2014/main" id="{4AA8CEDD-35E7-45AC-AF2B-429586B34930}"/>
            </a:ext>
          </a:extLst>
        </xdr:cNvPr>
        <xdr:cNvSpPr/>
      </xdr:nvSpPr>
      <xdr:spPr>
        <a:xfrm>
          <a:off x="2476500" y="4648201"/>
          <a:ext cx="295275" cy="121920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6</xdr:col>
      <xdr:colOff>600075</xdr:colOff>
      <xdr:row>28</xdr:row>
      <xdr:rowOff>66675</xdr:rowOff>
    </xdr:from>
    <xdr:to>
      <xdr:col>7</xdr:col>
      <xdr:colOff>28575</xdr:colOff>
      <xdr:row>35</xdr:row>
      <xdr:rowOff>152400</xdr:rowOff>
    </xdr:to>
    <xdr:sp macro="" textlink="">
      <xdr:nvSpPr>
        <xdr:cNvPr id="14" name="Parêntese esquerdo 13">
          <a:extLst>
            <a:ext uri="{FF2B5EF4-FFF2-40B4-BE49-F238E27FC236}">
              <a16:creationId xmlns:a16="http://schemas.microsoft.com/office/drawing/2014/main" id="{D710824C-EA1D-42FA-85C8-69294F27AC2C}"/>
            </a:ext>
          </a:extLst>
        </xdr:cNvPr>
        <xdr:cNvSpPr/>
      </xdr:nvSpPr>
      <xdr:spPr>
        <a:xfrm flipH="1">
          <a:off x="5334000" y="4600575"/>
          <a:ext cx="190500" cy="121920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10</xdr:col>
      <xdr:colOff>504825</xdr:colOff>
      <xdr:row>31</xdr:row>
      <xdr:rowOff>9525</xdr:rowOff>
    </xdr:from>
    <xdr:ext cx="1964127" cy="445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CC4F274-813E-4CB5-A1FD-96DA085B1E1A}"/>
                </a:ext>
              </a:extLst>
            </xdr:cNvPr>
            <xdr:cNvSpPr txBox="1"/>
          </xdr:nvSpPr>
          <xdr:spPr>
            <a:xfrm>
              <a:off x="8763000" y="5029200"/>
              <a:ext cx="1964127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(</m:t>
                        </m:r>
                        <m:sSup>
                          <m:sSupPr>
                            <m:ctrlP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p>
                        </m:s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CC4F274-813E-4CB5-A1FD-96DA085B1E1A}"/>
                </a:ext>
              </a:extLst>
            </xdr:cNvPr>
            <xdr:cNvSpPr txBox="1"/>
          </xdr:nvSpPr>
          <xdr:spPr>
            <a:xfrm>
              <a:off x="8763000" y="5029200"/>
              <a:ext cx="1964127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〖(</a:t>
              </a:r>
              <a:r>
                <a:rPr lang="pt-PT" sz="2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𝑋^𝑡∗𝑋</a:t>
              </a:r>
              <a:r>
                <a:rPr lang="pt-PT" sz="2800" b="0" i="0">
                  <a:latin typeface="Cambria Math" panose="02040503050406030204" pitchFamily="18" charset="0"/>
                </a:rPr>
                <a:t>)〗^(−1)=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13</xdr:col>
      <xdr:colOff>542925</xdr:colOff>
      <xdr:row>28</xdr:row>
      <xdr:rowOff>123825</xdr:rowOff>
    </xdr:from>
    <xdr:to>
      <xdr:col>14</xdr:col>
      <xdr:colOff>228600</xdr:colOff>
      <xdr:row>36</xdr:row>
      <xdr:rowOff>47625</xdr:rowOff>
    </xdr:to>
    <xdr:sp macro="" textlink="">
      <xdr:nvSpPr>
        <xdr:cNvPr id="16" name="Parêntese esquerdo 15">
          <a:extLst>
            <a:ext uri="{FF2B5EF4-FFF2-40B4-BE49-F238E27FC236}">
              <a16:creationId xmlns:a16="http://schemas.microsoft.com/office/drawing/2014/main" id="{56909A82-2150-4DF4-9F22-EF77B3DBAF74}"/>
            </a:ext>
          </a:extLst>
        </xdr:cNvPr>
        <xdr:cNvSpPr/>
      </xdr:nvSpPr>
      <xdr:spPr>
        <a:xfrm>
          <a:off x="10629900" y="4657725"/>
          <a:ext cx="295275" cy="121920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17</xdr:col>
      <xdr:colOff>381000</xdr:colOff>
      <xdr:row>28</xdr:row>
      <xdr:rowOff>47624</xdr:rowOff>
    </xdr:from>
    <xdr:to>
      <xdr:col>18</xdr:col>
      <xdr:colOff>38100</xdr:colOff>
      <xdr:row>35</xdr:row>
      <xdr:rowOff>133349</xdr:rowOff>
    </xdr:to>
    <xdr:sp macro="" textlink="">
      <xdr:nvSpPr>
        <xdr:cNvPr id="17" name="Parêntese esquerdo 16">
          <a:extLst>
            <a:ext uri="{FF2B5EF4-FFF2-40B4-BE49-F238E27FC236}">
              <a16:creationId xmlns:a16="http://schemas.microsoft.com/office/drawing/2014/main" id="{244C5032-E289-452A-87FF-C1502A509AFB}"/>
            </a:ext>
          </a:extLst>
        </xdr:cNvPr>
        <xdr:cNvSpPr/>
      </xdr:nvSpPr>
      <xdr:spPr>
        <a:xfrm flipH="1">
          <a:off x="13030200" y="4581524"/>
          <a:ext cx="266700" cy="121920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22</xdr:col>
      <xdr:colOff>361950</xdr:colOff>
      <xdr:row>31</xdr:row>
      <xdr:rowOff>38100</xdr:rowOff>
    </xdr:from>
    <xdr:ext cx="1393395" cy="441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50376C74-B910-4255-BE64-C727C5FA102A}"/>
                </a:ext>
              </a:extLst>
            </xdr:cNvPr>
            <xdr:cNvSpPr txBox="1"/>
          </xdr:nvSpPr>
          <xdr:spPr>
            <a:xfrm>
              <a:off x="16059150" y="5057775"/>
              <a:ext cx="139339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28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latin typeface="Cambria Math" panose="02040503050406030204" pitchFamily="18" charset="0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50376C74-B910-4255-BE64-C727C5FA102A}"/>
                </a:ext>
              </a:extLst>
            </xdr:cNvPr>
            <xdr:cNvSpPr txBox="1"/>
          </xdr:nvSpPr>
          <xdr:spPr>
            <a:xfrm>
              <a:off x="16059150" y="5057775"/>
              <a:ext cx="1393395" cy="441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</a:rPr>
                <a:t>𝑋^𝑡∗𝑌=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25</xdr:col>
      <xdr:colOff>657223</xdr:colOff>
      <xdr:row>29</xdr:row>
      <xdr:rowOff>0</xdr:rowOff>
    </xdr:from>
    <xdr:to>
      <xdr:col>26</xdr:col>
      <xdr:colOff>180973</xdr:colOff>
      <xdr:row>34</xdr:row>
      <xdr:rowOff>114301</xdr:rowOff>
    </xdr:to>
    <xdr:sp macro="" textlink="">
      <xdr:nvSpPr>
        <xdr:cNvPr id="19" name="Parêntese esquerdo 18">
          <a:extLst>
            <a:ext uri="{FF2B5EF4-FFF2-40B4-BE49-F238E27FC236}">
              <a16:creationId xmlns:a16="http://schemas.microsoft.com/office/drawing/2014/main" id="{24DD2C36-1B69-4E8D-9CD6-ECB7F3E585CA}"/>
            </a:ext>
          </a:extLst>
        </xdr:cNvPr>
        <xdr:cNvSpPr/>
      </xdr:nvSpPr>
      <xdr:spPr>
        <a:xfrm flipH="1">
          <a:off x="18183223" y="4695825"/>
          <a:ext cx="257175" cy="923926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24</xdr:col>
      <xdr:colOff>561975</xdr:colOff>
      <xdr:row>29</xdr:row>
      <xdr:rowOff>1</xdr:rowOff>
    </xdr:from>
    <xdr:to>
      <xdr:col>25</xdr:col>
      <xdr:colOff>247650</xdr:colOff>
      <xdr:row>34</xdr:row>
      <xdr:rowOff>123826</xdr:rowOff>
    </xdr:to>
    <xdr:sp macro="" textlink="">
      <xdr:nvSpPr>
        <xdr:cNvPr id="20" name="Parêntese esquerdo 19">
          <a:extLst>
            <a:ext uri="{FF2B5EF4-FFF2-40B4-BE49-F238E27FC236}">
              <a16:creationId xmlns:a16="http://schemas.microsoft.com/office/drawing/2014/main" id="{57DC361D-D106-470A-BA09-B706E257F1FB}"/>
            </a:ext>
          </a:extLst>
        </xdr:cNvPr>
        <xdr:cNvSpPr/>
      </xdr:nvSpPr>
      <xdr:spPr>
        <a:xfrm>
          <a:off x="17478375" y="4695826"/>
          <a:ext cx="295275" cy="933450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27</xdr:col>
      <xdr:colOff>123825</xdr:colOff>
      <xdr:row>31</xdr:row>
      <xdr:rowOff>28575</xdr:rowOff>
    </xdr:from>
    <xdr:ext cx="3957494" cy="445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94B97711-8E9C-4878-B9BD-C3DB7E996137}"/>
                </a:ext>
              </a:extLst>
            </xdr:cNvPr>
            <xdr:cNvSpPr txBox="1"/>
          </xdr:nvSpPr>
          <xdr:spPr>
            <a:xfrm>
              <a:off x="18992850" y="5048250"/>
              <a:ext cx="3957494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2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𝛽</m:t>
                    </m:r>
                    <m:r>
                      <a:rPr lang="pt-PT" sz="2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pt-PT" sz="2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p>
                        </m:s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  <m:sup>
                        <m:r>
                          <a:rPr lang="pt-PT" sz="2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p>
                    </m:sSup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2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𝑌</m:t>
                    </m:r>
                    <m:r>
                      <a:rPr lang="pt-PT" sz="28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28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94B97711-8E9C-4878-B9BD-C3DB7E996137}"/>
                </a:ext>
              </a:extLst>
            </xdr:cNvPr>
            <xdr:cNvSpPr txBox="1"/>
          </xdr:nvSpPr>
          <xdr:spPr>
            <a:xfrm>
              <a:off x="18992850" y="5048250"/>
              <a:ext cx="3957494" cy="445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28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𝛽=</a:t>
              </a:r>
              <a:r>
                <a:rPr lang="pt-PT" sz="2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〖(𝑋^𝑡∗𝑋)〗^(−1)∗𝑋^𝑡∗𝑌</a:t>
              </a:r>
              <a:r>
                <a:rPr lang="pt-PT" sz="2800" b="0" i="0">
                  <a:latin typeface="Cambria Math" panose="02040503050406030204" pitchFamily="18" charset="0"/>
                </a:rPr>
                <a:t>=</a:t>
              </a:r>
              <a:endParaRPr lang="pt-PT" sz="2800"/>
            </a:p>
          </xdr:txBody>
        </xdr:sp>
      </mc:Fallback>
    </mc:AlternateContent>
    <xdr:clientData/>
  </xdr:oneCellAnchor>
  <xdr:twoCellAnchor>
    <xdr:from>
      <xdr:col>35</xdr:col>
      <xdr:colOff>47624</xdr:colOff>
      <xdr:row>28</xdr:row>
      <xdr:rowOff>104775</xdr:rowOff>
    </xdr:from>
    <xdr:to>
      <xdr:col>35</xdr:col>
      <xdr:colOff>342899</xdr:colOff>
      <xdr:row>36</xdr:row>
      <xdr:rowOff>76200</xdr:rowOff>
    </xdr:to>
    <xdr:sp macro="" textlink="">
      <xdr:nvSpPr>
        <xdr:cNvPr id="22" name="Parêntese esquerdo 21">
          <a:extLst>
            <a:ext uri="{FF2B5EF4-FFF2-40B4-BE49-F238E27FC236}">
              <a16:creationId xmlns:a16="http://schemas.microsoft.com/office/drawing/2014/main" id="{00D19D61-93EC-482A-B5B2-2E20D215B77E}"/>
            </a:ext>
          </a:extLst>
        </xdr:cNvPr>
        <xdr:cNvSpPr/>
      </xdr:nvSpPr>
      <xdr:spPr>
        <a:xfrm flipH="1">
          <a:off x="23793449" y="4638675"/>
          <a:ext cx="295275" cy="126682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33</xdr:col>
      <xdr:colOff>428625</xdr:colOff>
      <xdr:row>28</xdr:row>
      <xdr:rowOff>114301</xdr:rowOff>
    </xdr:from>
    <xdr:to>
      <xdr:col>34</xdr:col>
      <xdr:colOff>114300</xdr:colOff>
      <xdr:row>36</xdr:row>
      <xdr:rowOff>85726</xdr:rowOff>
    </xdr:to>
    <xdr:sp macro="" textlink="">
      <xdr:nvSpPr>
        <xdr:cNvPr id="23" name="Parêntese esquerdo 22">
          <a:extLst>
            <a:ext uri="{FF2B5EF4-FFF2-40B4-BE49-F238E27FC236}">
              <a16:creationId xmlns:a16="http://schemas.microsoft.com/office/drawing/2014/main" id="{D4CA68AA-6837-4500-AFF5-494F69ECBDE0}"/>
            </a:ext>
          </a:extLst>
        </xdr:cNvPr>
        <xdr:cNvSpPr/>
      </xdr:nvSpPr>
      <xdr:spPr>
        <a:xfrm>
          <a:off x="22955250" y="4648201"/>
          <a:ext cx="295275" cy="126682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oneCellAnchor>
    <xdr:from>
      <xdr:col>13</xdr:col>
      <xdr:colOff>22411</xdr:colOff>
      <xdr:row>46</xdr:row>
      <xdr:rowOff>134470</xdr:rowOff>
    </xdr:from>
    <xdr:ext cx="806824" cy="2129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3EC5E5F-51D0-480A-9BBC-F0DFF74DC734}"/>
                </a:ext>
              </a:extLst>
            </xdr:cNvPr>
            <xdr:cNvSpPr txBox="1"/>
          </xdr:nvSpPr>
          <xdr:spPr>
            <a:xfrm>
              <a:off x="10109386" y="7754470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3EC5E5F-51D0-480A-9BBC-F0DFF74DC734}"/>
                </a:ext>
              </a:extLst>
            </xdr:cNvPr>
            <xdr:cNvSpPr txBox="1"/>
          </xdr:nvSpPr>
          <xdr:spPr>
            <a:xfrm>
              <a:off x="10109386" y="7754470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493058</xdr:colOff>
      <xdr:row>48</xdr:row>
      <xdr:rowOff>145677</xdr:rowOff>
    </xdr:from>
    <xdr:ext cx="806824" cy="2129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92ECC44-1688-442D-A93F-A82308D6D48A}"/>
                </a:ext>
              </a:extLst>
            </xdr:cNvPr>
            <xdr:cNvSpPr txBox="1"/>
          </xdr:nvSpPr>
          <xdr:spPr>
            <a:xfrm>
              <a:off x="9970433" y="8089527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92ECC44-1688-442D-A93F-A82308D6D48A}"/>
                </a:ext>
              </a:extLst>
            </xdr:cNvPr>
            <xdr:cNvSpPr txBox="1"/>
          </xdr:nvSpPr>
          <xdr:spPr>
            <a:xfrm>
              <a:off x="9970433" y="8089527"/>
              <a:ext cx="806824" cy="2129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459442</xdr:colOff>
      <xdr:row>43</xdr:row>
      <xdr:rowOff>0</xdr:rowOff>
    </xdr:from>
    <xdr:ext cx="1320800" cy="3556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D5EE125-5B68-4901-9B72-7C7C7D27B9FA}"/>
                </a:ext>
              </a:extLst>
            </xdr:cNvPr>
            <xdr:cNvSpPr txBox="1"/>
          </xdr:nvSpPr>
          <xdr:spPr>
            <a:xfrm>
              <a:off x="1821517" y="7134225"/>
              <a:ext cx="13208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𝑛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D5EE125-5B68-4901-9B72-7C7C7D27B9FA}"/>
                </a:ext>
              </a:extLst>
            </xdr:cNvPr>
            <xdr:cNvSpPr txBox="1"/>
          </xdr:nvSpPr>
          <xdr:spPr>
            <a:xfrm>
              <a:off x="1821517" y="7134225"/>
              <a:ext cx="1320800" cy="355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〖𝑆𝑄〗_𝑇=𝑌^𝑇 𝑌−𝑛𝑦 ̅^2=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280146</xdr:colOff>
      <xdr:row>44</xdr:row>
      <xdr:rowOff>123265</xdr:rowOff>
    </xdr:from>
    <xdr:ext cx="1549400" cy="3810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8902A96-9F8F-4EC6-AD06-56C4F3D1FF0C}"/>
                </a:ext>
              </a:extLst>
            </xdr:cNvPr>
            <xdr:cNvSpPr txBox="1"/>
          </xdr:nvSpPr>
          <xdr:spPr>
            <a:xfrm>
              <a:off x="1642221" y="7419415"/>
              <a:ext cx="1549400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𝑛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8902A96-9F8F-4EC6-AD06-56C4F3D1FF0C}"/>
                </a:ext>
              </a:extLst>
            </xdr:cNvPr>
            <xdr:cNvSpPr txBox="1"/>
          </xdr:nvSpPr>
          <xdr:spPr>
            <a:xfrm>
              <a:off x="1642221" y="7419415"/>
              <a:ext cx="1549400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〖𝑆𝑄〗_𝑅=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𝑌−𝑛𝑦 ̅^2=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268942</xdr:colOff>
      <xdr:row>46</xdr:row>
      <xdr:rowOff>123264</xdr:rowOff>
    </xdr:from>
    <xdr:ext cx="1549400" cy="2635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822583E-2DFC-417A-9A4E-7A3AA2756F86}"/>
                </a:ext>
              </a:extLst>
            </xdr:cNvPr>
            <xdr:cNvSpPr txBox="1"/>
          </xdr:nvSpPr>
          <xdr:spPr>
            <a:xfrm>
              <a:off x="1631017" y="7743264"/>
              <a:ext cx="1549400" cy="2635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𝑆𝑄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𝐸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−</m:t>
                    </m:r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2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sSup>
                      <m:sSup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pt-PT" sz="12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822583E-2DFC-417A-9A4E-7A3AA2756F86}"/>
                </a:ext>
              </a:extLst>
            </xdr:cNvPr>
            <xdr:cNvSpPr txBox="1"/>
          </xdr:nvSpPr>
          <xdr:spPr>
            <a:xfrm>
              <a:off x="1631017" y="7743264"/>
              <a:ext cx="1549400" cy="2635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〖𝑆𝑄〗_𝐸=𝑌^𝑇 𝑌−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̂^</a:t>
              </a:r>
              <a:r>
                <a:rPr lang="pt-PT" sz="1200" b="0" i="0">
                  <a:latin typeface="Cambria Math" panose="02040503050406030204" pitchFamily="18" charset="0"/>
                </a:rPr>
                <a:t>𝑇 𝑋^𝑇 𝑌=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1066800</xdr:colOff>
      <xdr:row>55</xdr:row>
      <xdr:rowOff>56588</xdr:rowOff>
    </xdr:from>
    <xdr:ext cx="818030" cy="5042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23E32C0-9750-4309-BEB5-D910E62EBD49}"/>
                </a:ext>
              </a:extLst>
            </xdr:cNvPr>
            <xdr:cNvSpPr txBox="1"/>
          </xdr:nvSpPr>
          <xdr:spPr>
            <a:xfrm>
              <a:off x="2428875" y="9133913"/>
              <a:ext cx="818030" cy="5042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200" b="0" i="1">
                            <a:latin typeface="Cambria Math" panose="02040503050406030204" pitchFamily="18" charset="0"/>
                          </a:rPr>
                          <m:t>𝑀</m:t>
                        </m:r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𝑀𝑄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23E32C0-9750-4309-BEB5-D910E62EBD49}"/>
                </a:ext>
              </a:extLst>
            </xdr:cNvPr>
            <xdr:cNvSpPr txBox="1"/>
          </xdr:nvSpPr>
          <xdr:spPr>
            <a:xfrm>
              <a:off x="2428875" y="9133913"/>
              <a:ext cx="818030" cy="5042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𝐹_0=(𝑀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𝑄_𝑅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〖𝑀𝑄〗_𝐸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851087</xdr:colOff>
      <xdr:row>49</xdr:row>
      <xdr:rowOff>76761</xdr:rowOff>
    </xdr:from>
    <xdr:ext cx="1053353" cy="3922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DBE77EBE-D9BE-46B1-8EAC-5ED1A0002AD6}"/>
                </a:ext>
              </a:extLst>
            </xdr:cNvPr>
            <xdr:cNvSpPr txBox="1"/>
          </xdr:nvSpPr>
          <xdr:spPr>
            <a:xfrm>
              <a:off x="2213162" y="818253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𝑀</m:t>
                    </m:r>
                    <m:sSub>
                      <m:sSubPr>
                        <m:ctrlP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𝑄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𝑅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𝑔𝑙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DBE77EBE-D9BE-46B1-8EAC-5ED1A0002AD6}"/>
                </a:ext>
              </a:extLst>
            </xdr:cNvPr>
            <xdr:cNvSpPr txBox="1"/>
          </xdr:nvSpPr>
          <xdr:spPr>
            <a:xfrm>
              <a:off x="2213162" y="818253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𝑀𝑄_𝑅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〖𝑆𝑄〗_𝑅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〖𝑔𝑙〗_𝑅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761999</xdr:colOff>
      <xdr:row>52</xdr:row>
      <xdr:rowOff>67236</xdr:rowOff>
    </xdr:from>
    <xdr:ext cx="1053353" cy="3922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9B3838C4-ECA1-44F7-AE73-091460093A93}"/>
                </a:ext>
              </a:extLst>
            </xdr:cNvPr>
            <xdr:cNvSpPr txBox="1"/>
          </xdr:nvSpPr>
          <xdr:spPr>
            <a:xfrm>
              <a:off x="2124074" y="865878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𝑀</m:t>
                    </m:r>
                    <m:sSub>
                      <m:sSubPr>
                        <m:ctrlP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𝑄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𝐸</m:t>
                        </m:r>
                      </m:sub>
                    </m:sSub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𝑆𝑄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𝑔𝑙</m:t>
                            </m:r>
                          </m:e>
                          <m: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𝐸</m:t>
                            </m:r>
                          </m:sub>
                        </m:sSub>
                      </m:den>
                    </m:f>
                    <m:r>
                      <a:rPr lang="pt-PT" sz="12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9B3838C4-ECA1-44F7-AE73-091460093A93}"/>
                </a:ext>
              </a:extLst>
            </xdr:cNvPr>
            <xdr:cNvSpPr txBox="1"/>
          </xdr:nvSpPr>
          <xdr:spPr>
            <a:xfrm>
              <a:off x="2124074" y="8658786"/>
              <a:ext cx="1053353" cy="3922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𝑀𝑄_𝐸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〖𝑆𝑄〗_𝐸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〖𝑔𝑙〗_𝐸 </a:t>
              </a:r>
              <a:r>
                <a:rPr lang="pt-PT" sz="1200" b="0" i="0">
                  <a:latin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twoCellAnchor editAs="oneCell">
    <xdr:from>
      <xdr:col>1</xdr:col>
      <xdr:colOff>100852</xdr:colOff>
      <xdr:row>72</xdr:row>
      <xdr:rowOff>33617</xdr:rowOff>
    </xdr:from>
    <xdr:to>
      <xdr:col>5</xdr:col>
      <xdr:colOff>25684</xdr:colOff>
      <xdr:row>75</xdr:row>
      <xdr:rowOff>96444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6916250F-C2D0-42DD-B959-4A5AB6A21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0452" y="11901767"/>
          <a:ext cx="3382407" cy="54860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68</xdr:row>
      <xdr:rowOff>123264</xdr:rowOff>
    </xdr:from>
    <xdr:to>
      <xdr:col>2</xdr:col>
      <xdr:colOff>1054148</xdr:colOff>
      <xdr:row>71</xdr:row>
      <xdr:rowOff>147986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A7ABDF24-1030-4593-B03A-14FDE8BD3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865" y="11343714"/>
          <a:ext cx="1683358" cy="510497"/>
        </a:xfrm>
        <a:prstGeom prst="rect">
          <a:avLst/>
        </a:prstGeom>
      </xdr:spPr>
    </xdr:pic>
    <xdr:clientData/>
  </xdr:twoCellAnchor>
  <xdr:oneCellAnchor>
    <xdr:from>
      <xdr:col>5</xdr:col>
      <xdr:colOff>280147</xdr:colOff>
      <xdr:row>81</xdr:row>
      <xdr:rowOff>89647</xdr:rowOff>
    </xdr:from>
    <xdr:ext cx="4616823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35C9535-CDA3-4707-AF8D-D2A3ED75FF45}"/>
                </a:ext>
              </a:extLst>
            </xdr:cNvPr>
            <xdr:cNvSpPr txBox="1"/>
          </xdr:nvSpPr>
          <xdr:spPr>
            <a:xfrm>
              <a:off x="4347322" y="13434172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=0, 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𝑘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=2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35C9535-CDA3-4707-AF8D-D2A3ED75FF45}"/>
                </a:ext>
              </a:extLst>
            </xdr:cNvPr>
            <xdr:cNvSpPr txBox="1"/>
          </xdr:nvSpPr>
          <xdr:spPr>
            <a:xfrm>
              <a:off x="4347322" y="13434172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600" b="0" i="0">
                  <a:latin typeface="Cambria Math" panose="02040503050406030204" pitchFamily="18" charset="0"/>
                </a:rPr>
                <a:t>0=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𝛽_1=𝛽_2=𝛽_3=0, 𝑘=2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280147</xdr:colOff>
      <xdr:row>83</xdr:row>
      <xdr:rowOff>112059</xdr:rowOff>
    </xdr:from>
    <xdr:ext cx="4616823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145B821-613C-43D8-B0B6-46CE0380E464}"/>
                </a:ext>
              </a:extLst>
            </xdr:cNvPr>
            <xdr:cNvSpPr txBox="1"/>
          </xdr:nvSpPr>
          <xdr:spPr>
            <a:xfrm>
              <a:off x="4347322" y="13780434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2= 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𝑗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𝑝𝑎𝑟𝑎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𝑎𝑙𝑔𝑢𝑚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𝑗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, 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𝑗</m:t>
                    </m:r>
                    <m:r>
                      <a:rPr lang="pt-PT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=1,2,3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145B821-613C-43D8-B0B6-46CE0380E464}"/>
                </a:ext>
              </a:extLst>
            </xdr:cNvPr>
            <xdr:cNvSpPr txBox="1"/>
          </xdr:nvSpPr>
          <xdr:spPr>
            <a:xfrm>
              <a:off x="4347322" y="13780434"/>
              <a:ext cx="4616823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𝐻2= 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𝛽_𝑗≠0 𝑝𝑎𝑟𝑎 𝑎𝑙𝑔𝑢𝑚 𝑗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, 𝑗=1,2,3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459442</xdr:colOff>
      <xdr:row>89</xdr:row>
      <xdr:rowOff>125505</xdr:rowOff>
    </xdr:from>
    <xdr:ext cx="6633882" cy="27404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F969241-751B-4449-8D3C-D4A96F686467}"/>
                </a:ext>
              </a:extLst>
            </xdr:cNvPr>
            <xdr:cNvSpPr txBox="1"/>
          </xdr:nvSpPr>
          <xdr:spPr>
            <a:xfrm>
              <a:off x="4526617" y="14774955"/>
              <a:ext cx="6633882" cy="2740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𝐼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.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𝐶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=]</m:t>
                  </m:r>
                  <m:sSub>
                    <m:sSub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𝐽</m:t>
                      </m:r>
                    </m:sub>
                  </m:sSub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/2[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𝑛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+1</m:t>
                      </m:r>
                    </m:e>
                  </m:d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]</m:t>
                  </m:r>
                  <m:rad>
                    <m:radPr>
                      <m:degHide m:val="on"/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𝜎</m:t>
                          </m:r>
                        </m:e>
                        <m:sup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𝐶𝑗𝑗</m:t>
                      </m:r>
                    </m:e>
                  </m:rad>
                </m:oMath>
              </a14:m>
              <a:r>
                <a:rPr lang="pt-PT" sz="1400"/>
                <a:t>,</a:t>
              </a:r>
              <a14:m>
                <m:oMath xmlns:m="http://schemas.openxmlformats.org/officeDocument/2006/math">
                  <m:sSub>
                    <m:sSub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𝐽</m:t>
                      </m:r>
                    </m:sub>
                  </m:sSub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1−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𝑎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/2[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𝑛</m:t>
                  </m:r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+1</m:t>
                      </m:r>
                    </m:e>
                  </m:d>
                  <m:r>
                    <a:rPr lang="pt-PT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]</m:t>
                  </m:r>
                  <m:rad>
                    <m:radPr>
                      <m:degHide m:val="on"/>
                      <m:ctrlP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sSup>
                        <m:sSupPr>
                          <m:ctrlP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𝜎</m:t>
                          </m:r>
                        </m:e>
                        <m:sup>
                          <m:r>
                            <a:rPr lang="pt-PT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pt-PT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𝐶𝑗𝑗</m:t>
                      </m:r>
                    </m:e>
                  </m:rad>
                </m:oMath>
              </a14:m>
              <a:r>
                <a:rPr lang="pt-PT" sz="1400"/>
                <a:t>[</a:t>
              </a:r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F969241-751B-4449-8D3C-D4A96F686467}"/>
                </a:ext>
              </a:extLst>
            </xdr:cNvPr>
            <xdr:cNvSpPr txBox="1"/>
          </xdr:nvSpPr>
          <xdr:spPr>
            <a:xfrm>
              <a:off x="4526617" y="14774955"/>
              <a:ext cx="6633882" cy="2740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𝐼.𝐶=]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𝛽_𝐽−𝑇1−𝑎/2[𝑛−(𝑘+1)]√(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 𝐶𝑗𝑗)</a:t>
              </a:r>
              <a:r>
                <a:rPr lang="pt-PT" sz="1400"/>
                <a:t>,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𝛽_𝐽+𝑇1−𝑎/2[𝑛−(𝑘+1)]√(𝜎^2 𝐶𝑗𝑗)</a:t>
              </a:r>
              <a:r>
                <a:rPr lang="pt-PT" sz="1400"/>
                <a:t>[</a:t>
              </a:r>
            </a:p>
          </xdr:txBody>
        </xdr:sp>
      </mc:Fallback>
    </mc:AlternateContent>
    <xdr:clientData/>
  </xdr:oneCellAnchor>
  <xdr:oneCellAnchor>
    <xdr:from>
      <xdr:col>3</xdr:col>
      <xdr:colOff>507627</xdr:colOff>
      <xdr:row>96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921187A9-5360-48D1-B8E4-BD114CA77200}"/>
                </a:ext>
              </a:extLst>
            </xdr:cNvPr>
            <xdr:cNvSpPr txBox="1"/>
          </xdr:nvSpPr>
          <xdr:spPr>
            <a:xfrm>
              <a:off x="2965077" y="157946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921187A9-5360-48D1-B8E4-BD114CA77200}"/>
                </a:ext>
              </a:extLst>
            </xdr:cNvPr>
            <xdr:cNvSpPr txBox="1"/>
          </xdr:nvSpPr>
          <xdr:spPr>
            <a:xfrm>
              <a:off x="2965077" y="157946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442072</xdr:colOff>
      <xdr:row>97</xdr:row>
      <xdr:rowOff>136150</xdr:rowOff>
    </xdr:from>
    <xdr:ext cx="288477" cy="172227"/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DFF80183-76B8-41AB-903B-33A56369777F}"/>
            </a:ext>
          </a:extLst>
        </xdr:cNvPr>
        <xdr:cNvSpPr txBox="1"/>
      </xdr:nvSpPr>
      <xdr:spPr>
        <a:xfrm>
          <a:off x="2899522" y="160905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3</xdr:col>
      <xdr:colOff>545727</xdr:colOff>
      <xdr:row>106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0196AD35-8DDA-4B48-9C1F-12A6C04463A4}"/>
                </a:ext>
              </a:extLst>
            </xdr:cNvPr>
            <xdr:cNvSpPr txBox="1"/>
          </xdr:nvSpPr>
          <xdr:spPr>
            <a:xfrm>
              <a:off x="3003177" y="174329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0196AD35-8DDA-4B48-9C1F-12A6C04463A4}"/>
                </a:ext>
              </a:extLst>
            </xdr:cNvPr>
            <xdr:cNvSpPr txBox="1"/>
          </xdr:nvSpPr>
          <xdr:spPr>
            <a:xfrm>
              <a:off x="3003177" y="174329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480172</xdr:colOff>
      <xdr:row>107</xdr:row>
      <xdr:rowOff>145675</xdr:rowOff>
    </xdr:from>
    <xdr:ext cx="288477" cy="172227"/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F1EBA6D2-EE93-4727-BA4C-05DBF0EF9765}"/>
            </a:ext>
          </a:extLst>
        </xdr:cNvPr>
        <xdr:cNvSpPr txBox="1"/>
      </xdr:nvSpPr>
      <xdr:spPr>
        <a:xfrm>
          <a:off x="2937622" y="177383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3</xdr:col>
      <xdr:colOff>536202</xdr:colOff>
      <xdr:row>116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36FD743-39A2-4449-9FC2-0460E59DB1E6}"/>
                </a:ext>
              </a:extLst>
            </xdr:cNvPr>
            <xdr:cNvSpPr txBox="1"/>
          </xdr:nvSpPr>
          <xdr:spPr>
            <a:xfrm>
              <a:off x="2993652" y="190712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36FD743-39A2-4449-9FC2-0460E59DB1E6}"/>
                </a:ext>
              </a:extLst>
            </xdr:cNvPr>
            <xdr:cNvSpPr txBox="1"/>
          </xdr:nvSpPr>
          <xdr:spPr>
            <a:xfrm>
              <a:off x="2993652" y="190712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442072</xdr:colOff>
      <xdr:row>117</xdr:row>
      <xdr:rowOff>136150</xdr:rowOff>
    </xdr:from>
    <xdr:ext cx="288477" cy="172227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5CF79E65-3DE0-44B8-93DA-D5AEF63AA749}"/>
            </a:ext>
          </a:extLst>
        </xdr:cNvPr>
        <xdr:cNvSpPr txBox="1"/>
      </xdr:nvSpPr>
      <xdr:spPr>
        <a:xfrm>
          <a:off x="2899522" y="193671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3</xdr:col>
      <xdr:colOff>498102</xdr:colOff>
      <xdr:row>126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B883BCC-852F-4C38-9334-2E8492EDF58D}"/>
                </a:ext>
              </a:extLst>
            </xdr:cNvPr>
            <xdr:cNvSpPr txBox="1"/>
          </xdr:nvSpPr>
          <xdr:spPr>
            <a:xfrm>
              <a:off x="2955552" y="207095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B883BCC-852F-4C38-9334-2E8492EDF58D}"/>
                </a:ext>
              </a:extLst>
            </xdr:cNvPr>
            <xdr:cNvSpPr txBox="1"/>
          </xdr:nvSpPr>
          <xdr:spPr>
            <a:xfrm>
              <a:off x="2955552" y="207095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451597</xdr:colOff>
      <xdr:row>127</xdr:row>
      <xdr:rowOff>145675</xdr:rowOff>
    </xdr:from>
    <xdr:ext cx="288477" cy="197225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94C67B0D-976D-4C81-944E-7E088D0F1CF6}"/>
            </a:ext>
          </a:extLst>
        </xdr:cNvPr>
        <xdr:cNvSpPr txBox="1"/>
      </xdr:nvSpPr>
      <xdr:spPr>
        <a:xfrm>
          <a:off x="2909047" y="21014950"/>
          <a:ext cx="288477" cy="197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3</xdr:col>
      <xdr:colOff>534521</xdr:colOff>
      <xdr:row>135</xdr:row>
      <xdr:rowOff>125506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732B916A-016C-435F-9781-57CD75A49FB5}"/>
                </a:ext>
              </a:extLst>
            </xdr:cNvPr>
            <xdr:cNvSpPr txBox="1"/>
          </xdr:nvSpPr>
          <xdr:spPr>
            <a:xfrm>
              <a:off x="2991971" y="223092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732B916A-016C-435F-9781-57CD75A49FB5}"/>
                </a:ext>
              </a:extLst>
            </xdr:cNvPr>
            <xdr:cNvSpPr txBox="1"/>
          </xdr:nvSpPr>
          <xdr:spPr>
            <a:xfrm>
              <a:off x="2991971" y="223092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672352</xdr:colOff>
      <xdr:row>137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BCC50CD-0876-4D3D-A7BD-FD167399B13F}"/>
                </a:ext>
              </a:extLst>
            </xdr:cNvPr>
            <xdr:cNvSpPr txBox="1"/>
          </xdr:nvSpPr>
          <xdr:spPr>
            <a:xfrm>
              <a:off x="2034427" y="226420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BCC50CD-0876-4D3D-A7BD-FD167399B13F}"/>
                </a:ext>
              </a:extLst>
            </xdr:cNvPr>
            <xdr:cNvSpPr txBox="1"/>
          </xdr:nvSpPr>
          <xdr:spPr>
            <a:xfrm>
              <a:off x="2034427" y="226420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694764</xdr:colOff>
      <xdr:row>141</xdr:row>
      <xdr:rowOff>134471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B4F0EF3-6C8B-4967-91FC-D646D90D516B}"/>
                </a:ext>
              </a:extLst>
            </xdr:cNvPr>
            <xdr:cNvSpPr txBox="1"/>
          </xdr:nvSpPr>
          <xdr:spPr>
            <a:xfrm>
              <a:off x="2056839" y="2328974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B4F0EF3-6C8B-4967-91FC-D646D90D516B}"/>
                </a:ext>
              </a:extLst>
            </xdr:cNvPr>
            <xdr:cNvSpPr txBox="1"/>
          </xdr:nvSpPr>
          <xdr:spPr>
            <a:xfrm>
              <a:off x="2056839" y="2328974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378199</xdr:colOff>
      <xdr:row>132</xdr:row>
      <xdr:rowOff>22411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85FF3AE-C028-478C-899D-991E34B3DC65}"/>
                </a:ext>
              </a:extLst>
            </xdr:cNvPr>
            <xdr:cNvSpPr txBox="1"/>
          </xdr:nvSpPr>
          <xdr:spPr>
            <a:xfrm>
              <a:off x="7198099" y="2172036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85FF3AE-C028-478C-899D-991E34B3DC65}"/>
                </a:ext>
              </a:extLst>
            </xdr:cNvPr>
            <xdr:cNvSpPr txBox="1"/>
          </xdr:nvSpPr>
          <xdr:spPr>
            <a:xfrm>
              <a:off x="7198099" y="2172036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952500</xdr:colOff>
      <xdr:row>140</xdr:row>
      <xdr:rowOff>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A26DC5A0-1843-402C-BE1A-9BB22278E24F}"/>
                </a:ext>
              </a:extLst>
            </xdr:cNvPr>
            <xdr:cNvSpPr txBox="1"/>
          </xdr:nvSpPr>
          <xdr:spPr>
            <a:xfrm>
              <a:off x="2314575" y="2299335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A26DC5A0-1843-402C-BE1A-9BB22278E24F}"/>
                </a:ext>
              </a:extLst>
            </xdr:cNvPr>
            <xdr:cNvSpPr txBox="1"/>
          </xdr:nvSpPr>
          <xdr:spPr>
            <a:xfrm>
              <a:off x="2314575" y="22993350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459440</xdr:colOff>
      <xdr:row>135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A6BB10B-8E73-465B-A02C-80394DAA0D4B}"/>
                </a:ext>
              </a:extLst>
            </xdr:cNvPr>
            <xdr:cNvSpPr txBox="1"/>
          </xdr:nvSpPr>
          <xdr:spPr>
            <a:xfrm>
              <a:off x="8108015" y="223069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A6BB10B-8E73-465B-A02C-80394DAA0D4B}"/>
                </a:ext>
              </a:extLst>
            </xdr:cNvPr>
            <xdr:cNvSpPr txBox="1"/>
          </xdr:nvSpPr>
          <xdr:spPr>
            <a:xfrm>
              <a:off x="8108015" y="223069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3</xdr:col>
      <xdr:colOff>534521</xdr:colOff>
      <xdr:row>149</xdr:row>
      <xdr:rowOff>125506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22E28471-412C-43BE-8923-090CF62664BD}"/>
                </a:ext>
              </a:extLst>
            </xdr:cNvPr>
            <xdr:cNvSpPr txBox="1"/>
          </xdr:nvSpPr>
          <xdr:spPr>
            <a:xfrm>
              <a:off x="2991971" y="246333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22E28471-412C-43BE-8923-090CF62664BD}"/>
                </a:ext>
              </a:extLst>
            </xdr:cNvPr>
            <xdr:cNvSpPr txBox="1"/>
          </xdr:nvSpPr>
          <xdr:spPr>
            <a:xfrm>
              <a:off x="2991971" y="246333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672352</xdr:colOff>
      <xdr:row>151</xdr:row>
      <xdr:rowOff>134469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C6F68F47-2184-4721-A6C4-E1A5DE04FCCB}"/>
                </a:ext>
              </a:extLst>
            </xdr:cNvPr>
            <xdr:cNvSpPr txBox="1"/>
          </xdr:nvSpPr>
          <xdr:spPr>
            <a:xfrm>
              <a:off x="2034427" y="249661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C6F68F47-2184-4721-A6C4-E1A5DE04FCCB}"/>
                </a:ext>
              </a:extLst>
            </xdr:cNvPr>
            <xdr:cNvSpPr txBox="1"/>
          </xdr:nvSpPr>
          <xdr:spPr>
            <a:xfrm>
              <a:off x="2034427" y="249661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369794</xdr:colOff>
      <xdr:row>156</xdr:row>
      <xdr:rowOff>11206</xdr:rowOff>
    </xdr:from>
    <xdr:ext cx="1389529" cy="235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9326ABDE-4F40-4225-8A7D-A9A3F4EA023B}"/>
                </a:ext>
              </a:extLst>
            </xdr:cNvPr>
            <xdr:cNvSpPr txBox="1"/>
          </xdr:nvSpPr>
          <xdr:spPr>
            <a:xfrm>
              <a:off x="1731869" y="25652506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∗(1+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0)=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9326ABDE-4F40-4225-8A7D-A9A3F4EA023B}"/>
                </a:ext>
              </a:extLst>
            </xdr:cNvPr>
            <xdr:cNvSpPr txBox="1"/>
          </xdr:nvSpPr>
          <xdr:spPr>
            <a:xfrm>
              <a:off x="1731869" y="25652506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2∗(1+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349624</xdr:colOff>
      <xdr:row>146</xdr:row>
      <xdr:rowOff>3361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C923F8EE-FE68-4D81-8D58-863FDB9B551F}"/>
                </a:ext>
              </a:extLst>
            </xdr:cNvPr>
            <xdr:cNvSpPr txBox="1"/>
          </xdr:nvSpPr>
          <xdr:spPr>
            <a:xfrm>
              <a:off x="7169524" y="2402541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C923F8EE-FE68-4D81-8D58-863FDB9B551F}"/>
                </a:ext>
              </a:extLst>
            </xdr:cNvPr>
            <xdr:cNvSpPr txBox="1"/>
          </xdr:nvSpPr>
          <xdr:spPr>
            <a:xfrm>
              <a:off x="7169524" y="2402541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971550</xdr:colOff>
      <xdr:row>153</xdr:row>
      <xdr:rowOff>152400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3221896A-5D59-42AC-BA34-CC964BA93251}"/>
                </a:ext>
              </a:extLst>
            </xdr:cNvPr>
            <xdr:cNvSpPr txBox="1"/>
          </xdr:nvSpPr>
          <xdr:spPr>
            <a:xfrm>
              <a:off x="2333625" y="2530792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3221896A-5D59-42AC-BA34-CC964BA93251}"/>
                </a:ext>
              </a:extLst>
            </xdr:cNvPr>
            <xdr:cNvSpPr txBox="1"/>
          </xdr:nvSpPr>
          <xdr:spPr>
            <a:xfrm>
              <a:off x="2333625" y="2530792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459440</xdr:colOff>
      <xdr:row>149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29EA5E61-8E52-4E3B-8846-E2C70A15FD16}"/>
                </a:ext>
              </a:extLst>
            </xdr:cNvPr>
            <xdr:cNvSpPr txBox="1"/>
          </xdr:nvSpPr>
          <xdr:spPr>
            <a:xfrm>
              <a:off x="8108015" y="246310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29EA5E61-8E52-4E3B-8846-E2C70A15FD16}"/>
                </a:ext>
              </a:extLst>
            </xdr:cNvPr>
            <xdr:cNvSpPr txBox="1"/>
          </xdr:nvSpPr>
          <xdr:spPr>
            <a:xfrm>
              <a:off x="8108015" y="246310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212913</xdr:colOff>
      <xdr:row>160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6102F710-D8C0-4D37-B6EE-F349406ACF94}"/>
                </a:ext>
              </a:extLst>
            </xdr:cNvPr>
            <xdr:cNvSpPr txBox="1"/>
          </xdr:nvSpPr>
          <xdr:spPr>
            <a:xfrm>
              <a:off x="1574988" y="264470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6102F710-D8C0-4D37-B6EE-F349406ACF94}"/>
                </a:ext>
              </a:extLst>
            </xdr:cNvPr>
            <xdr:cNvSpPr txBox="1"/>
          </xdr:nvSpPr>
          <xdr:spPr>
            <a:xfrm>
              <a:off x="1574988" y="264470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𝐻0:𝐵_0=0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</xdr:col>
      <xdr:colOff>224117</xdr:colOff>
      <xdr:row>162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907881A2-1310-46AB-8AAE-F66C87D2F3F4}"/>
                </a:ext>
              </a:extLst>
            </xdr:cNvPr>
            <xdr:cNvSpPr txBox="1"/>
          </xdr:nvSpPr>
          <xdr:spPr>
            <a:xfrm>
              <a:off x="1586192" y="26793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907881A2-1310-46AB-8AAE-F66C87D2F3F4}"/>
                </a:ext>
              </a:extLst>
            </xdr:cNvPr>
            <xdr:cNvSpPr txBox="1"/>
          </xdr:nvSpPr>
          <xdr:spPr>
            <a:xfrm>
              <a:off x="1586192" y="26793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𝐻1:𝐵_0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</xdr:col>
      <xdr:colOff>448236</xdr:colOff>
      <xdr:row>165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54970E5B-5EC9-40D8-ADC3-F79B8C4F9315}"/>
                </a:ext>
              </a:extLst>
            </xdr:cNvPr>
            <xdr:cNvSpPr txBox="1"/>
          </xdr:nvSpPr>
          <xdr:spPr>
            <a:xfrm>
              <a:off x="1810311" y="272902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54970E5B-5EC9-40D8-ADC3-F79B8C4F9315}"/>
                </a:ext>
              </a:extLst>
            </xdr:cNvPr>
            <xdr:cNvSpPr txBox="1"/>
          </xdr:nvSpPr>
          <xdr:spPr>
            <a:xfrm>
              <a:off x="1810311" y="272902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4</xdr:col>
      <xdr:colOff>112058</xdr:colOff>
      <xdr:row>160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1DF233FF-C7DC-4236-A491-DCE32D1ED798}"/>
                </a:ext>
              </a:extLst>
            </xdr:cNvPr>
            <xdr:cNvSpPr txBox="1"/>
          </xdr:nvSpPr>
          <xdr:spPr>
            <a:xfrm>
              <a:off x="3331508" y="264380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00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1DF233FF-C7DC-4236-A491-DCE32D1ED798}"/>
                </a:ext>
              </a:extLst>
            </xdr:cNvPr>
            <xdr:cNvSpPr txBox="1"/>
          </xdr:nvSpPr>
          <xdr:spPr>
            <a:xfrm>
              <a:off x="3331508" y="264380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400" b="0" i="0">
                  <a:latin typeface="Cambria Math" panose="02040503050406030204" pitchFamily="18" charset="0"/>
                </a:rPr>
                <a:t>0 ) ̂/√(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400" b="0" i="0">
                  <a:latin typeface="Cambria Math" panose="02040503050406030204" pitchFamily="18" charset="0"/>
                </a:rPr>
                <a:t>2∗𝐶_00 )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1019175</xdr:colOff>
      <xdr:row>162</xdr:row>
      <xdr:rowOff>155200</xdr:rowOff>
    </xdr:from>
    <xdr:ext cx="288477" cy="172227"/>
    <xdr:sp macro="" textlink="">
      <xdr:nvSpPr>
        <xdr:cNvPr id="70" name="CaixaDeTexto 69">
          <a:extLst>
            <a:ext uri="{FF2B5EF4-FFF2-40B4-BE49-F238E27FC236}">
              <a16:creationId xmlns:a16="http://schemas.microsoft.com/office/drawing/2014/main" id="{4FF8AF4D-ACEB-4B11-A77F-EFF6E0C9DFBA}"/>
            </a:ext>
          </a:extLst>
        </xdr:cNvPr>
        <xdr:cNvSpPr txBox="1"/>
      </xdr:nvSpPr>
      <xdr:spPr>
        <a:xfrm>
          <a:off x="6515100" y="268252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2</xdr:col>
      <xdr:colOff>212913</xdr:colOff>
      <xdr:row>178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55CF41A5-719C-4B91-B913-8AF6B9BDC89C}"/>
                </a:ext>
              </a:extLst>
            </xdr:cNvPr>
            <xdr:cNvSpPr txBox="1"/>
          </xdr:nvSpPr>
          <xdr:spPr>
            <a:xfrm>
              <a:off x="1574988" y="293807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55CF41A5-719C-4B91-B913-8AF6B9BDC89C}"/>
                </a:ext>
              </a:extLst>
            </xdr:cNvPr>
            <xdr:cNvSpPr txBox="1"/>
          </xdr:nvSpPr>
          <xdr:spPr>
            <a:xfrm>
              <a:off x="1574988" y="293807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𝐻0:𝐵_1=0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</xdr:col>
      <xdr:colOff>224117</xdr:colOff>
      <xdr:row>180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A791B188-B9B6-4CD6-A6EB-03C2CB33A7DD}"/>
                </a:ext>
              </a:extLst>
            </xdr:cNvPr>
            <xdr:cNvSpPr txBox="1"/>
          </xdr:nvSpPr>
          <xdr:spPr>
            <a:xfrm>
              <a:off x="1586192" y="297269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A791B188-B9B6-4CD6-A6EB-03C2CB33A7DD}"/>
                </a:ext>
              </a:extLst>
            </xdr:cNvPr>
            <xdr:cNvSpPr txBox="1"/>
          </xdr:nvSpPr>
          <xdr:spPr>
            <a:xfrm>
              <a:off x="1586192" y="297269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𝐻1:𝐵_1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</xdr:col>
      <xdr:colOff>448236</xdr:colOff>
      <xdr:row>183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9FAE7D3F-7D5D-4C83-A2C0-543D2B6D7186}"/>
                </a:ext>
              </a:extLst>
            </xdr:cNvPr>
            <xdr:cNvSpPr txBox="1"/>
          </xdr:nvSpPr>
          <xdr:spPr>
            <a:xfrm>
              <a:off x="1810311" y="302239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9FAE7D3F-7D5D-4C83-A2C0-543D2B6D7186}"/>
                </a:ext>
              </a:extLst>
            </xdr:cNvPr>
            <xdr:cNvSpPr txBox="1"/>
          </xdr:nvSpPr>
          <xdr:spPr>
            <a:xfrm>
              <a:off x="1810311" y="302239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4</xdr:col>
      <xdr:colOff>112058</xdr:colOff>
      <xdr:row>178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F52668C5-875A-43A4-AD0D-97EE431ED48D}"/>
                </a:ext>
              </a:extLst>
            </xdr:cNvPr>
            <xdr:cNvSpPr txBox="1"/>
          </xdr:nvSpPr>
          <xdr:spPr>
            <a:xfrm>
              <a:off x="3331508" y="293717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F52668C5-875A-43A4-AD0D-97EE431ED48D}"/>
                </a:ext>
              </a:extLst>
            </xdr:cNvPr>
            <xdr:cNvSpPr txBox="1"/>
          </xdr:nvSpPr>
          <xdr:spPr>
            <a:xfrm>
              <a:off x="3331508" y="293717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𝛽_1 )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2∗𝐶_11 )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1019175</xdr:colOff>
      <xdr:row>180</xdr:row>
      <xdr:rowOff>155200</xdr:rowOff>
    </xdr:from>
    <xdr:ext cx="288477" cy="172227"/>
    <xdr:sp macro="" textlink="">
      <xdr:nvSpPr>
        <xdr:cNvPr id="76" name="CaixaDeTexto 75">
          <a:extLst>
            <a:ext uri="{FF2B5EF4-FFF2-40B4-BE49-F238E27FC236}">
              <a16:creationId xmlns:a16="http://schemas.microsoft.com/office/drawing/2014/main" id="{D5470F79-D47D-4F00-BB0B-BC69B7110885}"/>
            </a:ext>
          </a:extLst>
        </xdr:cNvPr>
        <xdr:cNvSpPr txBox="1"/>
      </xdr:nvSpPr>
      <xdr:spPr>
        <a:xfrm>
          <a:off x="6515100" y="297589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2</xdr:col>
      <xdr:colOff>212913</xdr:colOff>
      <xdr:row>196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BC2CB9F1-FE06-4AFF-AD6D-246829CC56D7}"/>
                </a:ext>
              </a:extLst>
            </xdr:cNvPr>
            <xdr:cNvSpPr txBox="1"/>
          </xdr:nvSpPr>
          <xdr:spPr>
            <a:xfrm>
              <a:off x="1574988" y="323144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BC2CB9F1-FE06-4AFF-AD6D-246829CC56D7}"/>
                </a:ext>
              </a:extLst>
            </xdr:cNvPr>
            <xdr:cNvSpPr txBox="1"/>
          </xdr:nvSpPr>
          <xdr:spPr>
            <a:xfrm>
              <a:off x="1574988" y="323144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𝐻0:𝐵_2=0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</xdr:col>
      <xdr:colOff>224117</xdr:colOff>
      <xdr:row>198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51EE3D7-6050-49D7-BE52-5C461CD35B58}"/>
                </a:ext>
              </a:extLst>
            </xdr:cNvPr>
            <xdr:cNvSpPr txBox="1"/>
          </xdr:nvSpPr>
          <xdr:spPr>
            <a:xfrm>
              <a:off x="1586192" y="326606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51EE3D7-6050-49D7-BE52-5C461CD35B58}"/>
                </a:ext>
              </a:extLst>
            </xdr:cNvPr>
            <xdr:cNvSpPr txBox="1"/>
          </xdr:nvSpPr>
          <xdr:spPr>
            <a:xfrm>
              <a:off x="1586192" y="326606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𝐻1:𝐵_2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</xdr:col>
      <xdr:colOff>448236</xdr:colOff>
      <xdr:row>201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2AF6CBF3-CA1C-4A98-862B-83D5DA3C0715}"/>
                </a:ext>
              </a:extLst>
            </xdr:cNvPr>
            <xdr:cNvSpPr txBox="1"/>
          </xdr:nvSpPr>
          <xdr:spPr>
            <a:xfrm>
              <a:off x="1810311" y="331576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2AF6CBF3-CA1C-4A98-862B-83D5DA3C0715}"/>
                </a:ext>
              </a:extLst>
            </xdr:cNvPr>
            <xdr:cNvSpPr txBox="1"/>
          </xdr:nvSpPr>
          <xdr:spPr>
            <a:xfrm>
              <a:off x="1810311" y="331576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4</xdr:col>
      <xdr:colOff>112058</xdr:colOff>
      <xdr:row>196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225445A7-6C38-48E5-8554-7D3E10624B0A}"/>
                </a:ext>
              </a:extLst>
            </xdr:cNvPr>
            <xdr:cNvSpPr txBox="1"/>
          </xdr:nvSpPr>
          <xdr:spPr>
            <a:xfrm>
              <a:off x="3331508" y="323054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22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225445A7-6C38-48E5-8554-7D3E10624B0A}"/>
                </a:ext>
              </a:extLst>
            </xdr:cNvPr>
            <xdr:cNvSpPr txBox="1"/>
          </xdr:nvSpPr>
          <xdr:spPr>
            <a:xfrm>
              <a:off x="3331508" y="323054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𝛽_2 )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2∗𝐶_22 )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990600</xdr:colOff>
      <xdr:row>199</xdr:row>
      <xdr:rowOff>2800</xdr:rowOff>
    </xdr:from>
    <xdr:ext cx="288477" cy="172227"/>
    <xdr:sp macro="" textlink="">
      <xdr:nvSpPr>
        <xdr:cNvPr id="82" name="CaixaDeTexto 81">
          <a:extLst>
            <a:ext uri="{FF2B5EF4-FFF2-40B4-BE49-F238E27FC236}">
              <a16:creationId xmlns:a16="http://schemas.microsoft.com/office/drawing/2014/main" id="{4C5061EC-06D7-4E3E-BF63-5A1D4A5F98FE}"/>
            </a:ext>
          </a:extLst>
        </xdr:cNvPr>
        <xdr:cNvSpPr txBox="1"/>
      </xdr:nvSpPr>
      <xdr:spPr>
        <a:xfrm>
          <a:off x="6486525" y="327021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2</xdr:col>
      <xdr:colOff>212913</xdr:colOff>
      <xdr:row>214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52A66A3C-00B1-4FB5-8776-266C81A20DA0}"/>
                </a:ext>
              </a:extLst>
            </xdr:cNvPr>
            <xdr:cNvSpPr txBox="1"/>
          </xdr:nvSpPr>
          <xdr:spPr>
            <a:xfrm>
              <a:off x="1574988" y="352481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52A66A3C-00B1-4FB5-8776-266C81A20DA0}"/>
                </a:ext>
              </a:extLst>
            </xdr:cNvPr>
            <xdr:cNvSpPr txBox="1"/>
          </xdr:nvSpPr>
          <xdr:spPr>
            <a:xfrm>
              <a:off x="1574988" y="352481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𝐻0:𝐵_3=0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</xdr:col>
      <xdr:colOff>224117</xdr:colOff>
      <xdr:row>216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60288B7-2EAA-4182-BDE3-373D35571AF2}"/>
                </a:ext>
              </a:extLst>
            </xdr:cNvPr>
            <xdr:cNvSpPr txBox="1"/>
          </xdr:nvSpPr>
          <xdr:spPr>
            <a:xfrm>
              <a:off x="1586192" y="355943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60288B7-2EAA-4182-BDE3-373D35571AF2}"/>
                </a:ext>
              </a:extLst>
            </xdr:cNvPr>
            <xdr:cNvSpPr txBox="1"/>
          </xdr:nvSpPr>
          <xdr:spPr>
            <a:xfrm>
              <a:off x="1586192" y="355943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𝐻1:𝐵_3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2</xdr:col>
      <xdr:colOff>448236</xdr:colOff>
      <xdr:row>219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998C438E-CA70-4D2F-9941-902BB7B00089}"/>
                </a:ext>
              </a:extLst>
            </xdr:cNvPr>
            <xdr:cNvSpPr txBox="1"/>
          </xdr:nvSpPr>
          <xdr:spPr>
            <a:xfrm>
              <a:off x="1810311" y="360913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998C438E-CA70-4D2F-9941-902BB7B00089}"/>
                </a:ext>
              </a:extLst>
            </xdr:cNvPr>
            <xdr:cNvSpPr txBox="1"/>
          </xdr:nvSpPr>
          <xdr:spPr>
            <a:xfrm>
              <a:off x="1810311" y="360913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4</xdr:col>
      <xdr:colOff>112058</xdr:colOff>
      <xdr:row>214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EA6F4611-27AC-4946-821F-74C49E683129}"/>
                </a:ext>
              </a:extLst>
            </xdr:cNvPr>
            <xdr:cNvSpPr txBox="1"/>
          </xdr:nvSpPr>
          <xdr:spPr>
            <a:xfrm>
              <a:off x="3331508" y="352391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33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EA6F4611-27AC-4946-821F-74C49E683129}"/>
                </a:ext>
              </a:extLst>
            </xdr:cNvPr>
            <xdr:cNvSpPr txBox="1"/>
          </xdr:nvSpPr>
          <xdr:spPr>
            <a:xfrm>
              <a:off x="3331508" y="352391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𝛽_3 )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2∗𝐶_33 )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1000125</xdr:colOff>
      <xdr:row>217</xdr:row>
      <xdr:rowOff>12325</xdr:rowOff>
    </xdr:from>
    <xdr:ext cx="288477" cy="172227"/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A1F6B3B7-82EE-46D3-B77B-2FFAD7EF9DF4}"/>
            </a:ext>
          </a:extLst>
        </xdr:cNvPr>
        <xdr:cNvSpPr txBox="1"/>
      </xdr:nvSpPr>
      <xdr:spPr>
        <a:xfrm>
          <a:off x="6496050" y="356453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twoCellAnchor editAs="oneCell">
    <xdr:from>
      <xdr:col>24</xdr:col>
      <xdr:colOff>132573</xdr:colOff>
      <xdr:row>134</xdr:row>
      <xdr:rowOff>31338</xdr:rowOff>
    </xdr:from>
    <xdr:to>
      <xdr:col>33</xdr:col>
      <xdr:colOff>305947</xdr:colOff>
      <xdr:row>137</xdr:row>
      <xdr:rowOff>65586</xdr:rowOff>
    </xdr:to>
    <xdr:pic>
      <xdr:nvPicPr>
        <xdr:cNvPr id="90" name="Imagem 89">
          <a:extLst>
            <a:ext uri="{FF2B5EF4-FFF2-40B4-BE49-F238E27FC236}">
              <a16:creationId xmlns:a16="http://schemas.microsoft.com/office/drawing/2014/main" id="{DBAF2951-C127-4E68-867E-8F92694B7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48973" y="22053138"/>
          <a:ext cx="5783599" cy="520023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246530</xdr:colOff>
      <xdr:row>144</xdr:row>
      <xdr:rowOff>98193</xdr:rowOff>
    </xdr:from>
    <xdr:to>
      <xdr:col>36</xdr:col>
      <xdr:colOff>5175</xdr:colOff>
      <xdr:row>147</xdr:row>
      <xdr:rowOff>52522</xdr:rowOff>
    </xdr:to>
    <xdr:pic>
      <xdr:nvPicPr>
        <xdr:cNvPr id="91" name="Imagem 90">
          <a:extLst>
            <a:ext uri="{FF2B5EF4-FFF2-40B4-BE49-F238E27FC236}">
              <a16:creationId xmlns:a16="http://schemas.microsoft.com/office/drawing/2014/main" id="{630643CE-0DB3-446F-9A94-C696199A8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05955" y="23777343"/>
          <a:ext cx="5854645" cy="459154"/>
        </a:xfrm>
        <a:prstGeom prst="rect">
          <a:avLst/>
        </a:prstGeom>
      </xdr:spPr>
    </xdr:pic>
    <xdr:clientData/>
  </xdr:twoCellAnchor>
  <xdr:twoCellAnchor editAs="oneCell">
    <xdr:from>
      <xdr:col>28</xdr:col>
      <xdr:colOff>389388</xdr:colOff>
      <xdr:row>159</xdr:row>
      <xdr:rowOff>119831</xdr:rowOff>
    </xdr:from>
    <xdr:to>
      <xdr:col>37</xdr:col>
      <xdr:colOff>372099</xdr:colOff>
      <xdr:row>175</xdr:row>
      <xdr:rowOff>66906</xdr:rowOff>
    </xdr:to>
    <xdr:pic>
      <xdr:nvPicPr>
        <xdr:cNvPr id="92" name="Imagem 91">
          <a:extLst>
            <a:ext uri="{FF2B5EF4-FFF2-40B4-BE49-F238E27FC236}">
              <a16:creationId xmlns:a16="http://schemas.microsoft.com/office/drawing/2014/main" id="{9D990C37-121A-428F-807F-5F9752E61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922162" y="25524180"/>
          <a:ext cx="5501992" cy="2465329"/>
        </a:xfrm>
        <a:prstGeom prst="rect">
          <a:avLst/>
        </a:prstGeom>
      </xdr:spPr>
    </xdr:pic>
    <xdr:clientData/>
  </xdr:twoCellAnchor>
  <xdr:oneCellAnchor>
    <xdr:from>
      <xdr:col>14</xdr:col>
      <xdr:colOff>212913</xdr:colOff>
      <xdr:row>160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EAF1066E-2AB5-48E2-921D-F5F60EDF5B17}"/>
                </a:ext>
              </a:extLst>
            </xdr:cNvPr>
            <xdr:cNvSpPr txBox="1"/>
          </xdr:nvSpPr>
          <xdr:spPr>
            <a:xfrm>
              <a:off x="10909488" y="264470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EAF1066E-2AB5-48E2-921D-F5F60EDF5B17}"/>
                </a:ext>
              </a:extLst>
            </xdr:cNvPr>
            <xdr:cNvSpPr txBox="1"/>
          </xdr:nvSpPr>
          <xdr:spPr>
            <a:xfrm>
              <a:off x="10909488" y="264470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𝐻0:𝐵_0=0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224117</xdr:colOff>
      <xdr:row>162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B7133DAB-A159-4FF1-8EC2-62AD83E75F43}"/>
                </a:ext>
              </a:extLst>
            </xdr:cNvPr>
            <xdr:cNvSpPr txBox="1"/>
          </xdr:nvSpPr>
          <xdr:spPr>
            <a:xfrm>
              <a:off x="10920692" y="26793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B7133DAB-A159-4FF1-8EC2-62AD83E75F43}"/>
                </a:ext>
              </a:extLst>
            </xdr:cNvPr>
            <xdr:cNvSpPr txBox="1"/>
          </xdr:nvSpPr>
          <xdr:spPr>
            <a:xfrm>
              <a:off x="10920692" y="267932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𝐻1:𝐵_0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448236</xdr:colOff>
      <xdr:row>165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7AF116CB-107C-4D33-BB3C-0981CDD9B11B}"/>
                </a:ext>
              </a:extLst>
            </xdr:cNvPr>
            <xdr:cNvSpPr txBox="1"/>
          </xdr:nvSpPr>
          <xdr:spPr>
            <a:xfrm>
              <a:off x="11144811" y="272902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7AF116CB-107C-4D33-BB3C-0981CDD9B11B}"/>
                </a:ext>
              </a:extLst>
            </xdr:cNvPr>
            <xdr:cNvSpPr txBox="1"/>
          </xdr:nvSpPr>
          <xdr:spPr>
            <a:xfrm>
              <a:off x="11144811" y="272902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112058</xdr:colOff>
      <xdr:row>160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3641FBAC-BBAC-41DB-BC8A-C0FE748F3885}"/>
                </a:ext>
              </a:extLst>
            </xdr:cNvPr>
            <xdr:cNvSpPr txBox="1"/>
          </xdr:nvSpPr>
          <xdr:spPr>
            <a:xfrm>
              <a:off x="12151658" y="264380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00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3641FBAC-BBAC-41DB-BC8A-C0FE748F3885}"/>
                </a:ext>
              </a:extLst>
            </xdr:cNvPr>
            <xdr:cNvSpPr txBox="1"/>
          </xdr:nvSpPr>
          <xdr:spPr>
            <a:xfrm>
              <a:off x="12151658" y="264380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t-PT" sz="1400" b="0" i="0">
                  <a:latin typeface="Cambria Math" panose="02040503050406030204" pitchFamily="18" charset="0"/>
                </a:rPr>
                <a:t>0 ) ̂/√(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400" b="0" i="0">
                  <a:latin typeface="Cambria Math" panose="02040503050406030204" pitchFamily="18" charset="0"/>
                </a:rPr>
                <a:t>2∗𝐶_00 )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342900</xdr:colOff>
      <xdr:row>163</xdr:row>
      <xdr:rowOff>2800</xdr:rowOff>
    </xdr:from>
    <xdr:ext cx="288477" cy="172227"/>
    <xdr:sp macro="" textlink="">
      <xdr:nvSpPr>
        <xdr:cNvPr id="97" name="CaixaDeTexto 96">
          <a:extLst>
            <a:ext uri="{FF2B5EF4-FFF2-40B4-BE49-F238E27FC236}">
              <a16:creationId xmlns:a16="http://schemas.microsoft.com/office/drawing/2014/main" id="{106D406F-720A-4D68-A26F-17FE161F7AEC}"/>
            </a:ext>
          </a:extLst>
        </xdr:cNvPr>
        <xdr:cNvSpPr txBox="1"/>
      </xdr:nvSpPr>
      <xdr:spPr>
        <a:xfrm>
          <a:off x="14211300" y="268347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14</xdr:col>
      <xdr:colOff>212913</xdr:colOff>
      <xdr:row>178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269458BF-F3A6-403A-BD56-86B54203BBFA}"/>
                </a:ext>
              </a:extLst>
            </xdr:cNvPr>
            <xdr:cNvSpPr txBox="1"/>
          </xdr:nvSpPr>
          <xdr:spPr>
            <a:xfrm>
              <a:off x="10909488" y="293807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269458BF-F3A6-403A-BD56-86B54203BBFA}"/>
                </a:ext>
              </a:extLst>
            </xdr:cNvPr>
            <xdr:cNvSpPr txBox="1"/>
          </xdr:nvSpPr>
          <xdr:spPr>
            <a:xfrm>
              <a:off x="10909488" y="293807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𝐻0:𝐵_1=0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224117</xdr:colOff>
      <xdr:row>180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16720599-7AEE-433A-ABC9-2CB9C7FE4867}"/>
                </a:ext>
              </a:extLst>
            </xdr:cNvPr>
            <xdr:cNvSpPr txBox="1"/>
          </xdr:nvSpPr>
          <xdr:spPr>
            <a:xfrm>
              <a:off x="10920692" y="297269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16720599-7AEE-433A-ABC9-2CB9C7FE4867}"/>
                </a:ext>
              </a:extLst>
            </xdr:cNvPr>
            <xdr:cNvSpPr txBox="1"/>
          </xdr:nvSpPr>
          <xdr:spPr>
            <a:xfrm>
              <a:off x="10920692" y="297269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𝐻1:𝐵_1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448236</xdr:colOff>
      <xdr:row>183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AEC7D5B3-D1BF-4279-85BB-31A3F754364E}"/>
                </a:ext>
              </a:extLst>
            </xdr:cNvPr>
            <xdr:cNvSpPr txBox="1"/>
          </xdr:nvSpPr>
          <xdr:spPr>
            <a:xfrm>
              <a:off x="11144811" y="302239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AEC7D5B3-D1BF-4279-85BB-31A3F754364E}"/>
                </a:ext>
              </a:extLst>
            </xdr:cNvPr>
            <xdr:cNvSpPr txBox="1"/>
          </xdr:nvSpPr>
          <xdr:spPr>
            <a:xfrm>
              <a:off x="11144811" y="302239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112058</xdr:colOff>
      <xdr:row>178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FB7EDC3C-B036-4036-873A-1D74C7538C94}"/>
                </a:ext>
              </a:extLst>
            </xdr:cNvPr>
            <xdr:cNvSpPr txBox="1"/>
          </xdr:nvSpPr>
          <xdr:spPr>
            <a:xfrm>
              <a:off x="12151658" y="293717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FB7EDC3C-B036-4036-873A-1D74C7538C94}"/>
                </a:ext>
              </a:extLst>
            </xdr:cNvPr>
            <xdr:cNvSpPr txBox="1"/>
          </xdr:nvSpPr>
          <xdr:spPr>
            <a:xfrm>
              <a:off x="12151658" y="293717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𝛽_1 )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2∗𝐶_11 )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285750</xdr:colOff>
      <xdr:row>180</xdr:row>
      <xdr:rowOff>155200</xdr:rowOff>
    </xdr:from>
    <xdr:ext cx="288477" cy="172227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28CBF6F0-9B16-4148-828E-7DAF252C5B15}"/>
            </a:ext>
          </a:extLst>
        </xdr:cNvPr>
        <xdr:cNvSpPr txBox="1"/>
      </xdr:nvSpPr>
      <xdr:spPr>
        <a:xfrm>
          <a:off x="14154150" y="2975890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14</xdr:col>
      <xdr:colOff>212913</xdr:colOff>
      <xdr:row>196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930D3178-0845-43CA-A20C-CF75F93F361F}"/>
                </a:ext>
              </a:extLst>
            </xdr:cNvPr>
            <xdr:cNvSpPr txBox="1"/>
          </xdr:nvSpPr>
          <xdr:spPr>
            <a:xfrm>
              <a:off x="10909488" y="323144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930D3178-0845-43CA-A20C-CF75F93F361F}"/>
                </a:ext>
              </a:extLst>
            </xdr:cNvPr>
            <xdr:cNvSpPr txBox="1"/>
          </xdr:nvSpPr>
          <xdr:spPr>
            <a:xfrm>
              <a:off x="10909488" y="323144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𝐻0:𝐵_2=0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224117</xdr:colOff>
      <xdr:row>198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5B3C2EFE-6812-489E-8173-F179A79D8A4C}"/>
                </a:ext>
              </a:extLst>
            </xdr:cNvPr>
            <xdr:cNvSpPr txBox="1"/>
          </xdr:nvSpPr>
          <xdr:spPr>
            <a:xfrm>
              <a:off x="10920692" y="326606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5B3C2EFE-6812-489E-8173-F179A79D8A4C}"/>
                </a:ext>
              </a:extLst>
            </xdr:cNvPr>
            <xdr:cNvSpPr txBox="1"/>
          </xdr:nvSpPr>
          <xdr:spPr>
            <a:xfrm>
              <a:off x="10920692" y="326606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𝐻1:𝐵_2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448236</xdr:colOff>
      <xdr:row>201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86C780C2-F480-4713-9751-6611E3275898}"/>
                </a:ext>
              </a:extLst>
            </xdr:cNvPr>
            <xdr:cNvSpPr txBox="1"/>
          </xdr:nvSpPr>
          <xdr:spPr>
            <a:xfrm>
              <a:off x="11144811" y="331576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86C780C2-F480-4713-9751-6611E3275898}"/>
                </a:ext>
              </a:extLst>
            </xdr:cNvPr>
            <xdr:cNvSpPr txBox="1"/>
          </xdr:nvSpPr>
          <xdr:spPr>
            <a:xfrm>
              <a:off x="11144811" y="331576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112058</xdr:colOff>
      <xdr:row>196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49C6CC12-E595-44F9-8DE9-BB7A1C2C63D4}"/>
                </a:ext>
              </a:extLst>
            </xdr:cNvPr>
            <xdr:cNvSpPr txBox="1"/>
          </xdr:nvSpPr>
          <xdr:spPr>
            <a:xfrm>
              <a:off x="12151658" y="323054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22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49C6CC12-E595-44F9-8DE9-BB7A1C2C63D4}"/>
                </a:ext>
              </a:extLst>
            </xdr:cNvPr>
            <xdr:cNvSpPr txBox="1"/>
          </xdr:nvSpPr>
          <xdr:spPr>
            <a:xfrm>
              <a:off x="12151658" y="323054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𝛽_2 )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2∗𝐶_22 )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314325</xdr:colOff>
      <xdr:row>199</xdr:row>
      <xdr:rowOff>2800</xdr:rowOff>
    </xdr:from>
    <xdr:ext cx="288477" cy="172227"/>
    <xdr:sp macro="" textlink="">
      <xdr:nvSpPr>
        <xdr:cNvPr id="109" name="CaixaDeTexto 108">
          <a:extLst>
            <a:ext uri="{FF2B5EF4-FFF2-40B4-BE49-F238E27FC236}">
              <a16:creationId xmlns:a16="http://schemas.microsoft.com/office/drawing/2014/main" id="{BDDD9F70-605C-402A-80D1-F1CAF3AD2C7A}"/>
            </a:ext>
          </a:extLst>
        </xdr:cNvPr>
        <xdr:cNvSpPr txBox="1"/>
      </xdr:nvSpPr>
      <xdr:spPr>
        <a:xfrm>
          <a:off x="14182725" y="327021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14</xdr:col>
      <xdr:colOff>212913</xdr:colOff>
      <xdr:row>214</xdr:row>
      <xdr:rowOff>100854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10029E4-1B86-441B-A83B-2AD3D1D61A55}"/>
                </a:ext>
              </a:extLst>
            </xdr:cNvPr>
            <xdr:cNvSpPr txBox="1"/>
          </xdr:nvSpPr>
          <xdr:spPr>
            <a:xfrm>
              <a:off x="10909488" y="352481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10029E4-1B86-441B-A83B-2AD3D1D61A55}"/>
                </a:ext>
              </a:extLst>
            </xdr:cNvPr>
            <xdr:cNvSpPr txBox="1"/>
          </xdr:nvSpPr>
          <xdr:spPr>
            <a:xfrm>
              <a:off x="10909488" y="3524810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𝐻0:𝐵_3=0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224117</xdr:colOff>
      <xdr:row>216</xdr:row>
      <xdr:rowOff>123264</xdr:rowOff>
    </xdr:from>
    <xdr:ext cx="1176618" cy="3025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70F4CF23-F9FE-476E-93AF-9CDA0BF3867C}"/>
                </a:ext>
              </a:extLst>
            </xdr:cNvPr>
            <xdr:cNvSpPr txBox="1"/>
          </xdr:nvSpPr>
          <xdr:spPr>
            <a:xfrm>
              <a:off x="10920692" y="355943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1:</m:t>
                    </m:r>
                    <m:sSub>
                      <m:sSub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pt-PT" sz="16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t-PT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70F4CF23-F9FE-476E-93AF-9CDA0BF3867C}"/>
                </a:ext>
              </a:extLst>
            </xdr:cNvPr>
            <xdr:cNvSpPr txBox="1"/>
          </xdr:nvSpPr>
          <xdr:spPr>
            <a:xfrm>
              <a:off x="10920692" y="35594364"/>
              <a:ext cx="1176618" cy="3025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𝐻1:𝐵_3</a:t>
              </a:r>
              <a:r>
                <a:rPr lang="pt-PT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pt-PT" sz="1600" b="0" i="0">
                  <a:latin typeface="Cambria Math" panose="02040503050406030204" pitchFamily="18" charset="0"/>
                </a:rPr>
                <a:t>0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448236</xdr:colOff>
      <xdr:row>219</xdr:row>
      <xdr:rowOff>134470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F7228DAE-436C-427D-9314-82BA68FB0248}"/>
                </a:ext>
              </a:extLst>
            </xdr:cNvPr>
            <xdr:cNvSpPr txBox="1"/>
          </xdr:nvSpPr>
          <xdr:spPr>
            <a:xfrm>
              <a:off x="11144811" y="360913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F7228DAE-436C-427D-9314-82BA68FB0248}"/>
                </a:ext>
              </a:extLst>
            </xdr:cNvPr>
            <xdr:cNvSpPr txBox="1"/>
          </xdr:nvSpPr>
          <xdr:spPr>
            <a:xfrm>
              <a:off x="11144811" y="36091345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16</xdr:col>
      <xdr:colOff>112058</xdr:colOff>
      <xdr:row>214</xdr:row>
      <xdr:rowOff>91889</xdr:rowOff>
    </xdr:from>
    <xdr:ext cx="1361393" cy="5347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6DB92A7C-1075-4F76-B8F3-2557B2AA9B37}"/>
                </a:ext>
              </a:extLst>
            </xdr:cNvPr>
            <xdr:cNvSpPr txBox="1"/>
          </xdr:nvSpPr>
          <xdr:spPr>
            <a:xfrm>
              <a:off x="12151658" y="352391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sSub>
                              <m:sSub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33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6DB92A7C-1075-4F76-B8F3-2557B2AA9B37}"/>
                </a:ext>
              </a:extLst>
            </xdr:cNvPr>
            <xdr:cNvSpPr txBox="1"/>
          </xdr:nvSpPr>
          <xdr:spPr>
            <a:xfrm>
              <a:off x="12151658" y="35239139"/>
              <a:ext cx="1361393" cy="5347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𝑇_0=(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𝛽_3 ) ̂/√(𝜎^</a:t>
              </a:r>
              <a:r>
                <a:rPr lang="pt-PT" sz="1400" b="0" i="0">
                  <a:latin typeface="Cambria Math" panose="02040503050406030204" pitchFamily="18" charset="0"/>
                </a:rPr>
                <a:t>2∗𝐶_33 )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304800</xdr:colOff>
      <xdr:row>217</xdr:row>
      <xdr:rowOff>2800</xdr:rowOff>
    </xdr:from>
    <xdr:ext cx="288477" cy="172227"/>
    <xdr:sp macro="" textlink="">
      <xdr:nvSpPr>
        <xdr:cNvPr id="115" name="CaixaDeTexto 114">
          <a:extLst>
            <a:ext uri="{FF2B5EF4-FFF2-40B4-BE49-F238E27FC236}">
              <a16:creationId xmlns:a16="http://schemas.microsoft.com/office/drawing/2014/main" id="{17AD777B-1AA3-4B15-9A1D-F58510A11D28}"/>
            </a:ext>
          </a:extLst>
        </xdr:cNvPr>
        <xdr:cNvSpPr txBox="1"/>
      </xdr:nvSpPr>
      <xdr:spPr>
        <a:xfrm>
          <a:off x="14173200" y="356358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15</xdr:col>
      <xdr:colOff>317127</xdr:colOff>
      <xdr:row>96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08AB3F22-75AF-4A54-85F7-C431C61F5EFF}"/>
                </a:ext>
              </a:extLst>
            </xdr:cNvPr>
            <xdr:cNvSpPr txBox="1"/>
          </xdr:nvSpPr>
          <xdr:spPr>
            <a:xfrm>
              <a:off x="11747127" y="157946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08AB3F22-75AF-4A54-85F7-C431C61F5EFF}"/>
                </a:ext>
              </a:extLst>
            </xdr:cNvPr>
            <xdr:cNvSpPr txBox="1"/>
          </xdr:nvSpPr>
          <xdr:spPr>
            <a:xfrm>
              <a:off x="11747127" y="157946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251572</xdr:colOff>
      <xdr:row>97</xdr:row>
      <xdr:rowOff>136150</xdr:rowOff>
    </xdr:from>
    <xdr:ext cx="288477" cy="172227"/>
    <xdr:sp macro="" textlink="">
      <xdr:nvSpPr>
        <xdr:cNvPr id="119" name="CaixaDeTexto 118">
          <a:extLst>
            <a:ext uri="{FF2B5EF4-FFF2-40B4-BE49-F238E27FC236}">
              <a16:creationId xmlns:a16="http://schemas.microsoft.com/office/drawing/2014/main" id="{8DA18F61-DB99-49EB-B4CE-F35BECB89A8A}"/>
            </a:ext>
          </a:extLst>
        </xdr:cNvPr>
        <xdr:cNvSpPr txBox="1"/>
      </xdr:nvSpPr>
      <xdr:spPr>
        <a:xfrm>
          <a:off x="11681572" y="160905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C00=</a:t>
          </a:r>
        </a:p>
      </xdr:txBody>
    </xdr:sp>
    <xdr:clientData/>
  </xdr:oneCellAnchor>
  <xdr:oneCellAnchor>
    <xdr:from>
      <xdr:col>15</xdr:col>
      <xdr:colOff>355227</xdr:colOff>
      <xdr:row>106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9F02F8A4-BDD2-45F7-9179-3CF9E38DE709}"/>
                </a:ext>
              </a:extLst>
            </xdr:cNvPr>
            <xdr:cNvSpPr txBox="1"/>
          </xdr:nvSpPr>
          <xdr:spPr>
            <a:xfrm>
              <a:off x="11785227" y="174329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9F02F8A4-BDD2-45F7-9179-3CF9E38DE709}"/>
                </a:ext>
              </a:extLst>
            </xdr:cNvPr>
            <xdr:cNvSpPr txBox="1"/>
          </xdr:nvSpPr>
          <xdr:spPr>
            <a:xfrm>
              <a:off x="11785227" y="174329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289672</xdr:colOff>
      <xdr:row>107</xdr:row>
      <xdr:rowOff>145675</xdr:rowOff>
    </xdr:from>
    <xdr:ext cx="288477" cy="172227"/>
    <xdr:sp macro="" textlink="">
      <xdr:nvSpPr>
        <xdr:cNvPr id="122" name="CaixaDeTexto 121">
          <a:extLst>
            <a:ext uri="{FF2B5EF4-FFF2-40B4-BE49-F238E27FC236}">
              <a16:creationId xmlns:a16="http://schemas.microsoft.com/office/drawing/2014/main" id="{6A046F47-0BB5-40BA-8CA6-87DCCAD74B06}"/>
            </a:ext>
          </a:extLst>
        </xdr:cNvPr>
        <xdr:cNvSpPr txBox="1"/>
      </xdr:nvSpPr>
      <xdr:spPr>
        <a:xfrm>
          <a:off x="11719672" y="17738350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C11=</a:t>
          </a:r>
        </a:p>
      </xdr:txBody>
    </xdr:sp>
    <xdr:clientData/>
  </xdr:oneCellAnchor>
  <xdr:oneCellAnchor>
    <xdr:from>
      <xdr:col>15</xdr:col>
      <xdr:colOff>345702</xdr:colOff>
      <xdr:row>116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BEF1B599-3C16-405B-B442-59E0289AD1D4}"/>
                </a:ext>
              </a:extLst>
            </xdr:cNvPr>
            <xdr:cNvSpPr txBox="1"/>
          </xdr:nvSpPr>
          <xdr:spPr>
            <a:xfrm>
              <a:off x="11775702" y="190712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BEF1B599-3C16-405B-B442-59E0289AD1D4}"/>
                </a:ext>
              </a:extLst>
            </xdr:cNvPr>
            <xdr:cNvSpPr txBox="1"/>
          </xdr:nvSpPr>
          <xdr:spPr>
            <a:xfrm>
              <a:off x="11775702" y="190712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251572</xdr:colOff>
      <xdr:row>117</xdr:row>
      <xdr:rowOff>136150</xdr:rowOff>
    </xdr:from>
    <xdr:ext cx="288477" cy="172227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C342BBD0-3FCA-42A1-948A-1BD9519C1776}"/>
            </a:ext>
          </a:extLst>
        </xdr:cNvPr>
        <xdr:cNvSpPr txBox="1"/>
      </xdr:nvSpPr>
      <xdr:spPr>
        <a:xfrm>
          <a:off x="11681572" y="19367125"/>
          <a:ext cx="2884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100"/>
            <a:t>C22=</a:t>
          </a:r>
        </a:p>
      </xdr:txBody>
    </xdr:sp>
    <xdr:clientData/>
  </xdr:oneCellAnchor>
  <xdr:oneCellAnchor>
    <xdr:from>
      <xdr:col>15</xdr:col>
      <xdr:colOff>307602</xdr:colOff>
      <xdr:row>126</xdr:row>
      <xdr:rowOff>2241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97FE41BB-9C27-4FA1-98E0-B8124E7046CB}"/>
                </a:ext>
              </a:extLst>
            </xdr:cNvPr>
            <xdr:cNvSpPr txBox="1"/>
          </xdr:nvSpPr>
          <xdr:spPr>
            <a:xfrm>
              <a:off x="11737602" y="207095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97FE41BB-9C27-4FA1-98E0-B8124E7046CB}"/>
                </a:ext>
              </a:extLst>
            </xdr:cNvPr>
            <xdr:cNvSpPr txBox="1"/>
          </xdr:nvSpPr>
          <xdr:spPr>
            <a:xfrm>
              <a:off x="11737602" y="2070959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15</xdr:col>
      <xdr:colOff>261097</xdr:colOff>
      <xdr:row>127</xdr:row>
      <xdr:rowOff>145675</xdr:rowOff>
    </xdr:from>
    <xdr:ext cx="288477" cy="197225"/>
    <xdr:sp macro="" textlink="">
      <xdr:nvSpPr>
        <xdr:cNvPr id="128" name="CaixaDeTexto 127">
          <a:extLst>
            <a:ext uri="{FF2B5EF4-FFF2-40B4-BE49-F238E27FC236}">
              <a16:creationId xmlns:a16="http://schemas.microsoft.com/office/drawing/2014/main" id="{783BCB45-F2C8-47A6-A3EC-5676408E535F}"/>
            </a:ext>
          </a:extLst>
        </xdr:cNvPr>
        <xdr:cNvSpPr txBox="1"/>
      </xdr:nvSpPr>
      <xdr:spPr>
        <a:xfrm>
          <a:off x="11691097" y="21014950"/>
          <a:ext cx="288477" cy="197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r>
            <a:rPr lang="pt-PT" sz="1100"/>
            <a:t>C33=</a:t>
          </a:r>
        </a:p>
      </xdr:txBody>
    </xdr:sp>
    <xdr:clientData/>
  </xdr:oneCellAnchor>
  <xdr:oneCellAnchor>
    <xdr:from>
      <xdr:col>15</xdr:col>
      <xdr:colOff>534521</xdr:colOff>
      <xdr:row>135</xdr:row>
      <xdr:rowOff>125506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3B7F4E8-3A8B-45E0-9056-360358F55A50}"/>
                </a:ext>
              </a:extLst>
            </xdr:cNvPr>
            <xdr:cNvSpPr txBox="1"/>
          </xdr:nvSpPr>
          <xdr:spPr>
            <a:xfrm>
              <a:off x="11964521" y="223092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3B7F4E8-3A8B-45E0-9056-360358F55A50}"/>
                </a:ext>
              </a:extLst>
            </xdr:cNvPr>
            <xdr:cNvSpPr txBox="1"/>
          </xdr:nvSpPr>
          <xdr:spPr>
            <a:xfrm>
              <a:off x="11964521" y="223092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310402</xdr:colOff>
      <xdr:row>138</xdr:row>
      <xdr:rowOff>10644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1D58DD02-ADAE-4F74-BAD7-25A7D437EC64}"/>
                </a:ext>
              </a:extLst>
            </xdr:cNvPr>
            <xdr:cNvSpPr txBox="1"/>
          </xdr:nvSpPr>
          <xdr:spPr>
            <a:xfrm>
              <a:off x="11006977" y="226801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1D58DD02-ADAE-4F74-BAD7-25A7D437EC64}"/>
                </a:ext>
              </a:extLst>
            </xdr:cNvPr>
            <xdr:cNvSpPr txBox="1"/>
          </xdr:nvSpPr>
          <xdr:spPr>
            <a:xfrm>
              <a:off x="11006977" y="226801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266139</xdr:colOff>
      <xdr:row>142</xdr:row>
      <xdr:rowOff>10646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9645DCF7-FD8A-438F-9B83-2A7A2AB9218E}"/>
                </a:ext>
              </a:extLst>
            </xdr:cNvPr>
            <xdr:cNvSpPr txBox="1"/>
          </xdr:nvSpPr>
          <xdr:spPr>
            <a:xfrm>
              <a:off x="10962714" y="2332784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9645DCF7-FD8A-438F-9B83-2A7A2AB9218E}"/>
                </a:ext>
              </a:extLst>
            </xdr:cNvPr>
            <xdr:cNvSpPr txBox="1"/>
          </xdr:nvSpPr>
          <xdr:spPr>
            <a:xfrm>
              <a:off x="10962714" y="23327846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378199</xdr:colOff>
      <xdr:row>132</xdr:row>
      <xdr:rowOff>22411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9A6CEE9-85CA-4906-A9CD-D1201FEA21EB}"/>
                </a:ext>
              </a:extLst>
            </xdr:cNvPr>
            <xdr:cNvSpPr txBox="1"/>
          </xdr:nvSpPr>
          <xdr:spPr>
            <a:xfrm>
              <a:off x="14856199" y="2172036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9A6CEE9-85CA-4906-A9CD-D1201FEA21EB}"/>
                </a:ext>
              </a:extLst>
            </xdr:cNvPr>
            <xdr:cNvSpPr txBox="1"/>
          </xdr:nvSpPr>
          <xdr:spPr>
            <a:xfrm>
              <a:off x="14856199" y="2172036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428625</xdr:colOff>
      <xdr:row>140</xdr:row>
      <xdr:rowOff>9525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2C082F31-AF1A-4D42-9D7C-8B024E5BF89E}"/>
                </a:ext>
              </a:extLst>
            </xdr:cNvPr>
            <xdr:cNvSpPr txBox="1"/>
          </xdr:nvSpPr>
          <xdr:spPr>
            <a:xfrm>
              <a:off x="11125200" y="2300287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2C082F31-AF1A-4D42-9D7C-8B024E5BF89E}"/>
                </a:ext>
              </a:extLst>
            </xdr:cNvPr>
            <xdr:cNvSpPr txBox="1"/>
          </xdr:nvSpPr>
          <xdr:spPr>
            <a:xfrm>
              <a:off x="11125200" y="2300287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21</xdr:col>
      <xdr:colOff>459440</xdr:colOff>
      <xdr:row>135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4A1C412-8347-4C0C-A9FB-B540C5CA864B}"/>
                </a:ext>
              </a:extLst>
            </xdr:cNvPr>
            <xdr:cNvSpPr txBox="1"/>
          </xdr:nvSpPr>
          <xdr:spPr>
            <a:xfrm>
              <a:off x="15547040" y="223069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4A1C412-8347-4C0C-A9FB-B540C5CA864B}"/>
                </a:ext>
              </a:extLst>
            </xdr:cNvPr>
            <xdr:cNvSpPr txBox="1"/>
          </xdr:nvSpPr>
          <xdr:spPr>
            <a:xfrm>
              <a:off x="15547040" y="223069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15</xdr:col>
      <xdr:colOff>534521</xdr:colOff>
      <xdr:row>149</xdr:row>
      <xdr:rowOff>125506</xdr:rowOff>
    </xdr:from>
    <xdr:ext cx="339539" cy="1770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BA1DB353-E1A7-4101-AC03-69943F601434}"/>
                </a:ext>
              </a:extLst>
            </xdr:cNvPr>
            <xdr:cNvSpPr txBox="1"/>
          </xdr:nvSpPr>
          <xdr:spPr>
            <a:xfrm>
              <a:off x="11964521" y="246333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BA1DB353-E1A7-4101-AC03-69943F601434}"/>
                </a:ext>
              </a:extLst>
            </xdr:cNvPr>
            <xdr:cNvSpPr txBox="1"/>
          </xdr:nvSpPr>
          <xdr:spPr>
            <a:xfrm>
              <a:off x="11964521" y="24633331"/>
              <a:ext cx="339539" cy="1770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𝑥_0^𝑇=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196102</xdr:colOff>
      <xdr:row>152</xdr:row>
      <xdr:rowOff>10644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842C0AC5-B5F3-4079-8861-4E94E9A9A7F5}"/>
                </a:ext>
              </a:extLst>
            </xdr:cNvPr>
            <xdr:cNvSpPr txBox="1"/>
          </xdr:nvSpPr>
          <xdr:spPr>
            <a:xfrm>
              <a:off x="10892677" y="250042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acc>
                          <m:accPr>
                            <m:chr m:val="̂"/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</m:acc>
                        <m:sSub>
                          <m:sSub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∗</m:t>
                    </m:r>
                    <m:acc>
                      <m:accPr>
                        <m:chr m:val="̂"/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842C0AC5-B5F3-4079-8861-4E94E9A9A7F5}"/>
                </a:ext>
              </a:extLst>
            </xdr:cNvPr>
            <xdr:cNvSpPr txBox="1"/>
          </xdr:nvSpPr>
          <xdr:spPr>
            <a:xfrm>
              <a:off x="10892677" y="25004244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〖</a:t>
              </a:r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 ̂</a:t>
              </a:r>
              <a:r>
                <a:rPr lang="pt-PT" sz="1100" b="0" i="0">
                  <a:latin typeface="Cambria Math" panose="02040503050406030204" pitchFamily="18" charset="0"/>
                </a:rPr>
                <a:t>𝑌_0=𝑥〗_0^𝑇∗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pt-PT" sz="1100" b="0" i="0">
                  <a:latin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17369</xdr:colOff>
      <xdr:row>156</xdr:row>
      <xdr:rowOff>30256</xdr:rowOff>
    </xdr:from>
    <xdr:ext cx="1389529" cy="235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6AA22708-2F13-475A-AADA-45301BD686C9}"/>
                </a:ext>
              </a:extLst>
            </xdr:cNvPr>
            <xdr:cNvSpPr txBox="1"/>
          </xdr:nvSpPr>
          <xdr:spPr>
            <a:xfrm>
              <a:off x="10713944" y="25671556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100" b="0" i="1">
                        <a:latin typeface="Cambria Math" panose="02040503050406030204" pitchFamily="18" charset="0"/>
                      </a:rPr>
                      <m:t>∗(1+</m:t>
                    </m:r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0)=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6AA22708-2F13-475A-AADA-45301BD686C9}"/>
                </a:ext>
              </a:extLst>
            </xdr:cNvPr>
            <xdr:cNvSpPr txBox="1"/>
          </xdr:nvSpPr>
          <xdr:spPr>
            <a:xfrm>
              <a:off x="10713944" y="25671556"/>
              <a:ext cx="1389529" cy="235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</a:t>
              </a:r>
              <a:r>
                <a:rPr lang="pt-PT" sz="1100" b="0" i="0">
                  <a:latin typeface="Cambria Math" panose="02040503050406030204" pitchFamily="18" charset="0"/>
                </a:rPr>
                <a:t>2∗(1+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349624</xdr:colOff>
      <xdr:row>146</xdr:row>
      <xdr:rowOff>3361</xdr:rowOff>
    </xdr:from>
    <xdr:ext cx="223907" cy="1796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4363191E-FEB0-4C0C-891D-8A95AA22B9A7}"/>
                </a:ext>
              </a:extLst>
            </xdr:cNvPr>
            <xdr:cNvSpPr txBox="1"/>
          </xdr:nvSpPr>
          <xdr:spPr>
            <a:xfrm>
              <a:off x="14827624" y="2402541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</m:e>
                    <m:sup>
                      <m:r>
                        <a:rPr lang="pt-PT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</m:oMath>
              </a14:m>
              <a:r>
                <a:rPr lang="pt-PT" sz="1100"/>
                <a:t>=</a:t>
              </a:r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4363191E-FEB0-4C0C-891D-8A95AA22B9A7}"/>
                </a:ext>
              </a:extLst>
            </xdr:cNvPr>
            <xdr:cNvSpPr txBox="1"/>
          </xdr:nvSpPr>
          <xdr:spPr>
            <a:xfrm>
              <a:off x="14827624" y="24025411"/>
              <a:ext cx="223907" cy="1796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𝜎^2</a:t>
              </a:r>
              <a:r>
                <a:rPr lang="pt-PT" sz="1100"/>
                <a:t>=</a:t>
              </a:r>
            </a:p>
          </xdr:txBody>
        </xdr:sp>
      </mc:Fallback>
    </mc:AlternateContent>
    <xdr:clientData/>
  </xdr:oneCellAnchor>
  <xdr:oneCellAnchor>
    <xdr:from>
      <xdr:col>14</xdr:col>
      <xdr:colOff>295275</xdr:colOff>
      <xdr:row>153</xdr:row>
      <xdr:rowOff>152400</xdr:rowOff>
    </xdr:from>
    <xdr:ext cx="1109383" cy="2017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2285FF45-B022-492A-AABF-A20EC34F4C52}"/>
                </a:ext>
              </a:extLst>
            </xdr:cNvPr>
            <xdr:cNvSpPr txBox="1"/>
          </xdr:nvSpPr>
          <xdr:spPr>
            <a:xfrm>
              <a:off x="10991850" y="2530792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sup>
                    </m:sSubSup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𝐶𝑥</m:t>
                    </m:r>
                    <m:r>
                      <a:rPr lang="pt-P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2285FF45-B022-492A-AABF-A20EC34F4C52}"/>
                </a:ext>
              </a:extLst>
            </xdr:cNvPr>
            <xdr:cNvSpPr txBox="1"/>
          </xdr:nvSpPr>
          <xdr:spPr>
            <a:xfrm>
              <a:off x="10991850" y="25307925"/>
              <a:ext cx="1109383" cy="2017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𝑥_0^𝑇∗𝐶𝑥0=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21</xdr:col>
      <xdr:colOff>459440</xdr:colOff>
      <xdr:row>149</xdr:row>
      <xdr:rowOff>123264</xdr:rowOff>
    </xdr:from>
    <xdr:ext cx="339539" cy="3137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E063A2AC-3123-4C15-BD44-5CCD5DE99C65}"/>
                </a:ext>
              </a:extLst>
            </xdr:cNvPr>
            <xdr:cNvSpPr txBox="1"/>
          </xdr:nvSpPr>
          <xdr:spPr>
            <a:xfrm>
              <a:off x="15547040" y="246310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/>
                    </m:sSubSup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E063A2AC-3123-4C15-BD44-5CCD5DE99C65}"/>
                </a:ext>
              </a:extLst>
            </xdr:cNvPr>
            <xdr:cNvSpPr txBox="1"/>
          </xdr:nvSpPr>
          <xdr:spPr>
            <a:xfrm>
              <a:off x="15547040" y="24631089"/>
              <a:ext cx="339539" cy="3137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𝑥_0^ 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230910</xdr:colOff>
      <xdr:row>1</xdr:row>
      <xdr:rowOff>0</xdr:rowOff>
    </xdr:from>
    <xdr:ext cx="215932" cy="180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7451172D-D663-4BE4-915C-CB0E6A8280BD}"/>
                </a:ext>
              </a:extLst>
            </xdr:cNvPr>
            <xdr:cNvSpPr txBox="1"/>
          </xdr:nvSpPr>
          <xdr:spPr>
            <a:xfrm>
              <a:off x="4298085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7451172D-D663-4BE4-915C-CB0E6A8280BD}"/>
                </a:ext>
              </a:extLst>
            </xdr:cNvPr>
            <xdr:cNvSpPr txBox="1"/>
          </xdr:nvSpPr>
          <xdr:spPr>
            <a:xfrm>
              <a:off x="4298085" y="161925"/>
              <a:ext cx="215932" cy="180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𝑌 ̂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3</xdr:col>
      <xdr:colOff>0</xdr:colOff>
      <xdr:row>224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43E0570-EE21-4D6B-96E6-45F840606337}"/>
                </a:ext>
              </a:extLst>
            </xdr:cNvPr>
            <xdr:cNvSpPr txBox="1"/>
          </xdr:nvSpPr>
          <xdr:spPr>
            <a:xfrm>
              <a:off x="2466062" y="3567308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43E0570-EE21-4D6B-96E6-45F840606337}"/>
                </a:ext>
              </a:extLst>
            </xdr:cNvPr>
            <xdr:cNvSpPr txBox="1"/>
          </xdr:nvSpPr>
          <xdr:spPr>
            <a:xfrm>
              <a:off x="2466062" y="3567308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224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50CFA20-055A-46E3-A57D-E5E641CEBDD6}"/>
                </a:ext>
              </a:extLst>
            </xdr:cNvPr>
            <xdr:cNvSpPr txBox="1"/>
          </xdr:nvSpPr>
          <xdr:spPr>
            <a:xfrm>
              <a:off x="11443048" y="3567308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50CFA20-055A-46E3-A57D-E5E641CEBDD6}"/>
                </a:ext>
              </a:extLst>
            </xdr:cNvPr>
            <xdr:cNvSpPr txBox="1"/>
          </xdr:nvSpPr>
          <xdr:spPr>
            <a:xfrm>
              <a:off x="11443048" y="35673082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206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23104B1-8F0A-48A2-BBD3-0CC40C291389}"/>
                </a:ext>
              </a:extLst>
            </xdr:cNvPr>
            <xdr:cNvSpPr txBox="1"/>
          </xdr:nvSpPr>
          <xdr:spPr>
            <a:xfrm>
              <a:off x="11443048" y="3282863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623104B1-8F0A-48A2-BBD3-0CC40C291389}"/>
                </a:ext>
              </a:extLst>
            </xdr:cNvPr>
            <xdr:cNvSpPr txBox="1"/>
          </xdr:nvSpPr>
          <xdr:spPr>
            <a:xfrm>
              <a:off x="11443048" y="3282863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206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B48AE51-AAF5-4506-B109-595215E5F688}"/>
                </a:ext>
              </a:extLst>
            </xdr:cNvPr>
            <xdr:cNvSpPr txBox="1"/>
          </xdr:nvSpPr>
          <xdr:spPr>
            <a:xfrm>
              <a:off x="2466062" y="3282863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B48AE51-AAF5-4506-B109-595215E5F688}"/>
                </a:ext>
              </a:extLst>
            </xdr:cNvPr>
            <xdr:cNvSpPr txBox="1"/>
          </xdr:nvSpPr>
          <xdr:spPr>
            <a:xfrm>
              <a:off x="2466062" y="32828630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188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E17D882-B03C-4A84-8B3E-40C348D58C5E}"/>
                </a:ext>
              </a:extLst>
            </xdr:cNvPr>
            <xdr:cNvSpPr txBox="1"/>
          </xdr:nvSpPr>
          <xdr:spPr>
            <a:xfrm>
              <a:off x="11443048" y="2998417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E17D882-B03C-4A84-8B3E-40C348D58C5E}"/>
                </a:ext>
              </a:extLst>
            </xdr:cNvPr>
            <xdr:cNvSpPr txBox="1"/>
          </xdr:nvSpPr>
          <xdr:spPr>
            <a:xfrm>
              <a:off x="11443048" y="2998417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188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C836531-C902-4588-A58A-C8A18C8B3BCC}"/>
                </a:ext>
              </a:extLst>
            </xdr:cNvPr>
            <xdr:cNvSpPr txBox="1"/>
          </xdr:nvSpPr>
          <xdr:spPr>
            <a:xfrm>
              <a:off x="2466062" y="2998417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4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C836531-C902-4588-A58A-C8A18C8B3BCC}"/>
                </a:ext>
              </a:extLst>
            </xdr:cNvPr>
            <xdr:cNvSpPr txBox="1"/>
          </xdr:nvSpPr>
          <xdr:spPr>
            <a:xfrm>
              <a:off x="2466062" y="29984178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170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411827D-741B-4FED-BFBE-295A9BC3C13D}"/>
                </a:ext>
              </a:extLst>
            </xdr:cNvPr>
            <xdr:cNvSpPr txBox="1"/>
          </xdr:nvSpPr>
          <xdr:spPr>
            <a:xfrm>
              <a:off x="2466062" y="2713972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411827D-741B-4FED-BFBE-295A9BC3C13D}"/>
                </a:ext>
              </a:extLst>
            </xdr:cNvPr>
            <xdr:cNvSpPr txBox="1"/>
          </xdr:nvSpPr>
          <xdr:spPr>
            <a:xfrm>
              <a:off x="2466062" y="2713972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170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AAF22B68-73AD-4CAF-A682-F7B214CCF2E6}"/>
                </a:ext>
              </a:extLst>
            </xdr:cNvPr>
            <xdr:cNvSpPr txBox="1"/>
          </xdr:nvSpPr>
          <xdr:spPr>
            <a:xfrm>
              <a:off x="11443048" y="2713972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AAF22B68-73AD-4CAF-A682-F7B214CCF2E6}"/>
                </a:ext>
              </a:extLst>
            </xdr:cNvPr>
            <xdr:cNvSpPr txBox="1"/>
          </xdr:nvSpPr>
          <xdr:spPr>
            <a:xfrm>
              <a:off x="11443048" y="2713972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148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59897DC-374B-4855-B633-86F505BBD54F}"/>
                </a:ext>
              </a:extLst>
            </xdr:cNvPr>
            <xdr:cNvSpPr txBox="1"/>
          </xdr:nvSpPr>
          <xdr:spPr>
            <a:xfrm>
              <a:off x="11443048" y="23629829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59897DC-374B-4855-B633-86F505BBD54F}"/>
                </a:ext>
              </a:extLst>
            </xdr:cNvPr>
            <xdr:cNvSpPr txBox="1"/>
          </xdr:nvSpPr>
          <xdr:spPr>
            <a:xfrm>
              <a:off x="11443048" y="23629829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148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8507F10-A39B-46F4-AF1A-852AAF98FEC9}"/>
                </a:ext>
              </a:extLst>
            </xdr:cNvPr>
            <xdr:cNvSpPr txBox="1"/>
          </xdr:nvSpPr>
          <xdr:spPr>
            <a:xfrm>
              <a:off x="2466062" y="23629829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B8507F10-A39B-46F4-AF1A-852AAF98FEC9}"/>
                </a:ext>
              </a:extLst>
            </xdr:cNvPr>
            <xdr:cNvSpPr txBox="1"/>
          </xdr:nvSpPr>
          <xdr:spPr>
            <a:xfrm>
              <a:off x="2466062" y="23629829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134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9FCACC6-4C20-4873-876A-6A11AE387541}"/>
                </a:ext>
              </a:extLst>
            </xdr:cNvPr>
            <xdr:cNvSpPr txBox="1"/>
          </xdr:nvSpPr>
          <xdr:spPr>
            <a:xfrm>
              <a:off x="2466062" y="2137253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4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D9FCACC6-4C20-4873-876A-6A11AE387541}"/>
                </a:ext>
              </a:extLst>
            </xdr:cNvPr>
            <xdr:cNvSpPr txBox="1"/>
          </xdr:nvSpPr>
          <xdr:spPr>
            <a:xfrm>
              <a:off x="2466062" y="2137253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134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71C2BB0-DFAA-4138-AC4A-12CF805874CA}"/>
                </a:ext>
              </a:extLst>
            </xdr:cNvPr>
            <xdr:cNvSpPr txBox="1"/>
          </xdr:nvSpPr>
          <xdr:spPr>
            <a:xfrm>
              <a:off x="11443048" y="2137253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5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71C2BB0-DFAA-4138-AC4A-12CF805874CA}"/>
                </a:ext>
              </a:extLst>
            </xdr:cNvPr>
            <xdr:cNvSpPr txBox="1"/>
          </xdr:nvSpPr>
          <xdr:spPr>
            <a:xfrm>
              <a:off x="11443048" y="21372534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124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91DCE900-45B5-4B45-BF9B-6104C9E63930}"/>
                </a:ext>
              </a:extLst>
            </xdr:cNvPr>
            <xdr:cNvSpPr txBox="1"/>
          </xdr:nvSpPr>
          <xdr:spPr>
            <a:xfrm>
              <a:off x="11443048" y="197806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6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91DCE900-45B5-4B45-BF9B-6104C9E63930}"/>
                </a:ext>
              </a:extLst>
            </xdr:cNvPr>
            <xdr:cNvSpPr txBox="1"/>
          </xdr:nvSpPr>
          <xdr:spPr>
            <a:xfrm>
              <a:off x="11443048" y="197806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114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2848958E-A0DD-41B7-9E4E-54CD93F0B1E4}"/>
                </a:ext>
              </a:extLst>
            </xdr:cNvPr>
            <xdr:cNvSpPr txBox="1"/>
          </xdr:nvSpPr>
          <xdr:spPr>
            <a:xfrm>
              <a:off x="11443048" y="1818883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7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2848958E-A0DD-41B7-9E4E-54CD93F0B1E4}"/>
                </a:ext>
              </a:extLst>
            </xdr:cNvPr>
            <xdr:cNvSpPr txBox="1"/>
          </xdr:nvSpPr>
          <xdr:spPr>
            <a:xfrm>
              <a:off x="11443048" y="1818883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104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6A8518E-D797-49EF-A554-80EF641921FB}"/>
                </a:ext>
              </a:extLst>
            </xdr:cNvPr>
            <xdr:cNvSpPr txBox="1"/>
          </xdr:nvSpPr>
          <xdr:spPr>
            <a:xfrm>
              <a:off x="11443048" y="1659698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8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6A8518E-D797-49EF-A554-80EF641921FB}"/>
                </a:ext>
              </a:extLst>
            </xdr:cNvPr>
            <xdr:cNvSpPr txBox="1"/>
          </xdr:nvSpPr>
          <xdr:spPr>
            <a:xfrm>
              <a:off x="11443048" y="1659698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104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10931925-7926-46F4-BBC4-681E3EA64620}"/>
                </a:ext>
              </a:extLst>
            </xdr:cNvPr>
            <xdr:cNvSpPr txBox="1"/>
          </xdr:nvSpPr>
          <xdr:spPr>
            <a:xfrm>
              <a:off x="2466062" y="1659698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59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10931925-7926-46F4-BBC4-681E3EA64620}"/>
                </a:ext>
              </a:extLst>
            </xdr:cNvPr>
            <xdr:cNvSpPr txBox="1"/>
          </xdr:nvSpPr>
          <xdr:spPr>
            <a:xfrm>
              <a:off x="2466062" y="1659698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114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0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CAA71F0-F24D-4F95-91C6-1C91D4747511}"/>
                </a:ext>
              </a:extLst>
            </xdr:cNvPr>
            <xdr:cNvSpPr txBox="1"/>
          </xdr:nvSpPr>
          <xdr:spPr>
            <a:xfrm>
              <a:off x="2466062" y="1818883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0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8CAA71F0-F24D-4F95-91C6-1C91D4747511}"/>
                </a:ext>
              </a:extLst>
            </xdr:cNvPr>
            <xdr:cNvSpPr txBox="1"/>
          </xdr:nvSpPr>
          <xdr:spPr>
            <a:xfrm>
              <a:off x="2466062" y="18188836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124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61AD3C6-3608-4247-8043-102893315113}"/>
                </a:ext>
              </a:extLst>
            </xdr:cNvPr>
            <xdr:cNvSpPr txBox="1"/>
          </xdr:nvSpPr>
          <xdr:spPr>
            <a:xfrm>
              <a:off x="2466062" y="197806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1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061AD3C6-3608-4247-8043-102893315113}"/>
                </a:ext>
              </a:extLst>
            </xdr:cNvPr>
            <xdr:cNvSpPr txBox="1"/>
          </xdr:nvSpPr>
          <xdr:spPr>
            <a:xfrm>
              <a:off x="2466062" y="19780685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15</xdr:col>
      <xdr:colOff>0</xdr:colOff>
      <xdr:row>94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E5E17F16-8554-4417-8F6F-915B85D94CF4}"/>
                </a:ext>
              </a:extLst>
            </xdr:cNvPr>
            <xdr:cNvSpPr txBox="1"/>
          </xdr:nvSpPr>
          <xdr:spPr>
            <a:xfrm>
              <a:off x="11443048" y="15005137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2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E5E17F16-8554-4417-8F6F-915B85D94CF4}"/>
                </a:ext>
              </a:extLst>
            </xdr:cNvPr>
            <xdr:cNvSpPr txBox="1"/>
          </xdr:nvSpPr>
          <xdr:spPr>
            <a:xfrm>
              <a:off x="11443048" y="15005137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  <xdr:oneCellAnchor>
    <xdr:from>
      <xdr:col>3</xdr:col>
      <xdr:colOff>0</xdr:colOff>
      <xdr:row>94</xdr:row>
      <xdr:rowOff>0</xdr:rowOff>
    </xdr:from>
    <xdr:ext cx="905933" cy="3302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Object 12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FFA08B3-F913-4AE0-A542-A27D855FED74}"/>
                </a:ext>
              </a:extLst>
            </xdr:cNvPr>
            <xdr:cNvSpPr txBox="1"/>
          </xdr:nvSpPr>
          <xdr:spPr>
            <a:xfrm>
              <a:off x="2466062" y="15005137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1−</m:t>
                      </m:r>
                      <m:f>
                        <m:fPr>
                          <m:ctrlP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pt-PT" sz="900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  <m:d>
                    <m:dPr>
                      <m:ctrlP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pt-PT" sz="9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𝐾</m:t>
                      </m:r>
                      <m:r>
                        <a:rPr lang="pt-PT" sz="900" b="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+1</m:t>
                      </m:r>
                    </m:e>
                  </m:d>
                </m:oMath>
              </a14:m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Choice>
      <mc:Fallback xmlns="">
        <xdr:sp macro="" textlink="">
          <xdr:nvSpPr>
            <xdr:cNvPr id="163" name="Object 12">
              <a:extLst>
                <a:ext uri="{63B3BB69-23CF-44E3-9099-C40C66FF867C}">
                  <a14:compatExt xmlns:a14="http://schemas.microsoft.com/office/drawing/2010/main" spid="_x0000_s2060"/>
                </a:ext>
                <a:ext uri="{FF2B5EF4-FFF2-40B4-BE49-F238E27FC236}">
                  <a16:creationId xmlns:a16="http://schemas.microsoft.com/office/drawing/2014/main" id="{4FFA08B3-F913-4AE0-A542-A27D855FED74}"/>
                </a:ext>
              </a:extLst>
            </xdr:cNvPr>
            <xdr:cNvSpPr txBox="1"/>
          </xdr:nvSpPr>
          <xdr:spPr>
            <a:xfrm>
              <a:off x="2466062" y="15005137"/>
              <a:ext cx="905933" cy="330200"/>
            </a:xfrm>
            <a:prstGeom prst="rect">
              <a:avLst/>
            </a:prstGeom>
          </xdr:spPr>
          <xdr:txBody>
            <a:bodyPr vertOverflow="clip" horzOverflow="clip" wrap="none">
              <a:noAutofit/>
            </a:bodyPr>
            <a:lstStyle/>
            <a:p>
              <a:r>
                <a:rPr lang="pt-PT" sz="9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𝑡_(1−𝛼/2) (𝑛−</a:t>
              </a:r>
              <a:r>
                <a:rPr lang="pt-PT" sz="9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𝐾+1)</a:t>
              </a:r>
              <a:r>
                <a:rPr lang="pt-PT" sz="900">
                  <a:solidFill>
                    <a:srgbClr val="000000"/>
                  </a:solidFill>
                </a:rPr>
                <a:t>=</a:t>
              </a:r>
            </a:p>
            <a:p>
              <a:endParaRPr lang="pt-PT" sz="900">
                <a:solidFill>
                  <a:srgbClr val="000000"/>
                </a:solidFill>
              </a:endParaRPr>
            </a:p>
            <a:p>
              <a:endParaRPr lang="pt-PT" sz="9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63"/>
  <sheetViews>
    <sheetView topLeftCell="G1" zoomScaleNormal="100" workbookViewId="0">
      <selection activeCell="R23" sqref="R23"/>
    </sheetView>
  </sheetViews>
  <sheetFormatPr defaultColWidth="11.5703125" defaultRowHeight="12.75"/>
  <cols>
    <col min="1" max="1" width="13.7109375" customWidth="1"/>
    <col min="2" max="2" width="10.5703125" customWidth="1"/>
    <col min="3" max="3" width="11.140625" customWidth="1"/>
    <col min="4" max="4" width="15.42578125" customWidth="1"/>
    <col min="5" max="5" width="11.28515625" customWidth="1"/>
    <col min="6" max="6" width="12.85546875" customWidth="1"/>
    <col min="7" max="7" width="9.7109375" customWidth="1"/>
    <col min="8" max="8" width="11.85546875" customWidth="1"/>
    <col min="9" max="9" width="20.85546875" customWidth="1"/>
    <col min="14" max="14" width="16.140625" customWidth="1"/>
    <col min="16" max="16" width="16.42578125" customWidth="1"/>
    <col min="19" max="19" width="20.2851562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68" t="s">
        <v>0</v>
      </c>
      <c r="L1" s="68" t="s">
        <v>1</v>
      </c>
      <c r="M1" s="68" t="s">
        <v>2</v>
      </c>
      <c r="N1" s="68" t="s">
        <v>3</v>
      </c>
      <c r="O1" s="68" t="s">
        <v>4</v>
      </c>
      <c r="P1" s="68" t="s">
        <v>5</v>
      </c>
      <c r="Q1" s="68" t="s">
        <v>6</v>
      </c>
      <c r="R1" s="68" t="s">
        <v>7</v>
      </c>
      <c r="S1" s="68" t="s">
        <v>8</v>
      </c>
    </row>
    <row r="2" spans="1:22">
      <c r="A2" s="1">
        <v>44228</v>
      </c>
      <c r="B2">
        <v>5805</v>
      </c>
      <c r="C2">
        <v>275</v>
      </c>
      <c r="D2">
        <v>0.82</v>
      </c>
      <c r="E2">
        <v>865</v>
      </c>
      <c r="F2">
        <v>6869</v>
      </c>
      <c r="G2">
        <v>47369</v>
      </c>
      <c r="H2">
        <v>0.2036</v>
      </c>
      <c r="I2">
        <v>80488</v>
      </c>
      <c r="K2" t="s">
        <v>110</v>
      </c>
      <c r="L2">
        <f>SUM(B2:B8)</f>
        <v>44898</v>
      </c>
      <c r="M2" s="68">
        <f>SUM(C2:C8)</f>
        <v>1676</v>
      </c>
      <c r="N2" s="68">
        <f>ROUND(AVERAGE(D2:D8),4)</f>
        <v>0.68710000000000004</v>
      </c>
      <c r="O2" s="68">
        <f>SUM(E2:E8)</f>
        <v>6117</v>
      </c>
      <c r="P2" s="68">
        <f>SUM(F2:F8)</f>
        <v>45642</v>
      </c>
      <c r="Q2" s="68">
        <f>SUM(G2:G8)</f>
        <v>304215</v>
      </c>
      <c r="R2" s="68">
        <f>ROUND(AVERAGE(H2:H8),4)</f>
        <v>0.17910000000000001</v>
      </c>
      <c r="S2" s="68">
        <f>SUM(I8)</f>
        <v>116262</v>
      </c>
    </row>
    <row r="3" spans="1:22">
      <c r="A3" s="1">
        <v>44229</v>
      </c>
      <c r="B3">
        <v>5540</v>
      </c>
      <c r="C3">
        <v>260</v>
      </c>
      <c r="D3">
        <v>0.76</v>
      </c>
      <c r="E3">
        <v>852</v>
      </c>
      <c r="F3">
        <v>6775</v>
      </c>
      <c r="G3">
        <v>57995</v>
      </c>
      <c r="H3">
        <v>0.19889999999999999</v>
      </c>
      <c r="I3">
        <v>82431</v>
      </c>
      <c r="K3" s="68" t="s">
        <v>112</v>
      </c>
      <c r="L3" s="68">
        <f>SUM(B9:B15)</f>
        <v>20342</v>
      </c>
      <c r="M3" s="68">
        <f>SUM(C9:C15)</f>
        <v>1163</v>
      </c>
      <c r="N3" s="68">
        <f>ROUND(AVERAGE(D9:D15),4)</f>
        <v>0.50429999999999997</v>
      </c>
      <c r="O3" s="68">
        <f>SUM(E9:E15)</f>
        <v>5872</v>
      </c>
      <c r="P3" s="68">
        <f>SUM(F9:F15)</f>
        <v>38719</v>
      </c>
      <c r="Q3" s="68">
        <f>SUM(G9:G15)</f>
        <v>220920</v>
      </c>
      <c r="R3" s="68">
        <f>ROUND(AVERAGE(H9:H15),4)</f>
        <v>0.1197</v>
      </c>
      <c r="S3" s="68">
        <f>SUM(I15)</f>
        <v>208089</v>
      </c>
    </row>
    <row r="4" spans="1:22">
      <c r="A4" s="1">
        <v>44230</v>
      </c>
      <c r="B4">
        <v>9083</v>
      </c>
      <c r="C4">
        <v>240</v>
      </c>
      <c r="D4">
        <v>0.71</v>
      </c>
      <c r="E4">
        <v>877</v>
      </c>
      <c r="F4">
        <v>6684</v>
      </c>
      <c r="G4">
        <v>53401</v>
      </c>
      <c r="H4">
        <v>0.19259999999999999</v>
      </c>
      <c r="I4">
        <v>87588</v>
      </c>
      <c r="K4" s="68" t="s">
        <v>113</v>
      </c>
      <c r="L4" s="68">
        <f>SUM(B16:B22)</f>
        <v>11769</v>
      </c>
      <c r="M4" s="68">
        <f>SUM(C16:C22)</f>
        <v>641</v>
      </c>
      <c r="N4" s="68">
        <f>ROUND(AVERAGE(D16:D22),4)</f>
        <v>0.47710000000000002</v>
      </c>
      <c r="O4" s="68">
        <f>SUM(E16:E22)</f>
        <v>4906</v>
      </c>
      <c r="P4" s="68">
        <f>SUM(F16:F22)</f>
        <v>27454</v>
      </c>
      <c r="Q4" s="68">
        <f>SUM(G16:G22)</f>
        <v>200146</v>
      </c>
      <c r="R4" s="68">
        <f>ROUND(AVERAGE(H16:H22),4)</f>
        <v>7.2300000000000003E-2</v>
      </c>
      <c r="S4" s="68">
        <f>SUM(I22)</f>
        <v>266858</v>
      </c>
    </row>
    <row r="5" spans="1:22">
      <c r="A5" s="1">
        <v>44231</v>
      </c>
      <c r="B5">
        <v>7914</v>
      </c>
      <c r="C5">
        <v>225</v>
      </c>
      <c r="D5">
        <v>0.67</v>
      </c>
      <c r="E5">
        <v>863</v>
      </c>
      <c r="F5">
        <v>6496</v>
      </c>
      <c r="G5">
        <v>50384</v>
      </c>
      <c r="H5">
        <v>0.17910000000000001</v>
      </c>
      <c r="I5">
        <v>96711</v>
      </c>
      <c r="K5" s="68" t="s">
        <v>114</v>
      </c>
      <c r="L5" s="68">
        <f>SUM(B23:B29)</f>
        <v>7037</v>
      </c>
      <c r="M5" s="68">
        <f>SUM(C23:C29)</f>
        <v>355</v>
      </c>
      <c r="N5" s="68">
        <f>ROUND(AVERAGE(D23:D29),4)</f>
        <v>0.50860000000000005</v>
      </c>
      <c r="O5" s="68">
        <f>SUM(E23:E29)</f>
        <v>3825</v>
      </c>
      <c r="P5" s="68">
        <f>SUM(F23:F29)</f>
        <v>18463</v>
      </c>
      <c r="Q5" s="68">
        <f>SUM(G23:G29)</f>
        <v>189811</v>
      </c>
      <c r="R5" s="68">
        <f>ROUND(AVERAGE(H23:H29),4)</f>
        <v>4.6300000000000001E-2</v>
      </c>
      <c r="S5" s="68">
        <f>SUM(I29)</f>
        <v>286470</v>
      </c>
    </row>
    <row r="6" spans="1:22">
      <c r="A6" s="1">
        <v>44232</v>
      </c>
      <c r="B6">
        <v>6916</v>
      </c>
      <c r="C6">
        <v>258</v>
      </c>
      <c r="D6">
        <v>0.64</v>
      </c>
      <c r="E6">
        <v>904</v>
      </c>
      <c r="F6">
        <v>6412</v>
      </c>
      <c r="G6">
        <v>49625</v>
      </c>
      <c r="H6">
        <v>0.17030000000000001</v>
      </c>
      <c r="I6">
        <v>106652</v>
      </c>
      <c r="K6" s="68" t="s">
        <v>115</v>
      </c>
      <c r="L6" s="68">
        <f>SUM(B30:B36)</f>
        <v>5532</v>
      </c>
      <c r="M6" s="68">
        <f>SUM(C30:C36)</f>
        <v>223</v>
      </c>
      <c r="N6" s="68">
        <f>ROUND(AVERAGE(D30:D36),4)</f>
        <v>0.61429999999999996</v>
      </c>
      <c r="O6" s="68">
        <f>SUM(E30:E36)</f>
        <v>2829</v>
      </c>
      <c r="P6" s="68">
        <f>SUM(F30:F36)</f>
        <v>12112</v>
      </c>
      <c r="Q6" s="68">
        <f>SUM(G30:G36)</f>
        <v>171766</v>
      </c>
      <c r="R6" s="68">
        <f>ROUND(AVERAGE(H30:H36),4)</f>
        <v>3.3500000000000002E-2</v>
      </c>
      <c r="S6" s="68">
        <f>SUM(I36)</f>
        <v>317254</v>
      </c>
    </row>
    <row r="7" spans="1:22">
      <c r="A7" s="1">
        <v>44233</v>
      </c>
      <c r="B7">
        <v>6132</v>
      </c>
      <c r="C7">
        <v>214</v>
      </c>
      <c r="D7">
        <v>0.62</v>
      </c>
      <c r="E7">
        <v>891</v>
      </c>
      <c r="F7">
        <v>6158</v>
      </c>
      <c r="G7">
        <v>30356</v>
      </c>
      <c r="H7">
        <v>0.16170000000000001</v>
      </c>
      <c r="I7">
        <v>115522</v>
      </c>
      <c r="K7" s="68" t="s">
        <v>116</v>
      </c>
      <c r="L7" s="68">
        <f>SUM(B37:B43)</f>
        <v>4163</v>
      </c>
      <c r="M7" s="68">
        <f>SUM(C37:C43)</f>
        <v>144</v>
      </c>
      <c r="N7" s="68">
        <f>ROUND(AVERAGE(D37:D43),4)</f>
        <v>0.66710000000000003</v>
      </c>
      <c r="O7" s="68">
        <f>SUM(E37:E43)</f>
        <v>1971</v>
      </c>
      <c r="P7" s="68">
        <f>SUM(F37:F43)</f>
        <v>7986</v>
      </c>
      <c r="Q7" s="68">
        <f>SUM(G37:G43)</f>
        <v>158762</v>
      </c>
      <c r="R7" s="68">
        <f>ROUND(AVERAGE(H37:H43),4)</f>
        <v>3.0800000000000001E-2</v>
      </c>
      <c r="S7" s="68">
        <f>SUM(I43)</f>
        <v>371084</v>
      </c>
    </row>
    <row r="8" spans="1:22">
      <c r="A8" s="1">
        <v>44234</v>
      </c>
      <c r="B8">
        <v>3508</v>
      </c>
      <c r="C8">
        <v>204</v>
      </c>
      <c r="D8">
        <v>0.59</v>
      </c>
      <c r="E8">
        <v>865</v>
      </c>
      <c r="F8">
        <v>6248</v>
      </c>
      <c r="G8">
        <v>15085</v>
      </c>
      <c r="H8">
        <v>0.14760000000000001</v>
      </c>
      <c r="I8">
        <v>116262</v>
      </c>
      <c r="K8" s="68" t="s">
        <v>117</v>
      </c>
      <c r="L8" s="68">
        <f>SUM(B40:B44)</f>
        <v>2565</v>
      </c>
      <c r="M8" s="68">
        <f>SUM(C40:C44)</f>
        <v>77</v>
      </c>
      <c r="N8" s="68">
        <f>ROUND(AVERAGE(D40:D44),4)</f>
        <v>0.67600000000000005</v>
      </c>
      <c r="O8" s="68">
        <f>SUM(E40:E44)</f>
        <v>1265</v>
      </c>
      <c r="P8" s="68">
        <f>SUM(F40:F44)</f>
        <v>5100</v>
      </c>
      <c r="Q8" s="68">
        <f>SUM(G40:G44)</f>
        <v>108746</v>
      </c>
      <c r="R8" s="68">
        <f>ROUND(AVERAGE(H40:H44),4)</f>
        <v>2.8299999999999999E-2</v>
      </c>
      <c r="S8" s="68">
        <f>SUM(I44)</f>
        <v>377464</v>
      </c>
      <c r="V8" s="51"/>
    </row>
    <row r="9" spans="1:22">
      <c r="A9" s="1">
        <v>44235</v>
      </c>
      <c r="B9">
        <v>2505</v>
      </c>
      <c r="C9">
        <v>196</v>
      </c>
      <c r="D9">
        <v>0.56000000000000005</v>
      </c>
      <c r="E9">
        <v>877</v>
      </c>
      <c r="F9">
        <v>6344</v>
      </c>
      <c r="G9">
        <v>34923</v>
      </c>
      <c r="H9">
        <v>0.1426</v>
      </c>
      <c r="I9">
        <v>118172</v>
      </c>
      <c r="K9" s="68" t="s">
        <v>118</v>
      </c>
      <c r="L9" s="68">
        <f>SUM(B51:B57)</f>
        <v>2877</v>
      </c>
      <c r="M9" s="68">
        <f>SUM(C51:C57)</f>
        <v>69</v>
      </c>
      <c r="N9" s="68">
        <f>ROUND(AVERAGE(D51:D57),4)</f>
        <v>0.8357</v>
      </c>
      <c r="O9" s="68">
        <f>SUM(E51:E57)</f>
        <v>1078</v>
      </c>
      <c r="P9" s="68">
        <f>SUM(F51:F57)</f>
        <v>4841</v>
      </c>
      <c r="Q9" s="68">
        <f>SUM(G51:G57)</f>
        <v>181367</v>
      </c>
      <c r="R9" s="68">
        <f>ROUND(AVERAGE(H51:H57),4)</f>
        <v>1.4500000000000001E-2</v>
      </c>
      <c r="S9" s="68">
        <f>SUM(I57)</f>
        <v>510025</v>
      </c>
    </row>
    <row r="10" spans="1:22">
      <c r="A10" s="1">
        <v>44236</v>
      </c>
      <c r="B10">
        <v>2583</v>
      </c>
      <c r="C10">
        <v>203</v>
      </c>
      <c r="D10">
        <v>0.53</v>
      </c>
      <c r="E10">
        <v>862</v>
      </c>
      <c r="F10">
        <v>6070</v>
      </c>
      <c r="G10">
        <v>38694</v>
      </c>
      <c r="H10">
        <v>0.14180000000000001</v>
      </c>
      <c r="I10">
        <v>119614</v>
      </c>
      <c r="K10" s="68" t="s">
        <v>119</v>
      </c>
      <c r="L10" s="68">
        <f>SUM(B58:B64)</f>
        <v>2928</v>
      </c>
      <c r="M10" s="68">
        <f>SUM(C58:C64)</f>
        <v>42</v>
      </c>
      <c r="N10" s="68">
        <f>ROUND(AVERAGE(D58:D64),4)</f>
        <v>0.9657</v>
      </c>
      <c r="O10" s="68">
        <f>SUM(E58:E64)</f>
        <v>895</v>
      </c>
      <c r="P10" s="68">
        <f>SUM(F58:F64)</f>
        <v>3845</v>
      </c>
      <c r="Q10" s="68">
        <f>SUM(G58:G64)</f>
        <v>167518</v>
      </c>
      <c r="R10" s="68">
        <f>ROUND(AVERAGE(H58:H64),4)</f>
        <v>1.7299999999999999E-2</v>
      </c>
      <c r="S10" s="68">
        <f>SUM(I64)</f>
        <v>592953</v>
      </c>
    </row>
    <row r="11" spans="1:22">
      <c r="A11" s="1">
        <v>44237</v>
      </c>
      <c r="B11">
        <v>4387</v>
      </c>
      <c r="C11">
        <v>161</v>
      </c>
      <c r="D11">
        <v>0.51</v>
      </c>
      <c r="E11">
        <v>853</v>
      </c>
      <c r="F11">
        <v>5829</v>
      </c>
      <c r="G11">
        <v>37621</v>
      </c>
      <c r="H11">
        <v>0.13220000000000001</v>
      </c>
      <c r="I11">
        <v>130118</v>
      </c>
      <c r="K11" s="68" t="s">
        <v>120</v>
      </c>
      <c r="L11" s="68">
        <f>SUM(B65:B71)</f>
        <v>4159</v>
      </c>
      <c r="M11" s="68">
        <f>SUM(C65:C71)</f>
        <v>37</v>
      </c>
      <c r="N11" s="68">
        <f>ROUND(AVERAGE(D65:D71),4)</f>
        <v>1.1086</v>
      </c>
      <c r="O11" s="68">
        <f>SUM(E65:E71)</f>
        <v>823</v>
      </c>
      <c r="P11" s="68">
        <f>SUM(F65:F71)</f>
        <v>3441</v>
      </c>
      <c r="Q11" s="68">
        <f>SUM(G65:G71)</f>
        <v>349353</v>
      </c>
      <c r="R11" s="68">
        <f>ROUND(AVERAGE(H65:H71),4)</f>
        <v>1.21E-2</v>
      </c>
      <c r="S11" s="68">
        <f>SUM(I71)</f>
        <v>645818</v>
      </c>
    </row>
    <row r="12" spans="1:22">
      <c r="A12" s="1">
        <v>44238</v>
      </c>
      <c r="B12">
        <v>3480</v>
      </c>
      <c r="C12">
        <v>167</v>
      </c>
      <c r="D12">
        <v>0.49</v>
      </c>
      <c r="E12">
        <v>836</v>
      </c>
      <c r="F12">
        <v>5570</v>
      </c>
      <c r="G12">
        <v>37347</v>
      </c>
      <c r="H12">
        <v>0.1211</v>
      </c>
      <c r="I12">
        <v>146637</v>
      </c>
      <c r="K12" s="68" t="s">
        <v>121</v>
      </c>
      <c r="L12" s="68">
        <f>SUM(B72:B78)</f>
        <v>3507</v>
      </c>
      <c r="M12" s="68">
        <f>SUM(C72:C78)</f>
        <v>29</v>
      </c>
      <c r="N12" s="68">
        <f>ROUND(AVERAGE(D72:D78),4)</f>
        <v>1.0071000000000001</v>
      </c>
      <c r="O12" s="68">
        <f>SUM(E72:E78)</f>
        <v>775</v>
      </c>
      <c r="P12" s="68">
        <f>SUM(F72:F78)</f>
        <v>3080</v>
      </c>
      <c r="Q12" s="68">
        <f>SUM(G72:G78)</f>
        <v>256937</v>
      </c>
      <c r="R12" s="68">
        <f>ROUND(AVERAGE(H72:H78),4)</f>
        <v>1.35E-2</v>
      </c>
      <c r="S12" s="68">
        <f>SUM(I78)</f>
        <v>701102</v>
      </c>
    </row>
    <row r="13" spans="1:22">
      <c r="A13" s="1">
        <v>44239</v>
      </c>
      <c r="B13">
        <v>2854</v>
      </c>
      <c r="C13">
        <v>149</v>
      </c>
      <c r="D13">
        <v>0.48</v>
      </c>
      <c r="E13">
        <v>846</v>
      </c>
      <c r="F13">
        <v>5230</v>
      </c>
      <c r="G13">
        <v>38752</v>
      </c>
      <c r="H13">
        <v>0.10929999999999999</v>
      </c>
      <c r="I13">
        <v>171163</v>
      </c>
      <c r="K13" s="68" t="s">
        <v>111</v>
      </c>
      <c r="L13" s="68">
        <f>SUM(B79:B85)</f>
        <v>3441</v>
      </c>
      <c r="M13" s="68">
        <f>SUM(C79:C85)</f>
        <v>20</v>
      </c>
      <c r="N13" s="68">
        <f>ROUND(AVERAGE(D79:D85),4)</f>
        <v>0.96430000000000005</v>
      </c>
      <c r="O13" s="68">
        <f>SUM(E79:E85)</f>
        <v>733</v>
      </c>
      <c r="P13" s="68">
        <f>SUM(F79:F85)</f>
        <v>2749</v>
      </c>
      <c r="Q13" s="68">
        <f>SUM(G79:G85)</f>
        <v>516874</v>
      </c>
      <c r="R13" s="68">
        <f>ROUND(AVERAGE(H79:H85),4)</f>
        <v>8.2000000000000007E-3</v>
      </c>
      <c r="S13" s="68">
        <f>SUM(I85)</f>
        <v>840420</v>
      </c>
    </row>
    <row r="14" spans="1:22">
      <c r="A14" s="1">
        <v>44240</v>
      </c>
      <c r="B14">
        <v>2856</v>
      </c>
      <c r="C14">
        <v>149</v>
      </c>
      <c r="D14">
        <v>0.48</v>
      </c>
      <c r="E14">
        <v>803</v>
      </c>
      <c r="F14">
        <v>4850</v>
      </c>
      <c r="G14">
        <v>21483</v>
      </c>
      <c r="H14">
        <v>9.9000000000000005E-2</v>
      </c>
      <c r="I14">
        <v>198253</v>
      </c>
      <c r="K14" s="68" t="s">
        <v>122</v>
      </c>
      <c r="L14" s="68">
        <f>SUM(B86:B92)</f>
        <v>2835</v>
      </c>
      <c r="M14" s="68">
        <f>SUM(C86:C92)</f>
        <v>12</v>
      </c>
      <c r="N14" s="68">
        <f>ROUND(AVERAGE(D86:D92),4)</f>
        <v>0.89</v>
      </c>
      <c r="O14" s="68">
        <f>SUM(E86:E92)</f>
        <v>612</v>
      </c>
      <c r="P14" s="68">
        <f>SUM(F86:F92)</f>
        <v>2304</v>
      </c>
      <c r="Q14" s="68">
        <f>SUM(G86:G92)</f>
        <v>331125</v>
      </c>
      <c r="R14" s="68">
        <f>ROUND(AVERAGE(H86:H92),4)</f>
        <v>8.3000000000000001E-3</v>
      </c>
      <c r="S14" s="68">
        <f>SUM(I92)</f>
        <v>930042</v>
      </c>
    </row>
    <row r="15" spans="1:22">
      <c r="A15" s="1">
        <v>44241</v>
      </c>
      <c r="B15">
        <v>1677</v>
      </c>
      <c r="C15">
        <v>138</v>
      </c>
      <c r="D15">
        <v>0.48</v>
      </c>
      <c r="E15">
        <v>795</v>
      </c>
      <c r="F15">
        <v>4826</v>
      </c>
      <c r="G15">
        <v>12100</v>
      </c>
      <c r="H15">
        <v>9.2100000000000001E-2</v>
      </c>
      <c r="I15">
        <v>208089</v>
      </c>
      <c r="K15" s="68" t="s">
        <v>123</v>
      </c>
      <c r="L15" s="68">
        <f>SUM(B93:B99)</f>
        <v>2305</v>
      </c>
      <c r="M15" s="68">
        <f>SUM(C93:C99)</f>
        <v>15</v>
      </c>
      <c r="N15" s="68">
        <f>ROUND(AVERAGE(D93:D99),4)</f>
        <v>0.88</v>
      </c>
      <c r="O15" s="68">
        <f>SUM(E93:E99)</f>
        <v>560</v>
      </c>
      <c r="P15" s="68">
        <f>SUM(F93:F99)</f>
        <v>2006</v>
      </c>
      <c r="Q15" s="68">
        <f>SUM(G93:G99)</f>
        <v>297696</v>
      </c>
      <c r="R15" s="68">
        <f>ROUND(AVERAGE(H93:H99),4)</f>
        <v>8.0000000000000002E-3</v>
      </c>
      <c r="S15" s="68">
        <f>SUM(I99)</f>
        <v>1134005</v>
      </c>
    </row>
    <row r="16" spans="1:22">
      <c r="A16" s="1">
        <v>44242</v>
      </c>
      <c r="B16">
        <v>1303</v>
      </c>
      <c r="C16">
        <v>90</v>
      </c>
      <c r="D16">
        <v>0.48</v>
      </c>
      <c r="E16">
        <v>784</v>
      </c>
      <c r="F16">
        <v>4832</v>
      </c>
      <c r="G16">
        <v>33135</v>
      </c>
      <c r="H16">
        <v>8.7300000000000003E-2</v>
      </c>
      <c r="I16">
        <v>218125</v>
      </c>
      <c r="K16" s="68" t="s">
        <v>124</v>
      </c>
      <c r="L16" s="68">
        <f>SUM(B100:B106)</f>
        <v>2600</v>
      </c>
      <c r="M16" s="68">
        <f>SUM(C100:C106)</f>
        <v>15</v>
      </c>
      <c r="N16" s="68">
        <f>ROUND(AVERAGE(D100:D106),4)</f>
        <v>1.0128999999999999</v>
      </c>
      <c r="O16" s="68">
        <f>SUM(E100:E106)</f>
        <v>504</v>
      </c>
      <c r="P16" s="68">
        <f>SUM(F100:F106)</f>
        <v>1730</v>
      </c>
      <c r="Q16" s="68">
        <f>SUM(G100:G106)</f>
        <v>258409</v>
      </c>
      <c r="R16" s="68">
        <f>ROUND(AVERAGE(H100:H106),4)</f>
        <v>9.1999999999999998E-3</v>
      </c>
      <c r="S16" s="68">
        <f>SUM(I106)</f>
        <v>1411270</v>
      </c>
    </row>
    <row r="17" spans="1:19">
      <c r="A17" s="1">
        <v>44243</v>
      </c>
      <c r="B17">
        <v>1502</v>
      </c>
      <c r="C17">
        <v>111</v>
      </c>
      <c r="D17">
        <v>0.47</v>
      </c>
      <c r="E17">
        <v>752</v>
      </c>
      <c r="F17">
        <v>4482</v>
      </c>
      <c r="G17">
        <v>32083</v>
      </c>
      <c r="H17">
        <v>8.5000000000000006E-2</v>
      </c>
      <c r="I17">
        <v>223711</v>
      </c>
      <c r="K17" s="68" t="s">
        <v>126</v>
      </c>
      <c r="L17" s="68">
        <f>SUM(B107:B113)</f>
        <v>3042</v>
      </c>
      <c r="M17" s="68">
        <f>SUM(C107:C113)</f>
        <v>10</v>
      </c>
      <c r="N17" s="68">
        <f>ROUND(AVERAGE(D107:D113),4)</f>
        <v>1.1000000000000001</v>
      </c>
      <c r="O17" s="68">
        <f>SUM(E107:E113)</f>
        <v>424</v>
      </c>
      <c r="P17" s="68">
        <f>SUM(F107:F113)</f>
        <v>1535</v>
      </c>
      <c r="Q17" s="68">
        <f>SUM(G107:G113)</f>
        <v>268829</v>
      </c>
      <c r="R17" s="68">
        <f>ROUND(AVERAGE(H107:H113),4)</f>
        <v>1.0699999999999999E-2</v>
      </c>
      <c r="S17" s="68">
        <f>SUM(I113)</f>
        <v>1638859</v>
      </c>
    </row>
    <row r="18" spans="1:19">
      <c r="A18" s="1">
        <v>44244</v>
      </c>
      <c r="B18">
        <v>2324</v>
      </c>
      <c r="C18">
        <v>127</v>
      </c>
      <c r="D18">
        <v>0.47</v>
      </c>
      <c r="E18">
        <v>719</v>
      </c>
      <c r="F18">
        <v>4137</v>
      </c>
      <c r="G18">
        <v>34354</v>
      </c>
      <c r="H18">
        <v>7.6399999999999996E-2</v>
      </c>
      <c r="I18">
        <v>229743</v>
      </c>
      <c r="K18" s="68" t="s">
        <v>125</v>
      </c>
      <c r="L18" s="68">
        <f>SUM(B114:B120)</f>
        <v>3434</v>
      </c>
      <c r="M18" s="68">
        <f>SUM(C114:C120)</f>
        <v>6</v>
      </c>
      <c r="N18" s="68">
        <f>ROUND(AVERAGE(D114:D120),4)</f>
        <v>1.1399999999999999</v>
      </c>
      <c r="O18" s="68">
        <f>SUM(E114:E120)</f>
        <v>370</v>
      </c>
      <c r="P18" s="68">
        <f>SUM(F114:F120)</f>
        <v>1703</v>
      </c>
      <c r="Q18" s="68">
        <f>SUM(G114:G120)</f>
        <v>313589</v>
      </c>
      <c r="R18" s="68">
        <f>ROUND(AVERAGE(H114:H120),4)</f>
        <v>1.1299999999999999E-2</v>
      </c>
      <c r="S18" s="68">
        <f>SUM(I120)</f>
        <v>1949349</v>
      </c>
    </row>
    <row r="19" spans="1:19">
      <c r="A19" s="1">
        <v>44245</v>
      </c>
      <c r="B19">
        <v>1944</v>
      </c>
      <c r="C19">
        <v>105</v>
      </c>
      <c r="D19">
        <v>0.47</v>
      </c>
      <c r="E19">
        <v>688</v>
      </c>
      <c r="F19">
        <v>3819</v>
      </c>
      <c r="G19">
        <v>33985</v>
      </c>
      <c r="H19">
        <v>7.0199999999999999E-2</v>
      </c>
      <c r="I19">
        <v>237696</v>
      </c>
      <c r="M19" s="68"/>
      <c r="O19" s="68"/>
    </row>
    <row r="20" spans="1:19">
      <c r="A20" s="1">
        <v>44246</v>
      </c>
      <c r="B20">
        <v>1940</v>
      </c>
      <c r="C20">
        <v>67</v>
      </c>
      <c r="D20">
        <v>0.48</v>
      </c>
      <c r="E20">
        <v>669</v>
      </c>
      <c r="F20">
        <v>3584</v>
      </c>
      <c r="G20">
        <v>33887</v>
      </c>
      <c r="H20">
        <v>6.7400000000000002E-2</v>
      </c>
      <c r="I20">
        <v>250400</v>
      </c>
    </row>
    <row r="21" spans="1:19">
      <c r="A21" s="1">
        <v>44247</v>
      </c>
      <c r="B21">
        <v>1570</v>
      </c>
      <c r="C21">
        <v>76</v>
      </c>
      <c r="D21">
        <v>0.48</v>
      </c>
      <c r="E21">
        <v>656</v>
      </c>
      <c r="F21">
        <v>3284</v>
      </c>
      <c r="G21">
        <v>21848</v>
      </c>
      <c r="H21">
        <v>6.0900000000000003E-2</v>
      </c>
      <c r="I21">
        <v>263354</v>
      </c>
    </row>
    <row r="22" spans="1:19">
      <c r="A22" s="1">
        <v>44248</v>
      </c>
      <c r="B22">
        <v>1186</v>
      </c>
      <c r="C22">
        <v>65</v>
      </c>
      <c r="D22">
        <v>0.49</v>
      </c>
      <c r="E22">
        <v>638</v>
      </c>
      <c r="F22">
        <v>3316</v>
      </c>
      <c r="G22">
        <v>10854</v>
      </c>
      <c r="H22">
        <v>5.8799999999999998E-2</v>
      </c>
      <c r="I22">
        <v>266858</v>
      </c>
    </row>
    <row r="23" spans="1:19">
      <c r="A23" s="1">
        <v>44249</v>
      </c>
      <c r="B23">
        <v>549</v>
      </c>
      <c r="C23">
        <v>61</v>
      </c>
      <c r="D23">
        <v>0.49</v>
      </c>
      <c r="E23">
        <v>627</v>
      </c>
      <c r="F23">
        <v>3322</v>
      </c>
      <c r="G23">
        <v>31296</v>
      </c>
      <c r="H23">
        <v>5.5500000000000001E-2</v>
      </c>
      <c r="I23">
        <v>269203</v>
      </c>
    </row>
    <row r="24" spans="1:19">
      <c r="A24" s="1">
        <v>44250</v>
      </c>
      <c r="B24">
        <v>1032</v>
      </c>
      <c r="C24">
        <v>63</v>
      </c>
      <c r="D24">
        <v>0.49</v>
      </c>
      <c r="E24">
        <v>597</v>
      </c>
      <c r="F24">
        <v>3012</v>
      </c>
      <c r="G24">
        <v>31577</v>
      </c>
      <c r="H24">
        <v>5.33E-2</v>
      </c>
      <c r="I24">
        <v>270927</v>
      </c>
    </row>
    <row r="25" spans="1:19">
      <c r="A25" s="1">
        <v>44251</v>
      </c>
      <c r="B25">
        <v>1480</v>
      </c>
      <c r="C25">
        <v>50</v>
      </c>
      <c r="D25">
        <v>0.5</v>
      </c>
      <c r="E25">
        <v>567</v>
      </c>
      <c r="F25">
        <v>2767</v>
      </c>
      <c r="G25">
        <v>31235</v>
      </c>
      <c r="H25">
        <v>4.9799999999999997E-2</v>
      </c>
      <c r="I25">
        <v>273148</v>
      </c>
    </row>
    <row r="26" spans="1:19">
      <c r="A26" s="1">
        <v>44252</v>
      </c>
      <c r="B26">
        <v>1160</v>
      </c>
      <c r="C26">
        <v>49</v>
      </c>
      <c r="D26">
        <v>0.5</v>
      </c>
      <c r="E26">
        <v>536</v>
      </c>
      <c r="F26">
        <v>2613</v>
      </c>
      <c r="G26">
        <v>30974</v>
      </c>
      <c r="H26">
        <v>4.65E-2</v>
      </c>
      <c r="I26">
        <v>276637</v>
      </c>
    </row>
    <row r="27" spans="1:19">
      <c r="A27" s="1">
        <v>44253</v>
      </c>
      <c r="B27">
        <v>1027</v>
      </c>
      <c r="C27">
        <v>58</v>
      </c>
      <c r="D27">
        <v>0.51</v>
      </c>
      <c r="E27">
        <v>522</v>
      </c>
      <c r="F27">
        <v>2404</v>
      </c>
      <c r="G27">
        <v>32910</v>
      </c>
      <c r="H27">
        <v>4.2000000000000003E-2</v>
      </c>
      <c r="I27">
        <v>279729</v>
      </c>
    </row>
    <row r="28" spans="1:19">
      <c r="A28" s="1">
        <v>44254</v>
      </c>
      <c r="B28">
        <v>1071</v>
      </c>
      <c r="C28">
        <v>33</v>
      </c>
      <c r="D28">
        <v>0.53</v>
      </c>
      <c r="E28">
        <v>492</v>
      </c>
      <c r="F28">
        <v>2180</v>
      </c>
      <c r="G28">
        <v>20380</v>
      </c>
      <c r="H28">
        <v>3.9699999999999999E-2</v>
      </c>
      <c r="I28">
        <v>285185</v>
      </c>
    </row>
    <row r="29" spans="1:19">
      <c r="A29" s="1">
        <v>44255</v>
      </c>
      <c r="B29">
        <v>718</v>
      </c>
      <c r="C29">
        <v>41</v>
      </c>
      <c r="D29">
        <v>0.54</v>
      </c>
      <c r="E29">
        <v>484</v>
      </c>
      <c r="F29">
        <v>2165</v>
      </c>
      <c r="G29">
        <v>11439</v>
      </c>
      <c r="H29">
        <v>3.7100000000000001E-2</v>
      </c>
      <c r="I29">
        <v>286470</v>
      </c>
    </row>
    <row r="30" spans="1:19">
      <c r="A30" s="1">
        <v>44256</v>
      </c>
      <c r="B30">
        <v>394</v>
      </c>
      <c r="C30">
        <v>34</v>
      </c>
      <c r="D30">
        <v>0.56000000000000005</v>
      </c>
      <c r="E30">
        <v>469</v>
      </c>
      <c r="F30">
        <v>2167</v>
      </c>
      <c r="G30">
        <v>26639</v>
      </c>
      <c r="H30">
        <v>3.7199999999999997E-2</v>
      </c>
      <c r="I30">
        <v>290637</v>
      </c>
    </row>
    <row r="31" spans="1:19">
      <c r="A31" s="1">
        <v>44257</v>
      </c>
      <c r="B31">
        <v>691</v>
      </c>
      <c r="C31">
        <v>38</v>
      </c>
      <c r="D31">
        <v>0.56999999999999995</v>
      </c>
      <c r="E31">
        <v>446</v>
      </c>
      <c r="F31">
        <v>1997</v>
      </c>
      <c r="G31">
        <v>29735</v>
      </c>
      <c r="H31">
        <v>3.5700000000000003E-2</v>
      </c>
      <c r="I31">
        <v>291987</v>
      </c>
    </row>
    <row r="32" spans="1:19">
      <c r="A32" s="1">
        <v>44258</v>
      </c>
      <c r="B32">
        <v>979</v>
      </c>
      <c r="C32">
        <v>41</v>
      </c>
      <c r="D32">
        <v>0.59</v>
      </c>
      <c r="E32">
        <v>415</v>
      </c>
      <c r="F32">
        <v>1827</v>
      </c>
      <c r="G32">
        <v>29388</v>
      </c>
      <c r="H32">
        <v>3.3300000000000003E-2</v>
      </c>
      <c r="I32">
        <v>293652</v>
      </c>
    </row>
    <row r="33" spans="1:9">
      <c r="A33" s="1">
        <v>44259</v>
      </c>
      <c r="B33">
        <v>830</v>
      </c>
      <c r="C33">
        <v>28</v>
      </c>
      <c r="D33">
        <v>0.61</v>
      </c>
      <c r="E33">
        <v>399</v>
      </c>
      <c r="F33">
        <v>1708</v>
      </c>
      <c r="G33">
        <v>28081</v>
      </c>
      <c r="H33">
        <v>3.2000000000000001E-2</v>
      </c>
      <c r="I33">
        <v>298685</v>
      </c>
    </row>
    <row r="34" spans="1:9">
      <c r="A34" s="1">
        <v>44260</v>
      </c>
      <c r="B34">
        <v>949</v>
      </c>
      <c r="C34">
        <v>28</v>
      </c>
      <c r="D34">
        <v>0.64</v>
      </c>
      <c r="E34">
        <v>383</v>
      </c>
      <c r="F34">
        <v>1583</v>
      </c>
      <c r="G34">
        <v>28636</v>
      </c>
      <c r="H34">
        <v>3.2300000000000002E-2</v>
      </c>
      <c r="I34">
        <v>304494</v>
      </c>
    </row>
    <row r="35" spans="1:9">
      <c r="A35" s="1">
        <v>44261</v>
      </c>
      <c r="B35">
        <v>1007</v>
      </c>
      <c r="C35">
        <v>26</v>
      </c>
      <c r="D35">
        <v>0.66</v>
      </c>
      <c r="E35">
        <v>363</v>
      </c>
      <c r="F35">
        <v>1416</v>
      </c>
      <c r="G35">
        <v>19891</v>
      </c>
      <c r="H35">
        <v>3.2000000000000001E-2</v>
      </c>
      <c r="I35">
        <v>313101</v>
      </c>
    </row>
    <row r="36" spans="1:9">
      <c r="A36" s="1">
        <v>44262</v>
      </c>
      <c r="B36">
        <v>682</v>
      </c>
      <c r="C36">
        <v>28</v>
      </c>
      <c r="D36">
        <v>0.67</v>
      </c>
      <c r="E36">
        <v>354</v>
      </c>
      <c r="F36">
        <v>1414</v>
      </c>
      <c r="G36">
        <v>9396</v>
      </c>
      <c r="H36">
        <v>3.2199999999999999E-2</v>
      </c>
      <c r="I36">
        <v>317254</v>
      </c>
    </row>
    <row r="37" spans="1:9">
      <c r="A37" s="1">
        <v>44263</v>
      </c>
      <c r="B37">
        <v>365</v>
      </c>
      <c r="C37">
        <v>25</v>
      </c>
      <c r="D37">
        <v>0.67</v>
      </c>
      <c r="E37">
        <v>342</v>
      </c>
      <c r="F37">
        <v>1403</v>
      </c>
      <c r="G37">
        <v>25303</v>
      </c>
      <c r="H37">
        <v>3.2300000000000002E-2</v>
      </c>
      <c r="I37">
        <v>324862</v>
      </c>
    </row>
    <row r="38" spans="1:9">
      <c r="A38" s="1">
        <v>44264</v>
      </c>
      <c r="B38">
        <v>847</v>
      </c>
      <c r="C38">
        <v>30</v>
      </c>
      <c r="D38">
        <v>0.67</v>
      </c>
      <c r="E38">
        <v>312</v>
      </c>
      <c r="F38">
        <v>1278</v>
      </c>
      <c r="G38">
        <v>24513</v>
      </c>
      <c r="H38">
        <v>3.4299999999999997E-2</v>
      </c>
      <c r="I38">
        <v>327040</v>
      </c>
    </row>
    <row r="39" spans="1:9">
      <c r="A39" s="1">
        <v>44265</v>
      </c>
      <c r="B39">
        <v>642</v>
      </c>
      <c r="C39">
        <v>22</v>
      </c>
      <c r="D39">
        <v>0.65</v>
      </c>
      <c r="E39">
        <v>283</v>
      </c>
      <c r="F39">
        <v>1201</v>
      </c>
      <c r="G39">
        <v>26627</v>
      </c>
      <c r="H39">
        <v>3.2800000000000003E-2</v>
      </c>
      <c r="I39">
        <v>328946</v>
      </c>
    </row>
    <row r="40" spans="1:9">
      <c r="A40" s="1">
        <v>44266</v>
      </c>
      <c r="B40">
        <v>627</v>
      </c>
      <c r="C40">
        <v>18</v>
      </c>
      <c r="D40">
        <v>0.65</v>
      </c>
      <c r="E40">
        <v>273</v>
      </c>
      <c r="F40">
        <v>1102</v>
      </c>
      <c r="G40">
        <v>24313</v>
      </c>
      <c r="H40">
        <v>3.2300000000000002E-2</v>
      </c>
      <c r="I40">
        <v>337944</v>
      </c>
    </row>
    <row r="41" spans="1:9">
      <c r="A41" s="1">
        <v>44267</v>
      </c>
      <c r="B41">
        <v>577</v>
      </c>
      <c r="C41">
        <v>15</v>
      </c>
      <c r="D41">
        <v>0.66</v>
      </c>
      <c r="E41">
        <v>266</v>
      </c>
      <c r="F41">
        <v>1046</v>
      </c>
      <c r="G41">
        <v>27281</v>
      </c>
      <c r="H41">
        <v>3.0200000000000001E-2</v>
      </c>
      <c r="I41">
        <v>352247</v>
      </c>
    </row>
    <row r="42" spans="1:9">
      <c r="A42" s="1">
        <v>44268</v>
      </c>
      <c r="B42">
        <v>564</v>
      </c>
      <c r="C42">
        <v>19</v>
      </c>
      <c r="D42">
        <v>0.68</v>
      </c>
      <c r="E42">
        <v>253</v>
      </c>
      <c r="F42">
        <v>980</v>
      </c>
      <c r="G42">
        <v>21016</v>
      </c>
      <c r="H42">
        <v>2.7199999999999998E-2</v>
      </c>
      <c r="I42">
        <v>365719</v>
      </c>
    </row>
    <row r="43" spans="1:9">
      <c r="A43" s="1">
        <v>44269</v>
      </c>
      <c r="B43">
        <v>541</v>
      </c>
      <c r="C43">
        <v>15</v>
      </c>
      <c r="D43">
        <v>0.69</v>
      </c>
      <c r="E43">
        <v>242</v>
      </c>
      <c r="F43">
        <v>976</v>
      </c>
      <c r="G43">
        <v>9709</v>
      </c>
      <c r="H43">
        <v>2.6200000000000001E-2</v>
      </c>
      <c r="I43">
        <v>371084</v>
      </c>
    </row>
    <row r="44" spans="1:9">
      <c r="A44" s="1">
        <v>44270</v>
      </c>
      <c r="B44">
        <v>256</v>
      </c>
      <c r="C44">
        <v>10</v>
      </c>
      <c r="D44">
        <v>0.7</v>
      </c>
      <c r="E44">
        <v>231</v>
      </c>
      <c r="F44">
        <v>996</v>
      </c>
      <c r="G44">
        <v>26427</v>
      </c>
      <c r="H44">
        <v>2.5399999999999999E-2</v>
      </c>
      <c r="I44">
        <v>377464</v>
      </c>
    </row>
    <row r="45" spans="1:9">
      <c r="A45" s="1">
        <v>44271</v>
      </c>
      <c r="B45">
        <v>384</v>
      </c>
      <c r="C45">
        <v>13</v>
      </c>
      <c r="D45">
        <v>0.71</v>
      </c>
      <c r="E45">
        <v>213</v>
      </c>
      <c r="F45">
        <v>955</v>
      </c>
      <c r="G45">
        <v>41394</v>
      </c>
      <c r="H45">
        <v>2.0299999999999999E-2</v>
      </c>
      <c r="I45">
        <v>380479</v>
      </c>
    </row>
    <row r="46" spans="1:9">
      <c r="A46" s="1">
        <v>44272</v>
      </c>
      <c r="B46">
        <v>673</v>
      </c>
      <c r="C46">
        <v>15</v>
      </c>
      <c r="D46">
        <v>0.72</v>
      </c>
      <c r="E46">
        <v>205</v>
      </c>
      <c r="F46">
        <v>856</v>
      </c>
      <c r="G46">
        <v>48102</v>
      </c>
      <c r="H46">
        <v>1.83E-2</v>
      </c>
      <c r="I46">
        <v>386426</v>
      </c>
    </row>
    <row r="47" spans="1:9">
      <c r="A47" s="1">
        <v>44273</v>
      </c>
      <c r="B47">
        <v>485</v>
      </c>
      <c r="C47">
        <v>21</v>
      </c>
      <c r="D47">
        <v>0.74</v>
      </c>
      <c r="E47">
        <v>187</v>
      </c>
      <c r="F47">
        <v>828</v>
      </c>
      <c r="G47">
        <v>52896</v>
      </c>
      <c r="H47">
        <v>1.5299999999999999E-2</v>
      </c>
      <c r="I47">
        <v>408323</v>
      </c>
    </row>
    <row r="48" spans="1:9">
      <c r="A48" s="1">
        <v>44274</v>
      </c>
      <c r="B48">
        <v>568</v>
      </c>
      <c r="C48">
        <v>11</v>
      </c>
      <c r="D48">
        <v>0.76</v>
      </c>
      <c r="E48">
        <v>182</v>
      </c>
      <c r="F48">
        <v>789</v>
      </c>
      <c r="G48">
        <v>53485</v>
      </c>
      <c r="H48">
        <v>1.37E-2</v>
      </c>
      <c r="I48">
        <v>441676</v>
      </c>
    </row>
    <row r="49" spans="1:9">
      <c r="A49" s="1">
        <v>44275</v>
      </c>
      <c r="B49">
        <v>457</v>
      </c>
      <c r="C49">
        <v>8</v>
      </c>
      <c r="D49">
        <v>0.77</v>
      </c>
      <c r="E49">
        <v>170</v>
      </c>
      <c r="F49">
        <v>744</v>
      </c>
      <c r="G49">
        <v>33514</v>
      </c>
      <c r="H49">
        <v>1.2699999999999999E-2</v>
      </c>
      <c r="I49">
        <v>469651</v>
      </c>
    </row>
    <row r="50" spans="1:9">
      <c r="A50" s="1">
        <v>44276</v>
      </c>
      <c r="B50">
        <v>450</v>
      </c>
      <c r="C50">
        <v>6</v>
      </c>
      <c r="D50">
        <v>0.79</v>
      </c>
      <c r="E50">
        <v>170</v>
      </c>
      <c r="F50">
        <v>765</v>
      </c>
      <c r="G50">
        <v>10254</v>
      </c>
      <c r="H50">
        <v>1.23E-2</v>
      </c>
      <c r="I50">
        <v>482561</v>
      </c>
    </row>
    <row r="51" spans="1:9">
      <c r="A51" s="1">
        <v>44277</v>
      </c>
      <c r="B51">
        <v>248</v>
      </c>
      <c r="C51">
        <v>16</v>
      </c>
      <c r="D51">
        <v>0.8</v>
      </c>
      <c r="E51">
        <v>165</v>
      </c>
      <c r="F51">
        <v>771</v>
      </c>
      <c r="G51">
        <v>30283</v>
      </c>
      <c r="H51">
        <v>1.21E-2</v>
      </c>
      <c r="I51">
        <v>488236</v>
      </c>
    </row>
    <row r="52" spans="1:9">
      <c r="A52" s="1">
        <v>44278</v>
      </c>
      <c r="B52">
        <v>434</v>
      </c>
      <c r="C52">
        <v>10</v>
      </c>
      <c r="D52">
        <v>0.81</v>
      </c>
      <c r="E52">
        <v>159</v>
      </c>
      <c r="F52">
        <v>743</v>
      </c>
      <c r="G52">
        <v>31200</v>
      </c>
      <c r="H52">
        <v>1.2800000000000001E-2</v>
      </c>
      <c r="I52">
        <v>495868</v>
      </c>
    </row>
    <row r="53" spans="1:9">
      <c r="A53" s="1">
        <v>44279</v>
      </c>
      <c r="B53">
        <v>575</v>
      </c>
      <c r="C53">
        <v>11</v>
      </c>
      <c r="D53">
        <v>0.82</v>
      </c>
      <c r="E53">
        <v>155</v>
      </c>
      <c r="F53">
        <v>712</v>
      </c>
      <c r="G53">
        <v>29256</v>
      </c>
      <c r="H53">
        <v>1.34E-2</v>
      </c>
      <c r="I53">
        <v>497940</v>
      </c>
    </row>
    <row r="54" spans="1:9">
      <c r="A54" s="1">
        <v>44280</v>
      </c>
      <c r="B54">
        <v>423</v>
      </c>
      <c r="C54">
        <v>9</v>
      </c>
      <c r="D54">
        <v>0.83</v>
      </c>
      <c r="E54">
        <v>154</v>
      </c>
      <c r="F54">
        <v>695</v>
      </c>
      <c r="G54">
        <v>27478</v>
      </c>
      <c r="H54">
        <v>1.46E-2</v>
      </c>
      <c r="I54">
        <v>501547</v>
      </c>
    </row>
    <row r="55" spans="1:9">
      <c r="A55" s="1">
        <v>44281</v>
      </c>
      <c r="B55">
        <v>488</v>
      </c>
      <c r="C55">
        <v>5</v>
      </c>
      <c r="D55">
        <v>0.84</v>
      </c>
      <c r="E55">
        <v>155</v>
      </c>
      <c r="F55">
        <v>669</v>
      </c>
      <c r="G55">
        <v>30147</v>
      </c>
      <c r="H55">
        <v>1.6E-2</v>
      </c>
      <c r="I55">
        <v>506051</v>
      </c>
    </row>
    <row r="56" spans="1:9">
      <c r="A56" s="1">
        <v>44282</v>
      </c>
      <c r="B56">
        <v>344</v>
      </c>
      <c r="C56">
        <v>8</v>
      </c>
      <c r="D56">
        <v>0.86</v>
      </c>
      <c r="E56">
        <v>148</v>
      </c>
      <c r="F56">
        <v>618</v>
      </c>
      <c r="G56">
        <v>22158</v>
      </c>
      <c r="H56">
        <v>1.6400000000000001E-2</v>
      </c>
      <c r="I56">
        <v>508507</v>
      </c>
    </row>
    <row r="57" spans="1:9">
      <c r="A57" s="1">
        <v>44283</v>
      </c>
      <c r="B57">
        <v>365</v>
      </c>
      <c r="C57">
        <v>10</v>
      </c>
      <c r="D57">
        <v>0.89</v>
      </c>
      <c r="E57">
        <v>142</v>
      </c>
      <c r="F57">
        <v>633</v>
      </c>
      <c r="G57">
        <v>10845</v>
      </c>
      <c r="H57">
        <v>1.5900000000000001E-2</v>
      </c>
      <c r="I57">
        <v>510025</v>
      </c>
    </row>
    <row r="58" spans="1:9">
      <c r="A58" s="1">
        <v>44284</v>
      </c>
      <c r="B58">
        <v>309</v>
      </c>
      <c r="C58">
        <v>6</v>
      </c>
      <c r="D58">
        <v>0.92</v>
      </c>
      <c r="E58">
        <v>136</v>
      </c>
      <c r="F58">
        <v>623</v>
      </c>
      <c r="G58">
        <v>30192</v>
      </c>
      <c r="H58">
        <v>1.6199999999999999E-2</v>
      </c>
      <c r="I58">
        <v>511095</v>
      </c>
    </row>
    <row r="59" spans="1:9">
      <c r="A59" s="1">
        <v>44285</v>
      </c>
      <c r="B59">
        <v>388</v>
      </c>
      <c r="C59">
        <v>2</v>
      </c>
      <c r="D59">
        <v>0.94</v>
      </c>
      <c r="E59">
        <v>129</v>
      </c>
      <c r="F59">
        <v>584</v>
      </c>
      <c r="G59">
        <v>29244</v>
      </c>
      <c r="H59">
        <v>1.61E-2</v>
      </c>
      <c r="I59">
        <v>513723</v>
      </c>
    </row>
    <row r="60" spans="1:9">
      <c r="A60" s="1">
        <v>44286</v>
      </c>
      <c r="B60">
        <v>618</v>
      </c>
      <c r="C60">
        <v>3</v>
      </c>
      <c r="D60">
        <v>0.97</v>
      </c>
      <c r="E60">
        <v>127</v>
      </c>
      <c r="F60">
        <v>558</v>
      </c>
      <c r="G60">
        <v>28880</v>
      </c>
      <c r="H60">
        <v>1.6400000000000001E-2</v>
      </c>
      <c r="I60">
        <v>517319</v>
      </c>
    </row>
    <row r="61" spans="1:9">
      <c r="A61" s="1">
        <v>44287</v>
      </c>
      <c r="B61">
        <v>592</v>
      </c>
      <c r="C61">
        <v>11</v>
      </c>
      <c r="D61">
        <v>0.98</v>
      </c>
      <c r="E61">
        <v>129</v>
      </c>
      <c r="F61">
        <v>538</v>
      </c>
      <c r="G61">
        <v>28742</v>
      </c>
      <c r="H61">
        <v>1.72E-2</v>
      </c>
      <c r="I61">
        <v>527026</v>
      </c>
    </row>
    <row r="62" spans="1:9">
      <c r="A62" s="1">
        <v>44288</v>
      </c>
      <c r="B62">
        <v>548</v>
      </c>
      <c r="C62">
        <v>9</v>
      </c>
      <c r="D62">
        <v>0.98</v>
      </c>
      <c r="E62">
        <v>131</v>
      </c>
      <c r="F62">
        <v>513</v>
      </c>
      <c r="G62">
        <v>14921</v>
      </c>
      <c r="H62">
        <v>1.9199999999999998E-2</v>
      </c>
      <c r="I62">
        <v>569074</v>
      </c>
    </row>
    <row r="63" spans="1:9">
      <c r="A63" s="1">
        <v>44289</v>
      </c>
      <c r="B63">
        <v>280</v>
      </c>
      <c r="C63">
        <v>7</v>
      </c>
      <c r="D63">
        <v>0.97</v>
      </c>
      <c r="E63">
        <v>126</v>
      </c>
      <c r="F63">
        <v>512</v>
      </c>
      <c r="G63">
        <v>23135</v>
      </c>
      <c r="H63">
        <v>1.8700000000000001E-2</v>
      </c>
      <c r="I63">
        <v>585830</v>
      </c>
    </row>
    <row r="64" spans="1:9">
      <c r="A64" s="1">
        <v>44290</v>
      </c>
      <c r="B64">
        <v>193</v>
      </c>
      <c r="C64">
        <v>4</v>
      </c>
      <c r="D64">
        <v>1</v>
      </c>
      <c r="E64">
        <v>117</v>
      </c>
      <c r="F64">
        <v>517</v>
      </c>
      <c r="G64">
        <v>12404</v>
      </c>
      <c r="H64">
        <v>1.7500000000000002E-2</v>
      </c>
      <c r="I64">
        <v>592953</v>
      </c>
    </row>
    <row r="65" spans="1:9">
      <c r="A65" s="1">
        <v>44291</v>
      </c>
      <c r="B65">
        <v>159</v>
      </c>
      <c r="C65">
        <v>6</v>
      </c>
      <c r="D65">
        <v>1.06</v>
      </c>
      <c r="E65">
        <v>112</v>
      </c>
      <c r="F65">
        <v>536</v>
      </c>
      <c r="G65">
        <v>59246</v>
      </c>
      <c r="H65">
        <v>1.41E-2</v>
      </c>
      <c r="I65">
        <v>596680</v>
      </c>
    </row>
    <row r="66" spans="1:9">
      <c r="A66" s="1">
        <v>44292</v>
      </c>
      <c r="B66">
        <v>874</v>
      </c>
      <c r="C66">
        <v>2</v>
      </c>
      <c r="D66">
        <v>1.1399999999999999</v>
      </c>
      <c r="E66">
        <v>113</v>
      </c>
      <c r="F66">
        <v>504</v>
      </c>
      <c r="G66">
        <v>63682</v>
      </c>
      <c r="H66">
        <v>1.41E-2</v>
      </c>
      <c r="I66">
        <v>602600</v>
      </c>
    </row>
    <row r="67" spans="1:9">
      <c r="A67" s="1">
        <v>44293</v>
      </c>
      <c r="B67">
        <v>663</v>
      </c>
      <c r="C67">
        <v>3</v>
      </c>
      <c r="D67">
        <v>1.1399999999999999</v>
      </c>
      <c r="E67">
        <v>116</v>
      </c>
      <c r="F67">
        <v>488</v>
      </c>
      <c r="G67">
        <v>63338</v>
      </c>
      <c r="H67">
        <v>1.2500000000000001E-2</v>
      </c>
      <c r="I67">
        <v>605682</v>
      </c>
    </row>
    <row r="68" spans="1:9">
      <c r="A68" s="1">
        <v>44294</v>
      </c>
      <c r="B68">
        <v>602</v>
      </c>
      <c r="C68">
        <v>9</v>
      </c>
      <c r="D68">
        <v>1.1299999999999999</v>
      </c>
      <c r="E68">
        <v>122</v>
      </c>
      <c r="F68">
        <v>495</v>
      </c>
      <c r="G68">
        <v>58289</v>
      </c>
      <c r="H68">
        <v>1.1299999999999999E-2</v>
      </c>
      <c r="I68">
        <v>616121</v>
      </c>
    </row>
    <row r="69" spans="1:9">
      <c r="A69" s="1">
        <v>44295</v>
      </c>
      <c r="B69">
        <v>694</v>
      </c>
      <c r="C69">
        <v>5</v>
      </c>
      <c r="D69">
        <v>1.1200000000000001</v>
      </c>
      <c r="E69">
        <v>128</v>
      </c>
      <c r="F69">
        <v>486</v>
      </c>
      <c r="G69">
        <v>60156</v>
      </c>
      <c r="H69">
        <v>1.0200000000000001E-2</v>
      </c>
      <c r="I69">
        <v>631127</v>
      </c>
    </row>
    <row r="70" spans="1:9">
      <c r="A70" s="1">
        <v>44296</v>
      </c>
      <c r="B70">
        <v>601</v>
      </c>
      <c r="C70">
        <v>6</v>
      </c>
      <c r="D70">
        <v>1.1000000000000001</v>
      </c>
      <c r="E70">
        <v>119</v>
      </c>
      <c r="F70">
        <v>466</v>
      </c>
      <c r="G70">
        <v>31800</v>
      </c>
      <c r="H70">
        <v>1.09E-2</v>
      </c>
      <c r="I70">
        <v>643712</v>
      </c>
    </row>
    <row r="71" spans="1:9">
      <c r="A71" s="1">
        <v>44297</v>
      </c>
      <c r="B71">
        <v>566</v>
      </c>
      <c r="C71">
        <v>6</v>
      </c>
      <c r="D71">
        <v>1.07</v>
      </c>
      <c r="E71">
        <v>113</v>
      </c>
      <c r="F71">
        <v>466</v>
      </c>
      <c r="G71">
        <v>12842</v>
      </c>
      <c r="H71">
        <v>1.1900000000000001E-2</v>
      </c>
      <c r="I71">
        <v>645818</v>
      </c>
    </row>
    <row r="72" spans="1:9">
      <c r="A72" s="1">
        <v>44298</v>
      </c>
      <c r="B72">
        <v>271</v>
      </c>
      <c r="C72">
        <v>2</v>
      </c>
      <c r="D72">
        <v>1.04</v>
      </c>
      <c r="E72">
        <v>119</v>
      </c>
      <c r="F72">
        <v>479</v>
      </c>
      <c r="G72">
        <v>38795</v>
      </c>
      <c r="H72">
        <v>1.2999999999999999E-2</v>
      </c>
      <c r="I72">
        <v>651251</v>
      </c>
    </row>
    <row r="73" spans="1:9">
      <c r="A73" s="1">
        <v>44299</v>
      </c>
      <c r="B73">
        <v>408</v>
      </c>
      <c r="C73">
        <v>5</v>
      </c>
      <c r="D73">
        <v>1.01</v>
      </c>
      <c r="E73">
        <v>118</v>
      </c>
      <c r="F73">
        <v>459</v>
      </c>
      <c r="G73">
        <v>41484</v>
      </c>
      <c r="H73">
        <v>1.24E-2</v>
      </c>
      <c r="I73">
        <v>653413</v>
      </c>
    </row>
    <row r="74" spans="1:9">
      <c r="A74" s="1">
        <v>44300</v>
      </c>
      <c r="B74">
        <v>684</v>
      </c>
      <c r="C74">
        <v>8</v>
      </c>
      <c r="D74">
        <v>1.01</v>
      </c>
      <c r="E74">
        <v>116</v>
      </c>
      <c r="F74">
        <v>447</v>
      </c>
      <c r="G74">
        <v>41634</v>
      </c>
      <c r="H74">
        <v>1.34E-2</v>
      </c>
      <c r="I74">
        <v>655193</v>
      </c>
    </row>
    <row r="75" spans="1:9">
      <c r="A75" s="1">
        <v>44301</v>
      </c>
      <c r="B75">
        <v>501</v>
      </c>
      <c r="C75">
        <v>2</v>
      </c>
      <c r="D75">
        <v>1</v>
      </c>
      <c r="E75">
        <v>109</v>
      </c>
      <c r="F75">
        <v>423</v>
      </c>
      <c r="G75">
        <v>42082</v>
      </c>
      <c r="H75">
        <v>1.3899999999999999E-2</v>
      </c>
      <c r="I75">
        <v>666086</v>
      </c>
    </row>
    <row r="76" spans="1:9">
      <c r="A76" s="1">
        <v>44302</v>
      </c>
      <c r="B76">
        <v>553</v>
      </c>
      <c r="C76">
        <v>4</v>
      </c>
      <c r="D76">
        <v>1</v>
      </c>
      <c r="E76">
        <v>101</v>
      </c>
      <c r="F76">
        <v>429</v>
      </c>
      <c r="G76">
        <v>47052</v>
      </c>
      <c r="H76">
        <v>1.4E-2</v>
      </c>
      <c r="I76">
        <v>676217</v>
      </c>
    </row>
    <row r="77" spans="1:9">
      <c r="A77" s="1">
        <v>44303</v>
      </c>
      <c r="B77">
        <v>649</v>
      </c>
      <c r="C77">
        <v>5</v>
      </c>
      <c r="D77">
        <v>1</v>
      </c>
      <c r="E77">
        <v>103</v>
      </c>
      <c r="F77">
        <v>415</v>
      </c>
      <c r="G77">
        <v>31461</v>
      </c>
      <c r="H77">
        <v>1.4200000000000001E-2</v>
      </c>
      <c r="I77">
        <v>696172</v>
      </c>
    </row>
    <row r="78" spans="1:9">
      <c r="A78" s="1">
        <v>44304</v>
      </c>
      <c r="B78">
        <v>441</v>
      </c>
      <c r="C78">
        <v>3</v>
      </c>
      <c r="D78">
        <v>0.99</v>
      </c>
      <c r="E78">
        <v>109</v>
      </c>
      <c r="F78">
        <v>428</v>
      </c>
      <c r="G78">
        <v>14429</v>
      </c>
      <c r="H78">
        <v>1.3599999999999999E-2</v>
      </c>
      <c r="I78">
        <v>701102</v>
      </c>
    </row>
    <row r="79" spans="1:9">
      <c r="A79" s="1">
        <v>44305</v>
      </c>
      <c r="B79">
        <v>220</v>
      </c>
      <c r="C79">
        <v>1</v>
      </c>
      <c r="D79">
        <v>0.98</v>
      </c>
      <c r="E79">
        <v>112</v>
      </c>
      <c r="F79">
        <v>454</v>
      </c>
      <c r="G79">
        <v>78716</v>
      </c>
      <c r="H79">
        <v>1.1599999999999999E-2</v>
      </c>
      <c r="I79">
        <v>706842</v>
      </c>
    </row>
    <row r="80" spans="1:9">
      <c r="A80" s="1">
        <v>44306</v>
      </c>
      <c r="B80">
        <v>424</v>
      </c>
      <c r="C80">
        <v>5</v>
      </c>
      <c r="D80">
        <v>0.97</v>
      </c>
      <c r="E80">
        <v>113</v>
      </c>
      <c r="F80">
        <v>429</v>
      </c>
      <c r="G80">
        <v>96934</v>
      </c>
      <c r="H80">
        <v>9.9000000000000008E-3</v>
      </c>
      <c r="I80">
        <v>718009</v>
      </c>
    </row>
    <row r="81" spans="1:9">
      <c r="A81" s="1">
        <v>44307</v>
      </c>
      <c r="B81">
        <v>610</v>
      </c>
      <c r="C81">
        <v>1</v>
      </c>
      <c r="D81">
        <v>0.97</v>
      </c>
      <c r="E81">
        <v>110</v>
      </c>
      <c r="F81">
        <v>397</v>
      </c>
      <c r="G81">
        <v>98744</v>
      </c>
      <c r="H81">
        <v>8.3000000000000001E-3</v>
      </c>
      <c r="I81">
        <v>726985</v>
      </c>
    </row>
    <row r="82" spans="1:9">
      <c r="A82" s="1">
        <v>44308</v>
      </c>
      <c r="B82">
        <v>636</v>
      </c>
      <c r="C82">
        <v>4</v>
      </c>
      <c r="D82">
        <v>0.97</v>
      </c>
      <c r="E82">
        <v>104</v>
      </c>
      <c r="F82">
        <v>395</v>
      </c>
      <c r="G82">
        <v>98063</v>
      </c>
      <c r="H82">
        <v>7.6E-3</v>
      </c>
      <c r="I82">
        <v>750872</v>
      </c>
    </row>
    <row r="83" spans="1:9">
      <c r="A83" s="1">
        <v>44309</v>
      </c>
      <c r="B83">
        <v>506</v>
      </c>
      <c r="C83">
        <v>1</v>
      </c>
      <c r="D83">
        <v>0.96</v>
      </c>
      <c r="E83">
        <v>98</v>
      </c>
      <c r="F83">
        <v>384</v>
      </c>
      <c r="G83">
        <v>88546</v>
      </c>
      <c r="H83">
        <v>6.8999999999999999E-3</v>
      </c>
      <c r="I83">
        <v>790203</v>
      </c>
    </row>
    <row r="84" spans="1:9">
      <c r="A84" s="1">
        <v>44310</v>
      </c>
      <c r="B84">
        <v>567</v>
      </c>
      <c r="C84">
        <v>2</v>
      </c>
      <c r="D84">
        <v>0.96</v>
      </c>
      <c r="E84">
        <v>98</v>
      </c>
      <c r="F84">
        <v>342</v>
      </c>
      <c r="G84">
        <v>41386</v>
      </c>
      <c r="H84">
        <v>6.6E-3</v>
      </c>
      <c r="I84">
        <v>828138</v>
      </c>
    </row>
    <row r="85" spans="1:9">
      <c r="A85" s="1">
        <v>44311</v>
      </c>
      <c r="B85">
        <v>478</v>
      </c>
      <c r="C85">
        <v>6</v>
      </c>
      <c r="D85">
        <v>0.94</v>
      </c>
      <c r="E85">
        <v>98</v>
      </c>
      <c r="F85">
        <v>348</v>
      </c>
      <c r="G85">
        <v>14485</v>
      </c>
      <c r="H85">
        <v>6.7000000000000002E-3</v>
      </c>
      <c r="I85">
        <v>840420</v>
      </c>
    </row>
    <row r="86" spans="1:9">
      <c r="A86" s="1">
        <v>44312</v>
      </c>
      <c r="B86">
        <v>196</v>
      </c>
      <c r="C86">
        <v>0</v>
      </c>
      <c r="D86">
        <v>0.92</v>
      </c>
      <c r="E86">
        <v>91</v>
      </c>
      <c r="F86">
        <v>365</v>
      </c>
      <c r="G86">
        <v>53464</v>
      </c>
      <c r="H86">
        <v>7.0000000000000001E-3</v>
      </c>
      <c r="I86">
        <v>847664</v>
      </c>
    </row>
    <row r="87" spans="1:9">
      <c r="A87" s="1">
        <v>44313</v>
      </c>
      <c r="B87">
        <v>353</v>
      </c>
      <c r="C87">
        <v>5</v>
      </c>
      <c r="D87">
        <v>0.91</v>
      </c>
      <c r="E87">
        <v>86</v>
      </c>
      <c r="F87">
        <v>346</v>
      </c>
      <c r="G87">
        <v>57452</v>
      </c>
      <c r="H87">
        <v>7.4000000000000003E-3</v>
      </c>
      <c r="I87">
        <v>856281</v>
      </c>
    </row>
    <row r="88" spans="1:9">
      <c r="A88" s="1">
        <v>44314</v>
      </c>
      <c r="B88">
        <v>572</v>
      </c>
      <c r="C88">
        <v>3</v>
      </c>
      <c r="D88">
        <v>0.9</v>
      </c>
      <c r="E88">
        <v>88</v>
      </c>
      <c r="F88">
        <v>332</v>
      </c>
      <c r="G88">
        <v>53345</v>
      </c>
      <c r="H88">
        <v>8.0999999999999996E-3</v>
      </c>
      <c r="I88">
        <v>866481</v>
      </c>
    </row>
    <row r="89" spans="1:9">
      <c r="A89" s="1">
        <v>44315</v>
      </c>
      <c r="B89">
        <v>470</v>
      </c>
      <c r="C89">
        <v>1</v>
      </c>
      <c r="D89">
        <v>0.89</v>
      </c>
      <c r="E89">
        <v>89</v>
      </c>
      <c r="F89">
        <v>324</v>
      </c>
      <c r="G89">
        <v>54101</v>
      </c>
      <c r="H89">
        <v>8.6999999999999994E-3</v>
      </c>
      <c r="I89">
        <v>885339</v>
      </c>
    </row>
    <row r="90" spans="1:9">
      <c r="A90" s="1">
        <v>44316</v>
      </c>
      <c r="B90">
        <v>460</v>
      </c>
      <c r="C90">
        <v>0</v>
      </c>
      <c r="D90">
        <v>0.88</v>
      </c>
      <c r="E90">
        <v>89</v>
      </c>
      <c r="F90">
        <v>324</v>
      </c>
      <c r="G90">
        <v>64169</v>
      </c>
      <c r="H90">
        <v>9.1000000000000004E-3</v>
      </c>
      <c r="I90">
        <v>903570</v>
      </c>
    </row>
    <row r="91" spans="1:9">
      <c r="A91" s="1">
        <v>44317</v>
      </c>
      <c r="B91">
        <v>454</v>
      </c>
      <c r="C91">
        <v>2</v>
      </c>
      <c r="D91">
        <v>0.87</v>
      </c>
      <c r="E91">
        <v>84</v>
      </c>
      <c r="F91">
        <v>302</v>
      </c>
      <c r="G91">
        <v>31454</v>
      </c>
      <c r="H91">
        <v>9.1000000000000004E-3</v>
      </c>
      <c r="I91">
        <v>920598</v>
      </c>
    </row>
    <row r="92" spans="1:9">
      <c r="A92" s="1">
        <v>44318</v>
      </c>
      <c r="B92">
        <v>330</v>
      </c>
      <c r="C92">
        <v>1</v>
      </c>
      <c r="D92">
        <v>0.86</v>
      </c>
      <c r="E92">
        <v>85</v>
      </c>
      <c r="F92">
        <v>311</v>
      </c>
      <c r="G92">
        <v>17140</v>
      </c>
      <c r="H92">
        <v>8.6E-3</v>
      </c>
      <c r="I92">
        <v>930042</v>
      </c>
    </row>
    <row r="93" spans="1:9">
      <c r="A93" s="1">
        <v>44319</v>
      </c>
      <c r="B93">
        <v>180</v>
      </c>
      <c r="C93">
        <v>0</v>
      </c>
      <c r="D93">
        <v>0.86</v>
      </c>
      <c r="E93">
        <v>90</v>
      </c>
      <c r="F93">
        <v>322</v>
      </c>
      <c r="G93">
        <v>52011</v>
      </c>
      <c r="H93">
        <v>8.6E-3</v>
      </c>
      <c r="I93">
        <v>939105</v>
      </c>
    </row>
    <row r="94" spans="1:9">
      <c r="A94" s="1">
        <v>44320</v>
      </c>
      <c r="B94">
        <v>258</v>
      </c>
      <c r="C94">
        <v>4</v>
      </c>
      <c r="D94">
        <v>0.85</v>
      </c>
      <c r="E94">
        <v>87</v>
      </c>
      <c r="F94">
        <v>296</v>
      </c>
      <c r="G94">
        <v>52560</v>
      </c>
      <c r="H94">
        <v>8.3999999999999995E-3</v>
      </c>
      <c r="I94">
        <v>952721</v>
      </c>
    </row>
    <row r="95" spans="1:9">
      <c r="A95" s="1">
        <v>44321</v>
      </c>
      <c r="B95">
        <v>387</v>
      </c>
      <c r="C95">
        <v>2</v>
      </c>
      <c r="D95">
        <v>0.85</v>
      </c>
      <c r="E95">
        <v>83</v>
      </c>
      <c r="F95">
        <v>297</v>
      </c>
      <c r="G95">
        <v>49255</v>
      </c>
      <c r="H95">
        <v>7.9000000000000008E-3</v>
      </c>
      <c r="I95">
        <v>969630</v>
      </c>
    </row>
    <row r="96" spans="1:9">
      <c r="A96" s="1">
        <v>44322</v>
      </c>
      <c r="B96">
        <v>373</v>
      </c>
      <c r="C96">
        <v>5</v>
      </c>
      <c r="D96">
        <v>0.87</v>
      </c>
      <c r="E96">
        <v>77</v>
      </c>
      <c r="F96">
        <v>283</v>
      </c>
      <c r="G96">
        <v>48583</v>
      </c>
      <c r="H96">
        <v>7.7000000000000002E-3</v>
      </c>
      <c r="I96">
        <v>1012002</v>
      </c>
    </row>
    <row r="97" spans="1:9">
      <c r="A97" s="1">
        <v>44323</v>
      </c>
      <c r="B97">
        <v>377</v>
      </c>
      <c r="C97">
        <v>1</v>
      </c>
      <c r="D97">
        <v>0.89</v>
      </c>
      <c r="E97">
        <v>75</v>
      </c>
      <c r="F97">
        <v>280</v>
      </c>
      <c r="G97">
        <v>47849</v>
      </c>
      <c r="H97">
        <v>7.9000000000000008E-3</v>
      </c>
      <c r="I97">
        <v>1063299</v>
      </c>
    </row>
    <row r="98" spans="1:9">
      <c r="A98" s="1">
        <v>44324</v>
      </c>
      <c r="B98">
        <v>406</v>
      </c>
      <c r="C98">
        <v>2</v>
      </c>
      <c r="D98">
        <v>0.91</v>
      </c>
      <c r="E98">
        <v>74</v>
      </c>
      <c r="F98">
        <v>260</v>
      </c>
      <c r="G98">
        <v>31498</v>
      </c>
      <c r="H98">
        <v>7.7000000000000002E-3</v>
      </c>
      <c r="I98">
        <v>1120117</v>
      </c>
    </row>
    <row r="99" spans="1:9">
      <c r="A99" s="1">
        <v>44325</v>
      </c>
      <c r="B99">
        <v>324</v>
      </c>
      <c r="C99">
        <v>1</v>
      </c>
      <c r="D99">
        <v>0.93</v>
      </c>
      <c r="E99">
        <v>74</v>
      </c>
      <c r="F99">
        <v>268</v>
      </c>
      <c r="G99">
        <v>15940</v>
      </c>
      <c r="H99">
        <v>7.7000000000000002E-3</v>
      </c>
      <c r="I99">
        <v>1134005</v>
      </c>
    </row>
    <row r="100" spans="1:9">
      <c r="A100" s="1">
        <v>44326</v>
      </c>
      <c r="B100">
        <v>158</v>
      </c>
      <c r="C100">
        <v>1</v>
      </c>
      <c r="D100">
        <v>0.95</v>
      </c>
      <c r="E100">
        <v>73</v>
      </c>
      <c r="F100">
        <v>277</v>
      </c>
      <c r="G100">
        <v>39435</v>
      </c>
      <c r="H100">
        <v>8.0000000000000002E-3</v>
      </c>
      <c r="I100">
        <v>1160784</v>
      </c>
    </row>
    <row r="101" spans="1:9">
      <c r="A101" s="1">
        <v>44327</v>
      </c>
      <c r="B101">
        <v>268</v>
      </c>
      <c r="C101">
        <v>1</v>
      </c>
      <c r="D101">
        <v>0.97</v>
      </c>
      <c r="E101">
        <v>71</v>
      </c>
      <c r="F101">
        <v>257</v>
      </c>
      <c r="G101">
        <v>41873</v>
      </c>
      <c r="H101">
        <v>8.3999999999999995E-3</v>
      </c>
      <c r="I101">
        <v>1180469</v>
      </c>
    </row>
    <row r="102" spans="1:9">
      <c r="A102" s="1">
        <v>44328</v>
      </c>
      <c r="B102">
        <v>485</v>
      </c>
      <c r="C102">
        <v>4</v>
      </c>
      <c r="D102">
        <v>1</v>
      </c>
      <c r="E102">
        <v>71</v>
      </c>
      <c r="F102">
        <v>248</v>
      </c>
      <c r="G102">
        <v>43813</v>
      </c>
      <c r="H102">
        <v>8.8999999999999999E-3</v>
      </c>
      <c r="I102">
        <v>1196536</v>
      </c>
    </row>
    <row r="103" spans="1:9">
      <c r="A103" s="1">
        <v>44329</v>
      </c>
      <c r="B103">
        <v>436</v>
      </c>
      <c r="C103">
        <v>1</v>
      </c>
      <c r="D103">
        <v>1.02</v>
      </c>
      <c r="E103">
        <v>70</v>
      </c>
      <c r="F103">
        <v>244</v>
      </c>
      <c r="G103">
        <v>40249</v>
      </c>
      <c r="H103">
        <v>9.4000000000000004E-3</v>
      </c>
      <c r="I103">
        <v>1211653</v>
      </c>
    </row>
    <row r="104" spans="1:9">
      <c r="A104" s="1">
        <v>44330</v>
      </c>
      <c r="B104">
        <v>450</v>
      </c>
      <c r="C104">
        <v>0</v>
      </c>
      <c r="D104">
        <v>1.04</v>
      </c>
      <c r="E104">
        <v>72</v>
      </c>
      <c r="F104">
        <v>236</v>
      </c>
      <c r="G104">
        <v>46370</v>
      </c>
      <c r="H104">
        <v>9.7999999999999997E-3</v>
      </c>
      <c r="I104">
        <v>1231250</v>
      </c>
    </row>
    <row r="105" spans="1:9">
      <c r="A105" s="1">
        <v>44331</v>
      </c>
      <c r="B105">
        <v>469</v>
      </c>
      <c r="C105">
        <v>7</v>
      </c>
      <c r="D105">
        <v>1.05</v>
      </c>
      <c r="E105">
        <v>71</v>
      </c>
      <c r="F105">
        <v>223</v>
      </c>
      <c r="G105">
        <v>30962</v>
      </c>
      <c r="H105">
        <v>0.01</v>
      </c>
      <c r="I105">
        <v>1287442</v>
      </c>
    </row>
    <row r="106" spans="1:9">
      <c r="A106" s="1">
        <v>44332</v>
      </c>
      <c r="B106">
        <v>334</v>
      </c>
      <c r="C106">
        <v>1</v>
      </c>
      <c r="D106">
        <v>1.06</v>
      </c>
      <c r="E106">
        <v>76</v>
      </c>
      <c r="F106">
        <v>245</v>
      </c>
      <c r="G106">
        <v>15707</v>
      </c>
      <c r="H106">
        <v>1.01E-2</v>
      </c>
      <c r="I106">
        <v>1411270</v>
      </c>
    </row>
    <row r="107" spans="1:9">
      <c r="A107" s="1">
        <v>44333</v>
      </c>
      <c r="B107">
        <v>199</v>
      </c>
      <c r="C107">
        <v>2</v>
      </c>
      <c r="D107">
        <v>1.07</v>
      </c>
      <c r="E107">
        <v>72</v>
      </c>
      <c r="F107">
        <v>246</v>
      </c>
      <c r="G107">
        <v>43293</v>
      </c>
      <c r="H107">
        <v>1.01E-2</v>
      </c>
      <c r="I107">
        <v>1469159</v>
      </c>
    </row>
    <row r="108" spans="1:9">
      <c r="A108" s="1">
        <v>44334</v>
      </c>
      <c r="B108">
        <v>386</v>
      </c>
      <c r="C108">
        <v>2</v>
      </c>
      <c r="D108">
        <v>1.08</v>
      </c>
      <c r="E108">
        <v>66</v>
      </c>
      <c r="F108">
        <v>233</v>
      </c>
      <c r="G108">
        <v>41470</v>
      </c>
      <c r="H108">
        <v>1.0500000000000001E-2</v>
      </c>
      <c r="I108">
        <v>1489854</v>
      </c>
    </row>
    <row r="109" spans="1:9">
      <c r="A109" s="1">
        <v>44335</v>
      </c>
      <c r="B109">
        <v>511</v>
      </c>
      <c r="C109">
        <v>2</v>
      </c>
      <c r="D109">
        <v>1.0900000000000001</v>
      </c>
      <c r="E109">
        <v>56</v>
      </c>
      <c r="F109">
        <v>211</v>
      </c>
      <c r="G109">
        <v>44399</v>
      </c>
      <c r="H109">
        <v>1.06E-2</v>
      </c>
      <c r="I109">
        <v>1513415</v>
      </c>
    </row>
    <row r="110" spans="1:9">
      <c r="A110" s="1">
        <v>44336</v>
      </c>
      <c r="B110">
        <v>451</v>
      </c>
      <c r="C110">
        <v>1</v>
      </c>
      <c r="D110">
        <v>1.1000000000000001</v>
      </c>
      <c r="E110">
        <v>58</v>
      </c>
      <c r="F110">
        <v>208</v>
      </c>
      <c r="G110">
        <v>44577</v>
      </c>
      <c r="H110">
        <v>1.0500000000000001E-2</v>
      </c>
      <c r="I110">
        <v>1539964</v>
      </c>
    </row>
    <row r="111" spans="1:9">
      <c r="A111" s="1">
        <v>44337</v>
      </c>
      <c r="B111">
        <v>559</v>
      </c>
      <c r="C111">
        <v>3</v>
      </c>
      <c r="D111">
        <v>1.1200000000000001</v>
      </c>
      <c r="E111">
        <v>55</v>
      </c>
      <c r="F111">
        <v>207</v>
      </c>
      <c r="G111">
        <v>45378</v>
      </c>
      <c r="H111">
        <v>1.09E-2</v>
      </c>
      <c r="I111">
        <v>1568208</v>
      </c>
    </row>
    <row r="112" spans="1:9">
      <c r="A112" s="1">
        <v>44338</v>
      </c>
      <c r="B112">
        <v>523</v>
      </c>
      <c r="C112">
        <v>0</v>
      </c>
      <c r="D112">
        <v>1.1200000000000001</v>
      </c>
      <c r="E112">
        <v>59</v>
      </c>
      <c r="F112">
        <v>210</v>
      </c>
      <c r="G112">
        <v>33560</v>
      </c>
      <c r="H112">
        <v>1.0999999999999999E-2</v>
      </c>
      <c r="I112">
        <v>1604322</v>
      </c>
    </row>
    <row r="113" spans="1:9">
      <c r="A113" s="1">
        <v>44339</v>
      </c>
      <c r="B113">
        <v>413</v>
      </c>
      <c r="C113">
        <v>0</v>
      </c>
      <c r="D113">
        <v>1.1200000000000001</v>
      </c>
      <c r="E113">
        <v>58</v>
      </c>
      <c r="F113">
        <v>220</v>
      </c>
      <c r="G113">
        <v>16152</v>
      </c>
      <c r="H113">
        <v>1.1299999999999999E-2</v>
      </c>
      <c r="I113">
        <v>1638859</v>
      </c>
    </row>
    <row r="114" spans="1:9">
      <c r="A114" s="1">
        <v>44340</v>
      </c>
      <c r="B114">
        <v>241</v>
      </c>
      <c r="C114">
        <v>1</v>
      </c>
      <c r="D114">
        <v>1.1100000000000001</v>
      </c>
      <c r="E114">
        <v>57</v>
      </c>
      <c r="F114">
        <v>239</v>
      </c>
      <c r="G114">
        <v>42680</v>
      </c>
      <c r="H114">
        <v>1.15E-2</v>
      </c>
      <c r="I114">
        <v>1701479</v>
      </c>
    </row>
    <row r="115" spans="1:9">
      <c r="A115" s="1">
        <v>44341</v>
      </c>
      <c r="B115">
        <v>375</v>
      </c>
      <c r="C115">
        <v>3</v>
      </c>
      <c r="D115">
        <v>1.1200000000000001</v>
      </c>
      <c r="E115">
        <v>52</v>
      </c>
      <c r="F115">
        <v>237</v>
      </c>
      <c r="G115">
        <v>43590</v>
      </c>
      <c r="H115">
        <v>1.14E-2</v>
      </c>
      <c r="I115">
        <v>1725903</v>
      </c>
    </row>
    <row r="116" spans="1:9">
      <c r="A116" s="1">
        <v>44342</v>
      </c>
      <c r="B116">
        <v>594</v>
      </c>
      <c r="C116">
        <v>1</v>
      </c>
      <c r="D116">
        <v>1.1299999999999999</v>
      </c>
      <c r="E116">
        <v>53</v>
      </c>
      <c r="F116">
        <v>233</v>
      </c>
      <c r="G116">
        <v>50409</v>
      </c>
      <c r="H116">
        <v>1.14E-2</v>
      </c>
      <c r="I116">
        <v>1745225</v>
      </c>
    </row>
    <row r="117" spans="1:9">
      <c r="A117" s="1">
        <v>44343</v>
      </c>
      <c r="B117">
        <v>572</v>
      </c>
      <c r="C117">
        <v>0</v>
      </c>
      <c r="D117">
        <v>1.1399999999999999</v>
      </c>
      <c r="E117">
        <v>53</v>
      </c>
      <c r="F117">
        <v>233</v>
      </c>
      <c r="G117">
        <v>53947</v>
      </c>
      <c r="H117">
        <v>1.15E-2</v>
      </c>
      <c r="I117">
        <v>1788676</v>
      </c>
    </row>
    <row r="118" spans="1:9">
      <c r="A118" s="1">
        <v>44344</v>
      </c>
      <c r="B118">
        <v>598</v>
      </c>
      <c r="C118">
        <v>1</v>
      </c>
      <c r="D118">
        <v>1.1599999999999999</v>
      </c>
      <c r="E118">
        <v>52</v>
      </c>
      <c r="F118">
        <v>246</v>
      </c>
      <c r="G118">
        <v>59275</v>
      </c>
      <c r="H118">
        <v>1.11E-2</v>
      </c>
      <c r="I118">
        <v>1845836</v>
      </c>
    </row>
    <row r="119" spans="1:9">
      <c r="A119" s="1">
        <v>44345</v>
      </c>
      <c r="B119">
        <v>609</v>
      </c>
      <c r="C119">
        <v>0</v>
      </c>
      <c r="D119">
        <v>1.1599999999999999</v>
      </c>
      <c r="E119">
        <v>49</v>
      </c>
      <c r="F119">
        <v>244</v>
      </c>
      <c r="G119">
        <v>43319</v>
      </c>
      <c r="H119">
        <v>1.0999999999999999E-2</v>
      </c>
      <c r="I119">
        <v>1910212</v>
      </c>
    </row>
    <row r="120" spans="1:9">
      <c r="A120" s="1">
        <v>44346</v>
      </c>
      <c r="B120">
        <v>445</v>
      </c>
      <c r="C120">
        <v>0</v>
      </c>
      <c r="D120">
        <v>1.1599999999999999</v>
      </c>
      <c r="E120">
        <v>54</v>
      </c>
      <c r="F120">
        <v>271</v>
      </c>
      <c r="G120">
        <v>20369</v>
      </c>
      <c r="H120">
        <v>1.0999999999999999E-2</v>
      </c>
      <c r="I120">
        <v>1949349</v>
      </c>
    </row>
    <row r="121" spans="1:9">
      <c r="A121" s="1">
        <v>44347</v>
      </c>
      <c r="B121">
        <v>435</v>
      </c>
      <c r="C121">
        <v>2</v>
      </c>
      <c r="D121">
        <v>1.1599999999999999</v>
      </c>
      <c r="E121">
        <v>52</v>
      </c>
      <c r="F121">
        <v>283</v>
      </c>
      <c r="G121">
        <v>49817</v>
      </c>
      <c r="H121">
        <v>1.1299999999999999E-2</v>
      </c>
      <c r="I121">
        <v>2054154</v>
      </c>
    </row>
    <row r="122" spans="1:9">
      <c r="A122" s="1"/>
    </row>
    <row r="123" spans="1:9">
      <c r="A123" s="1"/>
    </row>
    <row r="124" spans="1:9">
      <c r="A124" s="1"/>
    </row>
    <row r="125" spans="1:9">
      <c r="A125" s="1"/>
    </row>
    <row r="126" spans="1:9">
      <c r="A126" s="1"/>
    </row>
    <row r="127" spans="1:9">
      <c r="A127" s="1"/>
    </row>
    <row r="128" spans="1:9">
      <c r="A128" s="1"/>
    </row>
    <row r="129" spans="1:1">
      <c r="A129" s="1"/>
    </row>
    <row r="130" spans="1:1">
      <c r="A130" s="1"/>
    </row>
    <row r="131" spans="1:1">
      <c r="A131" s="1"/>
    </row>
    <row r="132" spans="1:1">
      <c r="A132" s="1"/>
    </row>
    <row r="133" spans="1:1">
      <c r="A133" s="1"/>
    </row>
    <row r="134" spans="1:1">
      <c r="A134" s="1"/>
    </row>
    <row r="135" spans="1:1">
      <c r="A135" s="1"/>
    </row>
    <row r="136" spans="1:1">
      <c r="A136" s="1"/>
    </row>
    <row r="137" spans="1:1">
      <c r="A137" s="1"/>
    </row>
    <row r="138" spans="1:1">
      <c r="A138" s="1"/>
    </row>
    <row r="139" spans="1:1">
      <c r="A139" s="1"/>
    </row>
    <row r="140" spans="1:1">
      <c r="A140" s="1"/>
    </row>
    <row r="141" spans="1:1">
      <c r="A141" s="1"/>
    </row>
    <row r="142" spans="1:1">
      <c r="A142" s="1"/>
    </row>
    <row r="143" spans="1:1">
      <c r="A143" s="1"/>
    </row>
    <row r="144" spans="1:1">
      <c r="A144" s="1"/>
    </row>
    <row r="145" spans="1:1">
      <c r="A145" s="1"/>
    </row>
    <row r="146" spans="1:1">
      <c r="A146" s="1"/>
    </row>
    <row r="147" spans="1:1">
      <c r="A147" s="1"/>
    </row>
    <row r="148" spans="1:1">
      <c r="A148" s="1"/>
    </row>
    <row r="149" spans="1:1">
      <c r="A149" s="1"/>
    </row>
    <row r="150" spans="1:1">
      <c r="A150" s="1"/>
    </row>
    <row r="151" spans="1:1">
      <c r="A151" s="1"/>
    </row>
    <row r="152" spans="1:1">
      <c r="A152" s="1"/>
    </row>
    <row r="153" spans="1:1">
      <c r="A153" s="1"/>
    </row>
    <row r="154" spans="1:1">
      <c r="A154" s="1"/>
    </row>
    <row r="155" spans="1:1">
      <c r="A155" s="1"/>
    </row>
    <row r="156" spans="1:1">
      <c r="A156" s="1"/>
    </row>
    <row r="157" spans="1:1">
      <c r="A157" s="1"/>
    </row>
    <row r="158" spans="1:1">
      <c r="A158" s="1"/>
    </row>
    <row r="159" spans="1:1">
      <c r="A159" s="1"/>
    </row>
    <row r="160" spans="1:1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  <row r="182" spans="1:1">
      <c r="A182" s="1"/>
    </row>
    <row r="183" spans="1:1">
      <c r="A183" s="1"/>
    </row>
    <row r="184" spans="1:1">
      <c r="A184" s="1"/>
    </row>
    <row r="185" spans="1:1">
      <c r="A185" s="1"/>
    </row>
    <row r="186" spans="1:1">
      <c r="A186" s="1"/>
    </row>
    <row r="187" spans="1:1">
      <c r="A187" s="1"/>
    </row>
    <row r="188" spans="1:1">
      <c r="A188" s="1"/>
    </row>
    <row r="189" spans="1:1">
      <c r="A189" s="1"/>
    </row>
    <row r="190" spans="1:1">
      <c r="A190" s="1"/>
    </row>
    <row r="191" spans="1:1">
      <c r="A191" s="1"/>
    </row>
    <row r="192" spans="1:1">
      <c r="A192" s="1"/>
    </row>
    <row r="193" spans="1:1">
      <c r="A193" s="1"/>
    </row>
    <row r="194" spans="1:1">
      <c r="A194" s="1"/>
    </row>
    <row r="195" spans="1:1">
      <c r="A195" s="1"/>
    </row>
    <row r="196" spans="1:1">
      <c r="A196" s="1"/>
    </row>
    <row r="197" spans="1:1">
      <c r="A197" s="1"/>
    </row>
    <row r="198" spans="1:1">
      <c r="A198" s="1"/>
    </row>
    <row r="199" spans="1:1">
      <c r="A199" s="1"/>
    </row>
    <row r="200" spans="1:1">
      <c r="A200" s="1"/>
    </row>
    <row r="201" spans="1:1">
      <c r="A201" s="1"/>
    </row>
    <row r="202" spans="1:1">
      <c r="A202" s="1"/>
    </row>
    <row r="203" spans="1:1">
      <c r="A203" s="1"/>
    </row>
    <row r="204" spans="1:1">
      <c r="A204" s="1"/>
    </row>
    <row r="205" spans="1:1">
      <c r="A205" s="1"/>
    </row>
    <row r="206" spans="1:1">
      <c r="A206" s="1"/>
    </row>
    <row r="207" spans="1:1">
      <c r="A207" s="1"/>
    </row>
    <row r="208" spans="1:1">
      <c r="A208" s="1"/>
    </row>
    <row r="209" spans="1:1">
      <c r="A209" s="1"/>
    </row>
    <row r="210" spans="1:1">
      <c r="A210" s="1"/>
    </row>
    <row r="211" spans="1:1">
      <c r="A211" s="1"/>
    </row>
    <row r="212" spans="1:1">
      <c r="A212" s="1"/>
    </row>
    <row r="213" spans="1:1">
      <c r="A213" s="1"/>
    </row>
    <row r="214" spans="1:1">
      <c r="A214" s="1"/>
    </row>
    <row r="215" spans="1:1">
      <c r="A215" s="1"/>
    </row>
    <row r="216" spans="1:1">
      <c r="A216" s="1"/>
    </row>
    <row r="217" spans="1:1">
      <c r="A217" s="1"/>
    </row>
    <row r="218" spans="1:1">
      <c r="A218" s="1"/>
    </row>
    <row r="219" spans="1:1">
      <c r="A219" s="1"/>
    </row>
    <row r="220" spans="1:1">
      <c r="A220" s="1"/>
    </row>
    <row r="221" spans="1:1">
      <c r="A221" s="1"/>
    </row>
    <row r="222" spans="1:1">
      <c r="A222" s="1"/>
    </row>
    <row r="223" spans="1:1">
      <c r="A223" s="1"/>
    </row>
    <row r="224" spans="1:1">
      <c r="A224" s="1"/>
    </row>
    <row r="225" spans="1:1">
      <c r="A225" s="1"/>
    </row>
    <row r="226" spans="1:1">
      <c r="A226" s="1"/>
    </row>
    <row r="227" spans="1:1">
      <c r="A227" s="1"/>
    </row>
    <row r="228" spans="1:1">
      <c r="A228" s="1"/>
    </row>
    <row r="229" spans="1:1">
      <c r="A229" s="1"/>
    </row>
    <row r="230" spans="1:1">
      <c r="A230" s="1"/>
    </row>
    <row r="231" spans="1:1">
      <c r="A231" s="1"/>
    </row>
    <row r="232" spans="1:1">
      <c r="A232" s="1"/>
    </row>
    <row r="233" spans="1:1">
      <c r="A233" s="1"/>
    </row>
    <row r="234" spans="1:1">
      <c r="A234" s="1"/>
    </row>
    <row r="235" spans="1:1">
      <c r="A235" s="1"/>
    </row>
    <row r="236" spans="1:1">
      <c r="A236" s="1"/>
    </row>
    <row r="237" spans="1:1">
      <c r="A237" s="1"/>
    </row>
    <row r="238" spans="1:1">
      <c r="A238" s="1"/>
    </row>
    <row r="239" spans="1:1">
      <c r="A239" s="1"/>
    </row>
    <row r="240" spans="1:1">
      <c r="A240" s="1"/>
    </row>
    <row r="241" spans="1:1">
      <c r="A241" s="1"/>
    </row>
    <row r="242" spans="1:1">
      <c r="A242" s="1"/>
    </row>
    <row r="243" spans="1:1">
      <c r="A243" s="1"/>
    </row>
    <row r="244" spans="1:1">
      <c r="A244" s="1"/>
    </row>
    <row r="245" spans="1:1">
      <c r="A245" s="1"/>
    </row>
    <row r="246" spans="1:1">
      <c r="A246" s="1"/>
    </row>
    <row r="247" spans="1:1">
      <c r="A247" s="1"/>
    </row>
    <row r="248" spans="1:1">
      <c r="A248" s="1"/>
    </row>
    <row r="249" spans="1:1">
      <c r="A249" s="1"/>
    </row>
    <row r="250" spans="1:1">
      <c r="A250" s="1"/>
    </row>
    <row r="251" spans="1:1">
      <c r="A251" s="1"/>
    </row>
    <row r="252" spans="1:1">
      <c r="A252" s="1"/>
    </row>
    <row r="253" spans="1:1">
      <c r="A253" s="1"/>
    </row>
    <row r="254" spans="1:1">
      <c r="A254" s="1"/>
    </row>
    <row r="255" spans="1:1">
      <c r="A255" s="1"/>
    </row>
    <row r="256" spans="1:1">
      <c r="A256" s="1"/>
    </row>
    <row r="257" spans="1:1">
      <c r="A257" s="1"/>
    </row>
    <row r="258" spans="1:1">
      <c r="A258" s="1"/>
    </row>
    <row r="259" spans="1:1">
      <c r="A259" s="1"/>
    </row>
    <row r="260" spans="1:1">
      <c r="A260" s="1"/>
    </row>
    <row r="261" spans="1:1">
      <c r="A261" s="1"/>
    </row>
    <row r="262" spans="1:1">
      <c r="A262" s="1"/>
    </row>
    <row r="263" spans="1:1">
      <c r="A263" s="1"/>
    </row>
    <row r="264" spans="1:1">
      <c r="A264" s="1"/>
    </row>
    <row r="265" spans="1:1">
      <c r="A265" s="1"/>
    </row>
    <row r="266" spans="1:1">
      <c r="A266" s="1"/>
    </row>
    <row r="267" spans="1:1">
      <c r="A267" s="1"/>
    </row>
    <row r="268" spans="1:1">
      <c r="A268" s="1"/>
    </row>
    <row r="269" spans="1:1">
      <c r="A269" s="1"/>
    </row>
    <row r="270" spans="1:1">
      <c r="A270" s="1"/>
    </row>
    <row r="271" spans="1:1">
      <c r="A271" s="1"/>
    </row>
    <row r="272" spans="1:1">
      <c r="A272" s="1"/>
    </row>
    <row r="273" spans="1:1">
      <c r="A273" s="1"/>
    </row>
    <row r="274" spans="1:1">
      <c r="A274" s="1"/>
    </row>
    <row r="275" spans="1:1">
      <c r="A275" s="1"/>
    </row>
    <row r="276" spans="1:1">
      <c r="A276" s="1"/>
    </row>
    <row r="277" spans="1:1">
      <c r="A277" s="1"/>
    </row>
    <row r="278" spans="1:1">
      <c r="A278" s="1"/>
    </row>
    <row r="279" spans="1:1">
      <c r="A279" s="1"/>
    </row>
    <row r="280" spans="1:1">
      <c r="A280" s="1"/>
    </row>
    <row r="281" spans="1:1">
      <c r="A281" s="1"/>
    </row>
    <row r="282" spans="1:1">
      <c r="A282" s="1"/>
    </row>
    <row r="283" spans="1:1">
      <c r="A283" s="1"/>
    </row>
    <row r="284" spans="1:1">
      <c r="A284" s="1"/>
    </row>
    <row r="285" spans="1:1">
      <c r="A285" s="1"/>
    </row>
    <row r="286" spans="1:1">
      <c r="A286" s="1"/>
    </row>
    <row r="287" spans="1:1">
      <c r="A287" s="1"/>
    </row>
    <row r="288" spans="1:1">
      <c r="A288" s="1"/>
    </row>
    <row r="289" spans="1:1">
      <c r="A289" s="1"/>
    </row>
    <row r="290" spans="1:1">
      <c r="A290" s="1"/>
    </row>
    <row r="291" spans="1:1">
      <c r="A291" s="1"/>
    </row>
    <row r="292" spans="1:1">
      <c r="A292" s="1"/>
    </row>
    <row r="293" spans="1:1">
      <c r="A293" s="1"/>
    </row>
    <row r="294" spans="1:1">
      <c r="A294" s="1"/>
    </row>
    <row r="295" spans="1:1">
      <c r="A295" s="1"/>
    </row>
    <row r="296" spans="1:1">
      <c r="A296" s="1"/>
    </row>
    <row r="297" spans="1:1">
      <c r="A297" s="1"/>
    </row>
    <row r="298" spans="1:1">
      <c r="A298" s="1"/>
    </row>
    <row r="299" spans="1:1">
      <c r="A299" s="1"/>
    </row>
    <row r="300" spans="1:1">
      <c r="A300" s="1"/>
    </row>
    <row r="301" spans="1:1">
      <c r="A301" s="1"/>
    </row>
    <row r="302" spans="1:1">
      <c r="A302" s="1"/>
    </row>
    <row r="303" spans="1:1">
      <c r="A303" s="1"/>
    </row>
    <row r="304" spans="1:1">
      <c r="A304" s="1"/>
    </row>
    <row r="305" spans="1:1">
      <c r="A305" s="1"/>
    </row>
    <row r="306" spans="1:1">
      <c r="A306" s="1"/>
    </row>
    <row r="307" spans="1:1">
      <c r="A307" s="1"/>
    </row>
    <row r="308" spans="1:1">
      <c r="A308" s="1"/>
    </row>
    <row r="309" spans="1:1">
      <c r="A309" s="1"/>
    </row>
    <row r="310" spans="1:1">
      <c r="A310" s="1"/>
    </row>
    <row r="311" spans="1:1">
      <c r="A311" s="1"/>
    </row>
    <row r="312" spans="1:1">
      <c r="A312" s="1"/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18" spans="1:1">
      <c r="A318" s="1"/>
    </row>
    <row r="319" spans="1:1">
      <c r="A319" s="1"/>
    </row>
    <row r="320" spans="1:1">
      <c r="A320" s="1"/>
    </row>
    <row r="321" spans="1:1">
      <c r="A321" s="1"/>
    </row>
    <row r="322" spans="1:1">
      <c r="A322" s="1"/>
    </row>
    <row r="323" spans="1:1">
      <c r="A323" s="1"/>
    </row>
    <row r="324" spans="1:1">
      <c r="A324" s="1"/>
    </row>
    <row r="325" spans="1:1">
      <c r="A325" s="1"/>
    </row>
    <row r="326" spans="1:1">
      <c r="A326" s="1"/>
    </row>
    <row r="327" spans="1:1">
      <c r="A327" s="1"/>
    </row>
    <row r="328" spans="1:1">
      <c r="A328" s="1"/>
    </row>
    <row r="329" spans="1:1">
      <c r="A329" s="1"/>
    </row>
    <row r="330" spans="1:1">
      <c r="A330" s="1"/>
    </row>
    <row r="331" spans="1:1">
      <c r="A331" s="1"/>
    </row>
    <row r="332" spans="1:1">
      <c r="A332" s="1"/>
    </row>
    <row r="333" spans="1:1">
      <c r="A333" s="1"/>
    </row>
    <row r="334" spans="1:1">
      <c r="A334" s="1"/>
    </row>
    <row r="335" spans="1:1">
      <c r="A335" s="1"/>
    </row>
    <row r="336" spans="1:1">
      <c r="A336" s="1"/>
    </row>
    <row r="337" spans="1:1">
      <c r="A337" s="1"/>
    </row>
    <row r="338" spans="1:1">
      <c r="A338" s="1"/>
    </row>
    <row r="339" spans="1:1">
      <c r="A339" s="1"/>
    </row>
    <row r="340" spans="1:1">
      <c r="A340" s="1"/>
    </row>
    <row r="341" spans="1:1">
      <c r="A341" s="1"/>
    </row>
    <row r="342" spans="1:1">
      <c r="A342" s="1"/>
    </row>
    <row r="343" spans="1:1">
      <c r="A343" s="1"/>
    </row>
    <row r="344" spans="1:1">
      <c r="A344" s="1"/>
    </row>
    <row r="345" spans="1:1">
      <c r="A345" s="1"/>
    </row>
    <row r="346" spans="1:1">
      <c r="A346" s="1"/>
    </row>
    <row r="347" spans="1:1">
      <c r="A347" s="1"/>
    </row>
    <row r="348" spans="1:1">
      <c r="A348" s="1"/>
    </row>
    <row r="349" spans="1:1">
      <c r="A349" s="1"/>
    </row>
    <row r="350" spans="1:1">
      <c r="A350" s="1"/>
    </row>
    <row r="351" spans="1:1">
      <c r="A351" s="1"/>
    </row>
    <row r="352" spans="1:1">
      <c r="A352" s="1"/>
    </row>
    <row r="353" spans="1:1">
      <c r="A353" s="1"/>
    </row>
    <row r="354" spans="1:1">
      <c r="A354" s="1"/>
    </row>
    <row r="355" spans="1:1">
      <c r="A355" s="1"/>
    </row>
    <row r="356" spans="1:1">
      <c r="A356" s="1"/>
    </row>
    <row r="357" spans="1:1">
      <c r="A357" s="1"/>
    </row>
    <row r="358" spans="1:1">
      <c r="A358" s="1"/>
    </row>
    <row r="359" spans="1:1">
      <c r="A359" s="1"/>
    </row>
    <row r="360" spans="1:1">
      <c r="A360" s="1"/>
    </row>
    <row r="361" spans="1:1">
      <c r="A361" s="1"/>
    </row>
    <row r="362" spans="1:1">
      <c r="A362" s="1"/>
    </row>
    <row r="363" spans="1:1">
      <c r="A363" s="1"/>
    </row>
    <row r="364" spans="1:1">
      <c r="A364" s="1"/>
    </row>
    <row r="365" spans="1:1">
      <c r="A365" s="1"/>
    </row>
    <row r="366" spans="1:1">
      <c r="A366" s="1"/>
    </row>
    <row r="367" spans="1:1">
      <c r="A367" s="1"/>
    </row>
    <row r="368" spans="1:1">
      <c r="A368" s="1"/>
    </row>
    <row r="369" spans="1:1">
      <c r="A369" s="1"/>
    </row>
    <row r="370" spans="1:1">
      <c r="A370" s="1"/>
    </row>
    <row r="371" spans="1:1">
      <c r="A371" s="1"/>
    </row>
    <row r="372" spans="1:1">
      <c r="A372" s="1"/>
    </row>
    <row r="373" spans="1:1">
      <c r="A373" s="1"/>
    </row>
    <row r="374" spans="1:1">
      <c r="A374" s="1"/>
    </row>
    <row r="375" spans="1:1">
      <c r="A375" s="1"/>
    </row>
    <row r="376" spans="1:1">
      <c r="A376" s="1"/>
    </row>
    <row r="377" spans="1:1">
      <c r="A377" s="1"/>
    </row>
    <row r="378" spans="1:1">
      <c r="A378" s="1"/>
    </row>
    <row r="379" spans="1:1">
      <c r="A379" s="1"/>
    </row>
    <row r="380" spans="1:1">
      <c r="A380" s="1"/>
    </row>
    <row r="381" spans="1:1">
      <c r="A381" s="1"/>
    </row>
    <row r="382" spans="1:1">
      <c r="A382" s="1"/>
    </row>
    <row r="383" spans="1:1">
      <c r="A383" s="1"/>
    </row>
    <row r="384" spans="1:1">
      <c r="A384" s="1"/>
    </row>
    <row r="385" spans="1:1">
      <c r="A385" s="1"/>
    </row>
    <row r="386" spans="1:1">
      <c r="A386" s="1"/>
    </row>
    <row r="387" spans="1:1">
      <c r="A387" s="1"/>
    </row>
    <row r="388" spans="1:1">
      <c r="A388" s="1"/>
    </row>
    <row r="389" spans="1:1">
      <c r="A389" s="1"/>
    </row>
    <row r="390" spans="1:1">
      <c r="A390" s="1"/>
    </row>
    <row r="391" spans="1:1">
      <c r="A391" s="1"/>
    </row>
    <row r="392" spans="1:1">
      <c r="A392" s="1"/>
    </row>
    <row r="393" spans="1:1">
      <c r="A393" s="1"/>
    </row>
    <row r="394" spans="1:1">
      <c r="A394" s="1"/>
    </row>
    <row r="395" spans="1:1">
      <c r="A395" s="1"/>
    </row>
    <row r="396" spans="1:1">
      <c r="A396" s="1"/>
    </row>
    <row r="397" spans="1:1">
      <c r="A397" s="1"/>
    </row>
    <row r="398" spans="1:1">
      <c r="A398" s="1"/>
    </row>
    <row r="399" spans="1:1">
      <c r="A399" s="1"/>
    </row>
    <row r="400" spans="1:1">
      <c r="A400" s="1"/>
    </row>
    <row r="401" spans="1:1">
      <c r="A401" s="1"/>
    </row>
    <row r="402" spans="1:1">
      <c r="A402" s="1"/>
    </row>
    <row r="403" spans="1:1">
      <c r="A403" s="1"/>
    </row>
    <row r="404" spans="1:1">
      <c r="A404" s="1"/>
    </row>
    <row r="405" spans="1:1">
      <c r="A405" s="1"/>
    </row>
    <row r="406" spans="1:1">
      <c r="A406" s="1"/>
    </row>
    <row r="407" spans="1:1">
      <c r="A407" s="1"/>
    </row>
    <row r="408" spans="1:1">
      <c r="A408" s="1"/>
    </row>
    <row r="409" spans="1:1">
      <c r="A409" s="1"/>
    </row>
    <row r="410" spans="1:1">
      <c r="A410" s="1"/>
    </row>
    <row r="411" spans="1:1">
      <c r="A411" s="1"/>
    </row>
    <row r="412" spans="1:1">
      <c r="A412" s="1"/>
    </row>
    <row r="413" spans="1:1">
      <c r="A413" s="1"/>
    </row>
    <row r="414" spans="1:1">
      <c r="A414" s="1"/>
    </row>
    <row r="415" spans="1:1">
      <c r="A415" s="1"/>
    </row>
    <row r="416" spans="1:1">
      <c r="A416" s="1"/>
    </row>
    <row r="417" spans="1:1">
      <c r="A417" s="1"/>
    </row>
    <row r="418" spans="1:1">
      <c r="A418" s="1"/>
    </row>
    <row r="419" spans="1:1">
      <c r="A419" s="1"/>
    </row>
    <row r="420" spans="1:1">
      <c r="A420" s="1"/>
    </row>
    <row r="421" spans="1:1">
      <c r="A421" s="1"/>
    </row>
    <row r="422" spans="1:1">
      <c r="A422" s="1"/>
    </row>
    <row r="423" spans="1:1">
      <c r="A423" s="1"/>
    </row>
    <row r="424" spans="1:1">
      <c r="A424" s="1"/>
    </row>
    <row r="425" spans="1:1">
      <c r="A425" s="1"/>
    </row>
    <row r="426" spans="1:1">
      <c r="A426" s="1"/>
    </row>
    <row r="427" spans="1:1">
      <c r="A427" s="1"/>
    </row>
    <row r="428" spans="1:1">
      <c r="A428" s="1"/>
    </row>
    <row r="429" spans="1:1">
      <c r="A429" s="1"/>
    </row>
    <row r="430" spans="1:1">
      <c r="A430" s="1"/>
    </row>
    <row r="431" spans="1:1">
      <c r="A431" s="1"/>
    </row>
    <row r="432" spans="1:1">
      <c r="A432" s="1"/>
    </row>
    <row r="433" spans="1:1">
      <c r="A433" s="1"/>
    </row>
    <row r="434" spans="1:1">
      <c r="A434" s="1"/>
    </row>
    <row r="435" spans="1:1">
      <c r="A435" s="1"/>
    </row>
    <row r="436" spans="1:1">
      <c r="A436" s="1"/>
    </row>
    <row r="437" spans="1:1">
      <c r="A437" s="1"/>
    </row>
    <row r="438" spans="1:1">
      <c r="A438" s="1"/>
    </row>
    <row r="439" spans="1:1">
      <c r="A439" s="1"/>
    </row>
    <row r="440" spans="1:1">
      <c r="A440" s="1"/>
    </row>
    <row r="441" spans="1:1">
      <c r="A441" s="1"/>
    </row>
    <row r="442" spans="1:1">
      <c r="A442" s="1"/>
    </row>
    <row r="443" spans="1:1">
      <c r="A443" s="1"/>
    </row>
    <row r="444" spans="1:1">
      <c r="A444" s="1"/>
    </row>
    <row r="445" spans="1:1">
      <c r="A445" s="1"/>
    </row>
    <row r="446" spans="1:1">
      <c r="A446" s="1"/>
    </row>
    <row r="447" spans="1:1">
      <c r="A447" s="1"/>
    </row>
    <row r="448" spans="1:1">
      <c r="A448" s="1"/>
    </row>
    <row r="449" spans="1:1">
      <c r="A449" s="1"/>
    </row>
    <row r="450" spans="1:1">
      <c r="A450" s="1"/>
    </row>
    <row r="451" spans="1:1">
      <c r="A451" s="1"/>
    </row>
    <row r="452" spans="1:1">
      <c r="A452" s="1"/>
    </row>
    <row r="453" spans="1:1">
      <c r="A453" s="1"/>
    </row>
    <row r="454" spans="1:1">
      <c r="A454" s="1"/>
    </row>
    <row r="455" spans="1:1">
      <c r="A455" s="1"/>
    </row>
    <row r="456" spans="1:1">
      <c r="A456" s="1"/>
    </row>
    <row r="457" spans="1:1">
      <c r="A457" s="1"/>
    </row>
    <row r="458" spans="1:1">
      <c r="A458" s="1"/>
    </row>
    <row r="459" spans="1:1">
      <c r="A459" s="1"/>
    </row>
    <row r="460" spans="1:1">
      <c r="A460" s="1"/>
    </row>
    <row r="461" spans="1:1">
      <c r="A461" s="1"/>
    </row>
    <row r="462" spans="1:1">
      <c r="A462" s="1"/>
    </row>
    <row r="463" spans="1:1">
      <c r="A463" s="1"/>
    </row>
    <row r="464" spans="1:1">
      <c r="A464" s="1"/>
    </row>
    <row r="465" spans="1:1">
      <c r="A465" s="1"/>
    </row>
    <row r="466" spans="1:1">
      <c r="A466" s="1"/>
    </row>
    <row r="467" spans="1:1">
      <c r="A467" s="1"/>
    </row>
    <row r="468" spans="1:1">
      <c r="A468" s="1"/>
    </row>
    <row r="469" spans="1:1">
      <c r="A469" s="1"/>
    </row>
    <row r="470" spans="1:1">
      <c r="A470" s="1"/>
    </row>
    <row r="471" spans="1:1">
      <c r="A471" s="1"/>
    </row>
    <row r="472" spans="1:1">
      <c r="A472" s="1"/>
    </row>
    <row r="473" spans="1:1">
      <c r="A473" s="1"/>
    </row>
    <row r="474" spans="1:1">
      <c r="A474" s="1"/>
    </row>
    <row r="475" spans="1:1">
      <c r="A475" s="1"/>
    </row>
    <row r="476" spans="1:1">
      <c r="A476" s="1"/>
    </row>
    <row r="477" spans="1:1">
      <c r="A477" s="1"/>
    </row>
    <row r="478" spans="1:1">
      <c r="A478" s="1"/>
    </row>
    <row r="479" spans="1:1">
      <c r="A479" s="1"/>
    </row>
    <row r="480" spans="1:1">
      <c r="A480" s="1"/>
    </row>
    <row r="481" spans="1:1">
      <c r="A481" s="1"/>
    </row>
    <row r="482" spans="1:1">
      <c r="A482" s="1"/>
    </row>
    <row r="483" spans="1:1">
      <c r="A483" s="1"/>
    </row>
    <row r="484" spans="1:1">
      <c r="A484" s="1"/>
    </row>
    <row r="485" spans="1:1">
      <c r="A485" s="1"/>
    </row>
    <row r="486" spans="1:1">
      <c r="A486" s="1"/>
    </row>
    <row r="487" spans="1:1">
      <c r="A487" s="1"/>
    </row>
    <row r="488" spans="1:1">
      <c r="A488" s="1"/>
    </row>
    <row r="489" spans="1:1">
      <c r="A489" s="1"/>
    </row>
    <row r="490" spans="1:1">
      <c r="A490" s="1"/>
    </row>
    <row r="491" spans="1:1">
      <c r="A491" s="1"/>
    </row>
    <row r="492" spans="1:1">
      <c r="A492" s="1"/>
    </row>
    <row r="493" spans="1:1">
      <c r="A493" s="1"/>
    </row>
    <row r="494" spans="1:1">
      <c r="A494" s="1"/>
    </row>
    <row r="495" spans="1:1">
      <c r="A495" s="1"/>
    </row>
    <row r="496" spans="1:1">
      <c r="A496" s="1"/>
    </row>
    <row r="497" spans="1:1">
      <c r="A497" s="1"/>
    </row>
    <row r="498" spans="1:1">
      <c r="A498" s="1"/>
    </row>
    <row r="499" spans="1:1">
      <c r="A499" s="1"/>
    </row>
    <row r="500" spans="1:1">
      <c r="A500" s="1"/>
    </row>
    <row r="501" spans="1:1">
      <c r="A501" s="1"/>
    </row>
    <row r="502" spans="1:1">
      <c r="A502" s="1"/>
    </row>
    <row r="503" spans="1:1">
      <c r="A503" s="1"/>
    </row>
    <row r="504" spans="1:1">
      <c r="A504" s="1"/>
    </row>
    <row r="505" spans="1:1">
      <c r="A505" s="1"/>
    </row>
    <row r="506" spans="1:1">
      <c r="A506" s="1"/>
    </row>
    <row r="507" spans="1:1">
      <c r="A507" s="1"/>
    </row>
    <row r="508" spans="1:1">
      <c r="A508" s="1"/>
    </row>
    <row r="509" spans="1:1">
      <c r="A509" s="1"/>
    </row>
    <row r="510" spans="1:1">
      <c r="A510" s="1"/>
    </row>
    <row r="511" spans="1:1">
      <c r="A511" s="1"/>
    </row>
    <row r="512" spans="1:1">
      <c r="A512" s="1"/>
    </row>
    <row r="513" spans="1:1">
      <c r="A513" s="1"/>
    </row>
    <row r="514" spans="1:1">
      <c r="A514" s="1"/>
    </row>
    <row r="515" spans="1:1">
      <c r="A515" s="1"/>
    </row>
    <row r="516" spans="1:1">
      <c r="A516" s="1"/>
    </row>
    <row r="517" spans="1:1">
      <c r="A517" s="1"/>
    </row>
    <row r="518" spans="1:1">
      <c r="A518" s="1"/>
    </row>
    <row r="519" spans="1:1">
      <c r="A519" s="1"/>
    </row>
    <row r="520" spans="1:1">
      <c r="A520" s="1"/>
    </row>
    <row r="521" spans="1:1">
      <c r="A521" s="1"/>
    </row>
    <row r="522" spans="1:1">
      <c r="A522" s="1"/>
    </row>
    <row r="523" spans="1:1">
      <c r="A523" s="1"/>
    </row>
    <row r="524" spans="1:1">
      <c r="A524" s="1"/>
    </row>
    <row r="525" spans="1:1">
      <c r="A525" s="1"/>
    </row>
    <row r="526" spans="1:1">
      <c r="A526" s="1"/>
    </row>
    <row r="527" spans="1:1">
      <c r="A527" s="1"/>
    </row>
    <row r="528" spans="1:1">
      <c r="A528" s="1"/>
    </row>
    <row r="529" spans="1:1">
      <c r="A529" s="1"/>
    </row>
    <row r="530" spans="1:1">
      <c r="A530" s="1"/>
    </row>
    <row r="531" spans="1:1">
      <c r="A531" s="1"/>
    </row>
    <row r="532" spans="1:1">
      <c r="A532" s="1"/>
    </row>
    <row r="533" spans="1:1">
      <c r="A533" s="1"/>
    </row>
    <row r="534" spans="1:1">
      <c r="A534" s="1"/>
    </row>
    <row r="535" spans="1:1">
      <c r="A535" s="1"/>
    </row>
    <row r="536" spans="1:1">
      <c r="A536" s="1"/>
    </row>
    <row r="537" spans="1:1">
      <c r="A537" s="1"/>
    </row>
    <row r="538" spans="1:1">
      <c r="A538" s="1"/>
    </row>
    <row r="539" spans="1:1">
      <c r="A539" s="1"/>
    </row>
    <row r="540" spans="1:1">
      <c r="A540" s="1"/>
    </row>
    <row r="541" spans="1:1">
      <c r="A541" s="1"/>
    </row>
    <row r="542" spans="1:1">
      <c r="A542" s="1"/>
    </row>
    <row r="543" spans="1:1">
      <c r="A543" s="1"/>
    </row>
    <row r="544" spans="1:1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  <row r="561" spans="1:1">
      <c r="A561" s="1"/>
    </row>
    <row r="562" spans="1:1">
      <c r="A562" s="1"/>
    </row>
    <row r="563" spans="1:1">
      <c r="A563" s="1"/>
    </row>
    <row r="564" spans="1:1">
      <c r="A564" s="1"/>
    </row>
    <row r="565" spans="1:1">
      <c r="A565" s="1"/>
    </row>
    <row r="566" spans="1:1">
      <c r="A566" s="1"/>
    </row>
    <row r="567" spans="1:1">
      <c r="A567" s="1"/>
    </row>
    <row r="568" spans="1:1">
      <c r="A568" s="1"/>
    </row>
    <row r="569" spans="1:1">
      <c r="A569" s="1"/>
    </row>
    <row r="570" spans="1:1">
      <c r="A570" s="1"/>
    </row>
    <row r="571" spans="1:1">
      <c r="A571" s="1"/>
    </row>
    <row r="572" spans="1:1">
      <c r="A572" s="1"/>
    </row>
    <row r="573" spans="1:1">
      <c r="A573" s="1"/>
    </row>
    <row r="574" spans="1:1">
      <c r="A574" s="1"/>
    </row>
    <row r="575" spans="1:1">
      <c r="A575" s="1"/>
    </row>
    <row r="576" spans="1:1">
      <c r="A576" s="1"/>
    </row>
    <row r="577" spans="1:1">
      <c r="A577" s="1"/>
    </row>
    <row r="578" spans="1:1">
      <c r="A578" s="1"/>
    </row>
    <row r="579" spans="1:1">
      <c r="A579" s="1"/>
    </row>
    <row r="580" spans="1:1">
      <c r="A580" s="1"/>
    </row>
    <row r="581" spans="1:1">
      <c r="A581" s="1"/>
    </row>
    <row r="582" spans="1:1">
      <c r="A582" s="1"/>
    </row>
    <row r="583" spans="1:1">
      <c r="A583" s="1"/>
    </row>
    <row r="584" spans="1:1">
      <c r="A584" s="1"/>
    </row>
    <row r="585" spans="1:1">
      <c r="A585" s="1"/>
    </row>
    <row r="586" spans="1:1">
      <c r="A586" s="1"/>
    </row>
    <row r="587" spans="1:1">
      <c r="A587" s="1"/>
    </row>
    <row r="588" spans="1:1">
      <c r="A588" s="1"/>
    </row>
    <row r="589" spans="1:1">
      <c r="A589" s="1"/>
    </row>
    <row r="590" spans="1:1">
      <c r="A590" s="1"/>
    </row>
    <row r="591" spans="1:1">
      <c r="A591" s="1"/>
    </row>
    <row r="592" spans="1:1">
      <c r="A592" s="1"/>
    </row>
    <row r="593" spans="1:1">
      <c r="A593" s="1"/>
    </row>
    <row r="594" spans="1:1">
      <c r="A594" s="1"/>
    </row>
    <row r="595" spans="1:1">
      <c r="A595" s="1"/>
    </row>
    <row r="596" spans="1:1">
      <c r="A596" s="1"/>
    </row>
    <row r="597" spans="1:1">
      <c r="A597" s="1"/>
    </row>
    <row r="598" spans="1:1">
      <c r="A598" s="1"/>
    </row>
    <row r="599" spans="1:1">
      <c r="A599" s="1"/>
    </row>
    <row r="600" spans="1:1">
      <c r="A600" s="1"/>
    </row>
    <row r="601" spans="1:1">
      <c r="A601" s="1"/>
    </row>
    <row r="602" spans="1:1">
      <c r="A602" s="1"/>
    </row>
    <row r="603" spans="1:1">
      <c r="A603" s="1"/>
    </row>
    <row r="604" spans="1:1">
      <c r="A604" s="1"/>
    </row>
    <row r="605" spans="1:1">
      <c r="A605" s="1"/>
    </row>
    <row r="606" spans="1:1">
      <c r="A606" s="1"/>
    </row>
    <row r="607" spans="1:1">
      <c r="A607" s="1"/>
    </row>
    <row r="608" spans="1:1">
      <c r="A608" s="1"/>
    </row>
    <row r="609" spans="1:1">
      <c r="A609" s="1"/>
    </row>
    <row r="610" spans="1:1">
      <c r="A610" s="1"/>
    </row>
    <row r="611" spans="1:1">
      <c r="A611" s="1"/>
    </row>
    <row r="612" spans="1:1">
      <c r="A612" s="1"/>
    </row>
    <row r="613" spans="1:1">
      <c r="A613" s="1"/>
    </row>
    <row r="614" spans="1:1">
      <c r="A614" s="1"/>
    </row>
    <row r="615" spans="1:1">
      <c r="A615" s="1"/>
    </row>
    <row r="616" spans="1:1">
      <c r="A616" s="1"/>
    </row>
    <row r="617" spans="1:1">
      <c r="A617" s="1"/>
    </row>
    <row r="618" spans="1:1">
      <c r="A618" s="1"/>
    </row>
    <row r="619" spans="1:1">
      <c r="A619" s="1"/>
    </row>
    <row r="620" spans="1:1">
      <c r="A620" s="1"/>
    </row>
    <row r="621" spans="1:1">
      <c r="A621" s="1"/>
    </row>
    <row r="622" spans="1:1">
      <c r="A622" s="1"/>
    </row>
    <row r="623" spans="1:1">
      <c r="A623" s="1"/>
    </row>
    <row r="624" spans="1:1">
      <c r="A624" s="1"/>
    </row>
    <row r="625" spans="1:1">
      <c r="A625" s="1"/>
    </row>
    <row r="626" spans="1:1">
      <c r="A626" s="1"/>
    </row>
    <row r="627" spans="1:1">
      <c r="A627" s="1"/>
    </row>
    <row r="628" spans="1:1">
      <c r="A628" s="1"/>
    </row>
    <row r="629" spans="1:1">
      <c r="A629" s="1"/>
    </row>
    <row r="630" spans="1:1">
      <c r="A630" s="1"/>
    </row>
    <row r="631" spans="1:1">
      <c r="A631" s="1"/>
    </row>
    <row r="632" spans="1:1">
      <c r="A632" s="1"/>
    </row>
    <row r="633" spans="1:1">
      <c r="A633" s="1"/>
    </row>
    <row r="634" spans="1:1">
      <c r="A634" s="1"/>
    </row>
    <row r="635" spans="1:1">
      <c r="A635" s="1"/>
    </row>
    <row r="636" spans="1:1">
      <c r="A636" s="1"/>
    </row>
    <row r="637" spans="1:1">
      <c r="A637" s="1"/>
    </row>
    <row r="638" spans="1:1">
      <c r="A638" s="1"/>
    </row>
    <row r="639" spans="1:1">
      <c r="A639" s="1"/>
    </row>
    <row r="640" spans="1:1">
      <c r="A640" s="1"/>
    </row>
    <row r="641" spans="1:1">
      <c r="A641" s="1"/>
    </row>
    <row r="642" spans="1:1">
      <c r="A642" s="1"/>
    </row>
    <row r="643" spans="1:1">
      <c r="A643" s="1"/>
    </row>
    <row r="644" spans="1:1">
      <c r="A644" s="1"/>
    </row>
    <row r="645" spans="1:1">
      <c r="A645" s="1"/>
    </row>
    <row r="646" spans="1:1">
      <c r="A646" s="1"/>
    </row>
    <row r="647" spans="1:1">
      <c r="A647" s="1"/>
    </row>
    <row r="648" spans="1:1">
      <c r="A648" s="1"/>
    </row>
    <row r="649" spans="1:1">
      <c r="A649" s="1"/>
    </row>
    <row r="650" spans="1:1">
      <c r="A650" s="1"/>
    </row>
    <row r="651" spans="1:1">
      <c r="A651" s="1"/>
    </row>
    <row r="652" spans="1:1">
      <c r="A652" s="1"/>
    </row>
    <row r="653" spans="1:1">
      <c r="A653" s="1"/>
    </row>
    <row r="654" spans="1:1">
      <c r="A654" s="1"/>
    </row>
    <row r="655" spans="1:1">
      <c r="A655" s="1"/>
    </row>
    <row r="656" spans="1:1">
      <c r="A656" s="1"/>
    </row>
    <row r="657" spans="1:1">
      <c r="A657" s="1"/>
    </row>
    <row r="658" spans="1:1">
      <c r="A658" s="1"/>
    </row>
    <row r="659" spans="1:1">
      <c r="A659" s="1"/>
    </row>
    <row r="660" spans="1:1">
      <c r="A660" s="1"/>
    </row>
    <row r="661" spans="1:1">
      <c r="A661" s="1"/>
    </row>
    <row r="662" spans="1:1">
      <c r="A662" s="1"/>
    </row>
    <row r="663" spans="1:1">
      <c r="A663" s="1"/>
    </row>
    <row r="664" spans="1:1">
      <c r="A664" s="1"/>
    </row>
    <row r="665" spans="1:1">
      <c r="A665" s="1"/>
    </row>
    <row r="666" spans="1:1">
      <c r="A666" s="1"/>
    </row>
    <row r="667" spans="1:1">
      <c r="A667" s="1"/>
    </row>
    <row r="668" spans="1:1">
      <c r="A668" s="1"/>
    </row>
    <row r="669" spans="1:1">
      <c r="A669" s="1"/>
    </row>
    <row r="670" spans="1:1">
      <c r="A670" s="1"/>
    </row>
    <row r="671" spans="1:1">
      <c r="A671" s="1"/>
    </row>
    <row r="672" spans="1:1">
      <c r="A672" s="1"/>
    </row>
    <row r="673" spans="1:1">
      <c r="A673" s="1"/>
    </row>
    <row r="674" spans="1:1">
      <c r="A674" s="1"/>
    </row>
    <row r="675" spans="1:1">
      <c r="A675" s="1"/>
    </row>
    <row r="676" spans="1:1">
      <c r="A676" s="1"/>
    </row>
    <row r="677" spans="1:1">
      <c r="A677" s="1"/>
    </row>
    <row r="678" spans="1:1">
      <c r="A678" s="1"/>
    </row>
    <row r="679" spans="1:1">
      <c r="A679" s="1"/>
    </row>
    <row r="680" spans="1:1">
      <c r="A680" s="1"/>
    </row>
    <row r="681" spans="1:1">
      <c r="A681" s="1"/>
    </row>
    <row r="682" spans="1:1">
      <c r="A682" s="1"/>
    </row>
    <row r="683" spans="1:1">
      <c r="A683" s="1"/>
    </row>
    <row r="684" spans="1:1">
      <c r="A684" s="1"/>
    </row>
    <row r="685" spans="1:1">
      <c r="A685" s="1"/>
    </row>
    <row r="686" spans="1:1">
      <c r="A686" s="1"/>
    </row>
    <row r="687" spans="1:1">
      <c r="A687" s="1"/>
    </row>
    <row r="688" spans="1:1">
      <c r="A688" s="1"/>
    </row>
    <row r="689" spans="1:1">
      <c r="A689" s="1"/>
    </row>
    <row r="690" spans="1:1">
      <c r="A690" s="1"/>
    </row>
    <row r="691" spans="1:1">
      <c r="A691" s="1"/>
    </row>
    <row r="692" spans="1:1">
      <c r="A692" s="1"/>
    </row>
    <row r="693" spans="1:1">
      <c r="A693" s="1"/>
    </row>
    <row r="694" spans="1:1">
      <c r="A694" s="1"/>
    </row>
    <row r="695" spans="1:1">
      <c r="A695" s="1"/>
    </row>
    <row r="696" spans="1:1">
      <c r="A696" s="1"/>
    </row>
    <row r="697" spans="1:1">
      <c r="A697" s="1"/>
    </row>
    <row r="698" spans="1:1">
      <c r="A698" s="1"/>
    </row>
    <row r="699" spans="1:1">
      <c r="A699" s="1"/>
    </row>
    <row r="700" spans="1:1">
      <c r="A700" s="1"/>
    </row>
    <row r="701" spans="1:1">
      <c r="A701" s="1"/>
    </row>
    <row r="702" spans="1:1">
      <c r="A702" s="1"/>
    </row>
    <row r="703" spans="1:1">
      <c r="A703" s="1"/>
    </row>
    <row r="704" spans="1:1">
      <c r="A704" s="1"/>
    </row>
    <row r="705" spans="1:1">
      <c r="A705" s="1"/>
    </row>
    <row r="706" spans="1:1">
      <c r="A706" s="1"/>
    </row>
    <row r="707" spans="1:1">
      <c r="A707" s="1"/>
    </row>
    <row r="708" spans="1:1">
      <c r="A708" s="1"/>
    </row>
    <row r="709" spans="1:1">
      <c r="A709" s="1"/>
    </row>
    <row r="710" spans="1:1">
      <c r="A710" s="1"/>
    </row>
    <row r="711" spans="1:1">
      <c r="A711" s="1"/>
    </row>
    <row r="712" spans="1:1">
      <c r="A712" s="1"/>
    </row>
    <row r="713" spans="1:1">
      <c r="A713" s="1"/>
    </row>
    <row r="714" spans="1:1">
      <c r="A714" s="1"/>
    </row>
    <row r="715" spans="1:1">
      <c r="A715" s="1"/>
    </row>
    <row r="716" spans="1:1">
      <c r="A716" s="1"/>
    </row>
    <row r="717" spans="1:1">
      <c r="A717" s="1"/>
    </row>
    <row r="718" spans="1:1">
      <c r="A718" s="1"/>
    </row>
    <row r="719" spans="1:1">
      <c r="A719" s="1"/>
    </row>
    <row r="720" spans="1:1">
      <c r="A720" s="1"/>
    </row>
    <row r="721" spans="1:1">
      <c r="A721" s="1"/>
    </row>
    <row r="722" spans="1:1">
      <c r="A722" s="1"/>
    </row>
    <row r="723" spans="1:1">
      <c r="A723" s="1"/>
    </row>
    <row r="724" spans="1:1">
      <c r="A724" s="1"/>
    </row>
    <row r="725" spans="1:1">
      <c r="A725" s="1"/>
    </row>
    <row r="726" spans="1:1">
      <c r="A726" s="1"/>
    </row>
    <row r="727" spans="1:1">
      <c r="A727" s="1"/>
    </row>
    <row r="728" spans="1:1">
      <c r="A728" s="1"/>
    </row>
    <row r="729" spans="1:1">
      <c r="A729" s="1"/>
    </row>
    <row r="730" spans="1:1">
      <c r="A730" s="1"/>
    </row>
    <row r="731" spans="1:1">
      <c r="A731" s="1"/>
    </row>
    <row r="732" spans="1:1">
      <c r="A732" s="1"/>
    </row>
    <row r="733" spans="1:1">
      <c r="A733" s="1"/>
    </row>
    <row r="734" spans="1:1">
      <c r="A734" s="1"/>
    </row>
    <row r="735" spans="1:1">
      <c r="A735" s="1"/>
    </row>
    <row r="736" spans="1:1">
      <c r="A736" s="1"/>
    </row>
    <row r="737" spans="1:1">
      <c r="A737" s="1"/>
    </row>
    <row r="738" spans="1:1">
      <c r="A738" s="1"/>
    </row>
    <row r="739" spans="1:1">
      <c r="A739" s="1"/>
    </row>
    <row r="740" spans="1:1">
      <c r="A740" s="1"/>
    </row>
    <row r="741" spans="1:1">
      <c r="A741" s="1"/>
    </row>
    <row r="742" spans="1:1">
      <c r="A742" s="1"/>
    </row>
    <row r="743" spans="1:1">
      <c r="A743" s="1"/>
    </row>
    <row r="744" spans="1:1">
      <c r="A744" s="1"/>
    </row>
    <row r="745" spans="1:1">
      <c r="A745" s="1"/>
    </row>
    <row r="746" spans="1:1">
      <c r="A746" s="1"/>
    </row>
    <row r="747" spans="1:1">
      <c r="A747" s="1"/>
    </row>
    <row r="748" spans="1:1">
      <c r="A748" s="1"/>
    </row>
    <row r="749" spans="1:1">
      <c r="A749" s="1"/>
    </row>
    <row r="750" spans="1:1">
      <c r="A750" s="1"/>
    </row>
    <row r="751" spans="1:1">
      <c r="A751" s="1"/>
    </row>
    <row r="752" spans="1:1">
      <c r="A752" s="1"/>
    </row>
    <row r="753" spans="1:1">
      <c r="A753" s="1"/>
    </row>
    <row r="754" spans="1:1">
      <c r="A754" s="1"/>
    </row>
    <row r="755" spans="1:1">
      <c r="A755" s="1"/>
    </row>
    <row r="756" spans="1:1">
      <c r="A756" s="1"/>
    </row>
    <row r="757" spans="1:1">
      <c r="A757" s="1"/>
    </row>
    <row r="758" spans="1:1">
      <c r="A758" s="1"/>
    </row>
    <row r="759" spans="1:1">
      <c r="A759" s="1"/>
    </row>
    <row r="760" spans="1:1">
      <c r="A760" s="1"/>
    </row>
    <row r="761" spans="1:1">
      <c r="A761" s="1"/>
    </row>
    <row r="762" spans="1:1">
      <c r="A762" s="1"/>
    </row>
    <row r="763" spans="1:1">
      <c r="A763" s="1"/>
    </row>
    <row r="764" spans="1:1">
      <c r="A764" s="1"/>
    </row>
    <row r="765" spans="1:1">
      <c r="A765" s="1"/>
    </row>
    <row r="766" spans="1:1">
      <c r="A766" s="1"/>
    </row>
    <row r="767" spans="1:1">
      <c r="A767" s="1"/>
    </row>
    <row r="768" spans="1:1">
      <c r="A768" s="1"/>
    </row>
    <row r="769" spans="1:1">
      <c r="A769" s="1"/>
    </row>
    <row r="770" spans="1:1">
      <c r="A770" s="1"/>
    </row>
    <row r="771" spans="1:1">
      <c r="A771" s="1"/>
    </row>
    <row r="772" spans="1:1">
      <c r="A772" s="1"/>
    </row>
    <row r="773" spans="1:1">
      <c r="A773" s="1"/>
    </row>
    <row r="774" spans="1:1">
      <c r="A774" s="1"/>
    </row>
    <row r="775" spans="1:1">
      <c r="A775" s="1"/>
    </row>
    <row r="776" spans="1:1">
      <c r="A776" s="1"/>
    </row>
    <row r="777" spans="1:1">
      <c r="A777" s="1"/>
    </row>
    <row r="778" spans="1:1">
      <c r="A778" s="1"/>
    </row>
    <row r="779" spans="1:1">
      <c r="A779" s="1"/>
    </row>
    <row r="780" spans="1:1">
      <c r="A780" s="1"/>
    </row>
    <row r="781" spans="1:1">
      <c r="A781" s="1"/>
    </row>
    <row r="782" spans="1:1">
      <c r="A782" s="1"/>
    </row>
    <row r="783" spans="1:1">
      <c r="A783" s="1"/>
    </row>
    <row r="784" spans="1:1">
      <c r="A784" s="1"/>
    </row>
    <row r="785" spans="1:1">
      <c r="A785" s="1"/>
    </row>
    <row r="786" spans="1:1">
      <c r="A786" s="1"/>
    </row>
    <row r="787" spans="1:1">
      <c r="A787" s="1"/>
    </row>
    <row r="788" spans="1:1">
      <c r="A788" s="1"/>
    </row>
    <row r="789" spans="1:1">
      <c r="A789" s="1"/>
    </row>
    <row r="790" spans="1:1">
      <c r="A790" s="1"/>
    </row>
    <row r="791" spans="1:1">
      <c r="A791" s="1"/>
    </row>
    <row r="792" spans="1:1">
      <c r="A792" s="1"/>
    </row>
    <row r="793" spans="1:1">
      <c r="A793" s="1"/>
    </row>
    <row r="794" spans="1:1">
      <c r="A794" s="1"/>
    </row>
    <row r="795" spans="1:1">
      <c r="A795" s="1"/>
    </row>
    <row r="796" spans="1:1">
      <c r="A796" s="1"/>
    </row>
    <row r="797" spans="1:1">
      <c r="A797" s="1"/>
    </row>
    <row r="798" spans="1:1">
      <c r="A798" s="1"/>
    </row>
    <row r="799" spans="1:1">
      <c r="A799" s="1"/>
    </row>
    <row r="800" spans="1:1">
      <c r="A800" s="1"/>
    </row>
    <row r="801" spans="1:1">
      <c r="A801" s="1"/>
    </row>
    <row r="802" spans="1:1">
      <c r="A802" s="1"/>
    </row>
    <row r="803" spans="1:1">
      <c r="A803" s="1"/>
    </row>
    <row r="804" spans="1:1">
      <c r="A804" s="1"/>
    </row>
    <row r="805" spans="1:1">
      <c r="A805" s="1"/>
    </row>
    <row r="806" spans="1:1">
      <c r="A806" s="1"/>
    </row>
    <row r="807" spans="1:1">
      <c r="A807" s="1"/>
    </row>
    <row r="808" spans="1:1">
      <c r="A808" s="1"/>
    </row>
    <row r="809" spans="1:1">
      <c r="A809" s="1"/>
    </row>
    <row r="810" spans="1:1">
      <c r="A810" s="1"/>
    </row>
    <row r="811" spans="1:1">
      <c r="A811" s="1"/>
    </row>
    <row r="812" spans="1:1">
      <c r="A812" s="1"/>
    </row>
    <row r="813" spans="1:1">
      <c r="A813" s="1"/>
    </row>
    <row r="814" spans="1:1">
      <c r="A814" s="1"/>
    </row>
    <row r="815" spans="1:1">
      <c r="A815" s="1"/>
    </row>
    <row r="816" spans="1:1">
      <c r="A816" s="1"/>
    </row>
    <row r="817" spans="1:1">
      <c r="A817" s="1"/>
    </row>
    <row r="818" spans="1:1">
      <c r="A818" s="1"/>
    </row>
    <row r="819" spans="1:1">
      <c r="A819" s="1"/>
    </row>
    <row r="820" spans="1:1">
      <c r="A820" s="1"/>
    </row>
    <row r="821" spans="1:1">
      <c r="A821" s="1"/>
    </row>
    <row r="822" spans="1:1">
      <c r="A822" s="1"/>
    </row>
    <row r="823" spans="1:1">
      <c r="A823" s="1"/>
    </row>
    <row r="824" spans="1:1">
      <c r="A824" s="1"/>
    </row>
    <row r="825" spans="1:1">
      <c r="A825" s="1"/>
    </row>
    <row r="826" spans="1:1">
      <c r="A826" s="1"/>
    </row>
    <row r="827" spans="1:1">
      <c r="A827" s="1"/>
    </row>
    <row r="828" spans="1:1">
      <c r="A828" s="1"/>
    </row>
    <row r="829" spans="1:1">
      <c r="A829" s="1"/>
    </row>
    <row r="830" spans="1:1">
      <c r="A830" s="1"/>
    </row>
    <row r="831" spans="1:1">
      <c r="A831" s="1"/>
    </row>
    <row r="832" spans="1:1">
      <c r="A832" s="1"/>
    </row>
    <row r="833" spans="1:1">
      <c r="A833" s="1"/>
    </row>
    <row r="834" spans="1:1">
      <c r="A834" s="1"/>
    </row>
    <row r="835" spans="1:1">
      <c r="A835" s="1"/>
    </row>
    <row r="836" spans="1:1">
      <c r="A836" s="1"/>
    </row>
    <row r="837" spans="1:1">
      <c r="A837" s="1"/>
    </row>
    <row r="838" spans="1:1">
      <c r="A838" s="1"/>
    </row>
    <row r="839" spans="1:1">
      <c r="A839" s="1"/>
    </row>
    <row r="840" spans="1:1">
      <c r="A840" s="1"/>
    </row>
    <row r="841" spans="1:1">
      <c r="A841" s="1"/>
    </row>
    <row r="842" spans="1:1">
      <c r="A842" s="1"/>
    </row>
    <row r="843" spans="1:1">
      <c r="A843" s="1"/>
    </row>
    <row r="844" spans="1:1">
      <c r="A844" s="1"/>
    </row>
    <row r="845" spans="1:1">
      <c r="A845" s="1"/>
    </row>
    <row r="846" spans="1:1">
      <c r="A846" s="1"/>
    </row>
    <row r="847" spans="1:1">
      <c r="A847" s="1"/>
    </row>
    <row r="848" spans="1:1">
      <c r="A848" s="1"/>
    </row>
    <row r="849" spans="1:1">
      <c r="A849" s="1"/>
    </row>
    <row r="850" spans="1:1">
      <c r="A850" s="1"/>
    </row>
    <row r="851" spans="1:1">
      <c r="A851" s="1"/>
    </row>
    <row r="852" spans="1:1">
      <c r="A852" s="1"/>
    </row>
    <row r="853" spans="1:1">
      <c r="A853" s="1"/>
    </row>
    <row r="854" spans="1:1">
      <c r="A854" s="1"/>
    </row>
    <row r="855" spans="1:1">
      <c r="A855" s="1"/>
    </row>
    <row r="856" spans="1:1">
      <c r="A856" s="1"/>
    </row>
    <row r="857" spans="1:1">
      <c r="A857" s="1"/>
    </row>
    <row r="858" spans="1:1">
      <c r="A858" s="1"/>
    </row>
    <row r="859" spans="1:1">
      <c r="A859" s="1"/>
    </row>
    <row r="860" spans="1:1">
      <c r="A860" s="1"/>
    </row>
    <row r="861" spans="1:1">
      <c r="A861" s="1"/>
    </row>
    <row r="862" spans="1:1">
      <c r="A862" s="1"/>
    </row>
    <row r="863" spans="1:1">
      <c r="A863" s="1"/>
    </row>
    <row r="864" spans="1:1">
      <c r="A864" s="1"/>
    </row>
    <row r="865" spans="1:1">
      <c r="A865" s="1"/>
    </row>
    <row r="866" spans="1:1">
      <c r="A866" s="1"/>
    </row>
    <row r="867" spans="1:1">
      <c r="A867" s="1"/>
    </row>
    <row r="868" spans="1:1">
      <c r="A868" s="1"/>
    </row>
    <row r="869" spans="1:1">
      <c r="A869" s="1"/>
    </row>
    <row r="870" spans="1:1">
      <c r="A870" s="1"/>
    </row>
    <row r="871" spans="1:1">
      <c r="A871" s="1"/>
    </row>
    <row r="872" spans="1:1">
      <c r="A872" s="1"/>
    </row>
    <row r="873" spans="1:1">
      <c r="A873" s="1"/>
    </row>
    <row r="874" spans="1:1">
      <c r="A874" s="1"/>
    </row>
    <row r="875" spans="1:1">
      <c r="A875" s="1"/>
    </row>
    <row r="876" spans="1:1">
      <c r="A876" s="1"/>
    </row>
    <row r="877" spans="1:1">
      <c r="A877" s="1"/>
    </row>
    <row r="878" spans="1:1">
      <c r="A878" s="1"/>
    </row>
    <row r="879" spans="1:1">
      <c r="A879" s="1"/>
    </row>
    <row r="880" spans="1:1">
      <c r="A880" s="1"/>
    </row>
    <row r="881" spans="1:1">
      <c r="A881" s="1"/>
    </row>
    <row r="882" spans="1:1">
      <c r="A882" s="1"/>
    </row>
    <row r="883" spans="1:1">
      <c r="A883" s="1"/>
    </row>
    <row r="884" spans="1:1">
      <c r="A884" s="1"/>
    </row>
    <row r="885" spans="1:1">
      <c r="A885" s="1"/>
    </row>
    <row r="886" spans="1:1">
      <c r="A886" s="1"/>
    </row>
    <row r="887" spans="1:1">
      <c r="A887" s="1"/>
    </row>
    <row r="888" spans="1:1">
      <c r="A888" s="1"/>
    </row>
    <row r="889" spans="1:1">
      <c r="A889" s="1"/>
    </row>
    <row r="890" spans="1:1">
      <c r="A890" s="1"/>
    </row>
    <row r="891" spans="1:1">
      <c r="A891" s="1"/>
    </row>
    <row r="892" spans="1:1">
      <c r="A892" s="1"/>
    </row>
    <row r="893" spans="1:1">
      <c r="A893" s="1"/>
    </row>
    <row r="894" spans="1:1">
      <c r="A894" s="1"/>
    </row>
    <row r="895" spans="1:1">
      <c r="A895" s="1"/>
    </row>
    <row r="896" spans="1:1">
      <c r="A896" s="1"/>
    </row>
    <row r="897" spans="1:1">
      <c r="A897" s="1"/>
    </row>
    <row r="898" spans="1:1">
      <c r="A898" s="1"/>
    </row>
    <row r="899" spans="1:1">
      <c r="A899" s="1"/>
    </row>
    <row r="900" spans="1:1">
      <c r="A900" s="1"/>
    </row>
    <row r="901" spans="1:1">
      <c r="A901" s="1"/>
    </row>
    <row r="902" spans="1:1">
      <c r="A902" s="1"/>
    </row>
    <row r="903" spans="1:1">
      <c r="A903" s="1"/>
    </row>
    <row r="904" spans="1:1">
      <c r="A904" s="1"/>
    </row>
    <row r="905" spans="1:1">
      <c r="A905" s="1"/>
    </row>
    <row r="906" spans="1:1">
      <c r="A906" s="1"/>
    </row>
    <row r="907" spans="1:1">
      <c r="A907" s="1"/>
    </row>
    <row r="908" spans="1:1">
      <c r="A908" s="1"/>
    </row>
    <row r="909" spans="1:1">
      <c r="A909" s="1"/>
    </row>
    <row r="910" spans="1:1">
      <c r="A910" s="1"/>
    </row>
    <row r="911" spans="1:1">
      <c r="A911" s="1"/>
    </row>
    <row r="912" spans="1:1">
      <c r="A912" s="1"/>
    </row>
    <row r="913" spans="1:1">
      <c r="A913" s="1"/>
    </row>
    <row r="914" spans="1:1">
      <c r="A914" s="1"/>
    </row>
    <row r="915" spans="1:1">
      <c r="A915" s="1"/>
    </row>
    <row r="916" spans="1:1">
      <c r="A916" s="1"/>
    </row>
    <row r="917" spans="1:1">
      <c r="A917" s="1"/>
    </row>
    <row r="918" spans="1:1">
      <c r="A918" s="1"/>
    </row>
    <row r="919" spans="1:1">
      <c r="A919" s="1"/>
    </row>
    <row r="920" spans="1:1">
      <c r="A920" s="1"/>
    </row>
    <row r="921" spans="1:1">
      <c r="A921" s="1"/>
    </row>
    <row r="922" spans="1:1">
      <c r="A922" s="1"/>
    </row>
    <row r="923" spans="1:1">
      <c r="A923" s="1"/>
    </row>
    <row r="924" spans="1:1">
      <c r="A924" s="1"/>
    </row>
    <row r="925" spans="1:1">
      <c r="A925" s="1"/>
    </row>
    <row r="926" spans="1:1">
      <c r="A926" s="1"/>
    </row>
    <row r="927" spans="1:1">
      <c r="A927" s="1"/>
    </row>
    <row r="928" spans="1:1">
      <c r="A928" s="1"/>
    </row>
    <row r="929" spans="1:1">
      <c r="A929" s="1"/>
    </row>
    <row r="930" spans="1:1">
      <c r="A930" s="1"/>
    </row>
    <row r="931" spans="1:1">
      <c r="A931" s="1"/>
    </row>
    <row r="932" spans="1:1">
      <c r="A932" s="1"/>
    </row>
    <row r="933" spans="1:1">
      <c r="A933" s="1"/>
    </row>
    <row r="934" spans="1:1">
      <c r="A934" s="1"/>
    </row>
    <row r="935" spans="1:1">
      <c r="A935" s="1"/>
    </row>
    <row r="936" spans="1:1">
      <c r="A936" s="1"/>
    </row>
    <row r="937" spans="1:1">
      <c r="A937" s="1"/>
    </row>
    <row r="938" spans="1:1">
      <c r="A938" s="1"/>
    </row>
    <row r="939" spans="1:1">
      <c r="A939" s="1"/>
    </row>
    <row r="940" spans="1:1">
      <c r="A940" s="1"/>
    </row>
    <row r="941" spans="1:1">
      <c r="A941" s="1"/>
    </row>
    <row r="942" spans="1:1">
      <c r="A942" s="1"/>
    </row>
    <row r="943" spans="1:1">
      <c r="A943" s="1"/>
    </row>
    <row r="944" spans="1:1">
      <c r="A944" s="1"/>
    </row>
    <row r="945" spans="1:1">
      <c r="A945" s="1"/>
    </row>
    <row r="946" spans="1:1">
      <c r="A946" s="1"/>
    </row>
    <row r="947" spans="1:1">
      <c r="A947" s="1"/>
    </row>
    <row r="948" spans="1:1">
      <c r="A948" s="1"/>
    </row>
    <row r="949" spans="1:1">
      <c r="A949" s="1"/>
    </row>
    <row r="950" spans="1:1">
      <c r="A950" s="1"/>
    </row>
    <row r="951" spans="1:1">
      <c r="A951" s="1"/>
    </row>
    <row r="952" spans="1:1">
      <c r="A952" s="1"/>
    </row>
    <row r="953" spans="1:1">
      <c r="A953" s="1"/>
    </row>
    <row r="954" spans="1:1">
      <c r="A954" s="1"/>
    </row>
    <row r="955" spans="1:1">
      <c r="A955" s="1"/>
    </row>
    <row r="956" spans="1:1">
      <c r="A956" s="1"/>
    </row>
    <row r="957" spans="1:1">
      <c r="A957" s="1"/>
    </row>
    <row r="958" spans="1:1">
      <c r="A958" s="1"/>
    </row>
    <row r="959" spans="1:1">
      <c r="A959" s="1"/>
    </row>
    <row r="960" spans="1:1">
      <c r="A960" s="1"/>
    </row>
    <row r="961" spans="1:1">
      <c r="A961" s="1"/>
    </row>
    <row r="962" spans="1:1">
      <c r="A962" s="1"/>
    </row>
    <row r="963" spans="1:1">
      <c r="A963" s="1"/>
    </row>
    <row r="964" spans="1:1">
      <c r="A964" s="1"/>
    </row>
    <row r="965" spans="1:1">
      <c r="A965" s="1"/>
    </row>
    <row r="966" spans="1:1">
      <c r="A966" s="1"/>
    </row>
    <row r="967" spans="1:1">
      <c r="A967" s="1"/>
    </row>
    <row r="968" spans="1:1">
      <c r="A968" s="1"/>
    </row>
    <row r="969" spans="1:1">
      <c r="A969" s="1"/>
    </row>
    <row r="970" spans="1:1">
      <c r="A970" s="1"/>
    </row>
    <row r="971" spans="1:1">
      <c r="A971" s="1"/>
    </row>
    <row r="972" spans="1:1">
      <c r="A972" s="1"/>
    </row>
    <row r="973" spans="1:1">
      <c r="A973" s="1"/>
    </row>
    <row r="974" spans="1:1">
      <c r="A974" s="1"/>
    </row>
    <row r="975" spans="1:1">
      <c r="A975" s="1"/>
    </row>
    <row r="976" spans="1:1">
      <c r="A976" s="1"/>
    </row>
    <row r="977" spans="1:1">
      <c r="A977" s="1"/>
    </row>
    <row r="978" spans="1:1">
      <c r="A978" s="1"/>
    </row>
    <row r="979" spans="1:1">
      <c r="A979" s="1"/>
    </row>
    <row r="980" spans="1:1">
      <c r="A980" s="1"/>
    </row>
    <row r="981" spans="1:1">
      <c r="A981" s="1"/>
    </row>
    <row r="982" spans="1:1">
      <c r="A982" s="1"/>
    </row>
    <row r="983" spans="1:1">
      <c r="A983" s="1"/>
    </row>
    <row r="984" spans="1:1">
      <c r="A984" s="1"/>
    </row>
    <row r="985" spans="1:1">
      <c r="A985" s="1"/>
    </row>
    <row r="986" spans="1:1">
      <c r="A986" s="1"/>
    </row>
    <row r="987" spans="1:1">
      <c r="A987" s="1"/>
    </row>
    <row r="988" spans="1:1">
      <c r="A988" s="1"/>
    </row>
    <row r="989" spans="1:1">
      <c r="A989" s="1"/>
    </row>
    <row r="990" spans="1:1">
      <c r="A990" s="1"/>
    </row>
    <row r="991" spans="1:1">
      <c r="A991" s="1"/>
    </row>
    <row r="992" spans="1:1">
      <c r="A992" s="1"/>
    </row>
    <row r="993" spans="1:1">
      <c r="A993" s="1"/>
    </row>
    <row r="994" spans="1:1">
      <c r="A994" s="1"/>
    </row>
    <row r="995" spans="1:1">
      <c r="A995" s="1"/>
    </row>
    <row r="996" spans="1:1">
      <c r="A996" s="1"/>
    </row>
    <row r="997" spans="1:1">
      <c r="A997" s="1"/>
    </row>
    <row r="998" spans="1:1">
      <c r="A998" s="1"/>
    </row>
    <row r="999" spans="1:1">
      <c r="A999" s="1"/>
    </row>
    <row r="1000" spans="1:1">
      <c r="A1000" s="1"/>
    </row>
    <row r="1001" spans="1:1">
      <c r="A1001" s="1"/>
    </row>
    <row r="1002" spans="1:1">
      <c r="A1002" s="1"/>
    </row>
    <row r="1003" spans="1:1">
      <c r="A1003" s="1"/>
    </row>
    <row r="1004" spans="1:1">
      <c r="A1004" s="1"/>
    </row>
    <row r="1005" spans="1:1">
      <c r="A1005" s="1"/>
    </row>
    <row r="1006" spans="1:1">
      <c r="A1006" s="1"/>
    </row>
    <row r="1007" spans="1:1">
      <c r="A1007" s="1"/>
    </row>
    <row r="1008" spans="1:1">
      <c r="A1008" s="1"/>
    </row>
    <row r="1009" spans="1:1">
      <c r="A1009" s="1"/>
    </row>
    <row r="1010" spans="1:1">
      <c r="A1010" s="1"/>
    </row>
    <row r="1011" spans="1:1">
      <c r="A1011" s="1"/>
    </row>
    <row r="1012" spans="1:1">
      <c r="A1012" s="1"/>
    </row>
    <row r="1013" spans="1:1">
      <c r="A1013" s="1"/>
    </row>
    <row r="1014" spans="1:1">
      <c r="A1014" s="1"/>
    </row>
    <row r="1015" spans="1:1">
      <c r="A1015" s="1"/>
    </row>
    <row r="1016" spans="1:1">
      <c r="A1016" s="1"/>
    </row>
    <row r="1017" spans="1:1">
      <c r="A1017" s="1"/>
    </row>
    <row r="1018" spans="1:1">
      <c r="A1018" s="1"/>
    </row>
    <row r="1019" spans="1:1">
      <c r="A1019" s="1"/>
    </row>
    <row r="1020" spans="1:1">
      <c r="A1020" s="1"/>
    </row>
    <row r="1021" spans="1:1">
      <c r="A1021" s="1"/>
    </row>
    <row r="1022" spans="1:1">
      <c r="A1022" s="1"/>
    </row>
    <row r="1023" spans="1:1">
      <c r="A1023" s="1"/>
    </row>
    <row r="1024" spans="1:1">
      <c r="A1024" s="1"/>
    </row>
    <row r="1025" spans="1:1">
      <c r="A1025" s="1"/>
    </row>
    <row r="1026" spans="1:1">
      <c r="A1026" s="1"/>
    </row>
    <row r="1027" spans="1:1">
      <c r="A1027" s="1"/>
    </row>
    <row r="1028" spans="1:1">
      <c r="A1028" s="1"/>
    </row>
    <row r="1029" spans="1:1">
      <c r="A1029" s="1"/>
    </row>
    <row r="1030" spans="1:1">
      <c r="A1030" s="1"/>
    </row>
    <row r="1031" spans="1:1">
      <c r="A1031" s="1"/>
    </row>
    <row r="1032" spans="1:1">
      <c r="A1032" s="1"/>
    </row>
    <row r="1033" spans="1:1">
      <c r="A1033" s="1"/>
    </row>
    <row r="1034" spans="1:1">
      <c r="A1034" s="1"/>
    </row>
    <row r="1035" spans="1:1">
      <c r="A1035" s="1"/>
    </row>
    <row r="1036" spans="1:1">
      <c r="A1036" s="1"/>
    </row>
    <row r="1037" spans="1:1">
      <c r="A1037" s="1"/>
    </row>
    <row r="1038" spans="1:1">
      <c r="A1038" s="1"/>
    </row>
    <row r="1039" spans="1:1">
      <c r="A1039" s="1"/>
    </row>
    <row r="1040" spans="1:1">
      <c r="A1040" s="1"/>
    </row>
    <row r="1041" spans="1:1">
      <c r="A1041" s="1"/>
    </row>
    <row r="1042" spans="1:1">
      <c r="A1042" s="1"/>
    </row>
    <row r="1043" spans="1:1">
      <c r="A1043" s="1"/>
    </row>
    <row r="1044" spans="1:1">
      <c r="A1044" s="1"/>
    </row>
    <row r="1045" spans="1:1">
      <c r="A1045" s="1"/>
    </row>
    <row r="1046" spans="1:1">
      <c r="A1046" s="1"/>
    </row>
    <row r="1047" spans="1:1">
      <c r="A1047" s="1"/>
    </row>
    <row r="1048" spans="1:1">
      <c r="A1048" s="1"/>
    </row>
    <row r="1049" spans="1:1">
      <c r="A1049" s="1"/>
    </row>
    <row r="1050" spans="1:1">
      <c r="A1050" s="1"/>
    </row>
    <row r="1051" spans="1:1">
      <c r="A1051" s="1"/>
    </row>
    <row r="1052" spans="1:1">
      <c r="A1052" s="1"/>
    </row>
    <row r="1053" spans="1:1">
      <c r="A1053" s="1"/>
    </row>
    <row r="1054" spans="1:1">
      <c r="A1054" s="1"/>
    </row>
    <row r="1055" spans="1:1">
      <c r="A1055" s="1"/>
    </row>
    <row r="1056" spans="1:1">
      <c r="A1056" s="1"/>
    </row>
    <row r="1057" spans="1:1">
      <c r="A1057" s="1"/>
    </row>
    <row r="1058" spans="1:1">
      <c r="A1058" s="1"/>
    </row>
    <row r="1059" spans="1:1">
      <c r="A1059" s="1"/>
    </row>
    <row r="1060" spans="1:1">
      <c r="A1060" s="1"/>
    </row>
    <row r="1061" spans="1:1">
      <c r="A1061" s="1"/>
    </row>
    <row r="1062" spans="1:1">
      <c r="A1062" s="1"/>
    </row>
    <row r="1063" spans="1:1">
      <c r="A1063" s="1"/>
    </row>
    <row r="1064" spans="1:1">
      <c r="A1064" s="1"/>
    </row>
    <row r="1065" spans="1:1">
      <c r="A1065" s="1"/>
    </row>
    <row r="1066" spans="1:1">
      <c r="A1066" s="1"/>
    </row>
    <row r="1067" spans="1:1">
      <c r="A1067" s="1"/>
    </row>
    <row r="1068" spans="1:1">
      <c r="A1068" s="1"/>
    </row>
    <row r="1069" spans="1:1">
      <c r="A1069" s="1"/>
    </row>
    <row r="1070" spans="1:1">
      <c r="A1070" s="1"/>
    </row>
    <row r="1071" spans="1:1">
      <c r="A1071" s="1"/>
    </row>
    <row r="1072" spans="1:1">
      <c r="A1072" s="1"/>
    </row>
    <row r="1073" spans="1:1">
      <c r="A1073" s="1"/>
    </row>
    <row r="1074" spans="1:1">
      <c r="A1074" s="1"/>
    </row>
    <row r="1075" spans="1:1">
      <c r="A1075" s="1"/>
    </row>
    <row r="1076" spans="1:1">
      <c r="A1076" s="1"/>
    </row>
    <row r="1077" spans="1:1">
      <c r="A1077" s="1"/>
    </row>
    <row r="1078" spans="1:1">
      <c r="A1078" s="1"/>
    </row>
    <row r="1079" spans="1:1">
      <c r="A1079" s="1"/>
    </row>
    <row r="1080" spans="1:1">
      <c r="A1080" s="1"/>
    </row>
    <row r="1081" spans="1:1">
      <c r="A1081" s="1"/>
    </row>
    <row r="1082" spans="1:1">
      <c r="A1082" s="1"/>
    </row>
    <row r="1083" spans="1:1">
      <c r="A1083" s="1"/>
    </row>
    <row r="1084" spans="1:1">
      <c r="A1084" s="1"/>
    </row>
    <row r="1085" spans="1:1">
      <c r="A1085" s="1"/>
    </row>
    <row r="1086" spans="1:1">
      <c r="A1086" s="1"/>
    </row>
    <row r="1087" spans="1:1">
      <c r="A1087" s="1"/>
    </row>
    <row r="1088" spans="1:1">
      <c r="A1088" s="1"/>
    </row>
    <row r="1089" spans="1:1">
      <c r="A1089" s="1"/>
    </row>
    <row r="1090" spans="1:1">
      <c r="A1090" s="1"/>
    </row>
    <row r="1091" spans="1:1">
      <c r="A1091" s="1"/>
    </row>
    <row r="1092" spans="1:1">
      <c r="A1092" s="1"/>
    </row>
    <row r="1093" spans="1:1">
      <c r="A1093" s="1"/>
    </row>
    <row r="1094" spans="1:1">
      <c r="A1094" s="1"/>
    </row>
    <row r="1095" spans="1:1">
      <c r="A1095" s="1"/>
    </row>
    <row r="1096" spans="1:1">
      <c r="A1096" s="1"/>
    </row>
    <row r="1097" spans="1:1">
      <c r="A1097" s="1"/>
    </row>
    <row r="1098" spans="1:1">
      <c r="A1098" s="1"/>
    </row>
    <row r="1099" spans="1:1">
      <c r="A1099" s="1"/>
    </row>
    <row r="1100" spans="1:1">
      <c r="A1100" s="1"/>
    </row>
    <row r="1101" spans="1:1">
      <c r="A1101" s="1"/>
    </row>
    <row r="1102" spans="1:1">
      <c r="A1102" s="1"/>
    </row>
    <row r="1103" spans="1:1">
      <c r="A1103" s="1"/>
    </row>
    <row r="1104" spans="1:1">
      <c r="A1104" s="1"/>
    </row>
    <row r="1105" spans="1:1">
      <c r="A1105" s="1"/>
    </row>
    <row r="1106" spans="1:1">
      <c r="A1106" s="1"/>
    </row>
    <row r="1107" spans="1:1">
      <c r="A1107" s="1"/>
    </row>
    <row r="1108" spans="1:1">
      <c r="A1108" s="1"/>
    </row>
    <row r="1109" spans="1:1">
      <c r="A1109" s="1"/>
    </row>
    <row r="1110" spans="1:1">
      <c r="A1110" s="1"/>
    </row>
    <row r="1111" spans="1:1">
      <c r="A1111" s="1"/>
    </row>
    <row r="1112" spans="1:1">
      <c r="A1112" s="1"/>
    </row>
    <row r="1113" spans="1:1">
      <c r="A1113" s="1"/>
    </row>
    <row r="1114" spans="1:1">
      <c r="A1114" s="1"/>
    </row>
    <row r="1115" spans="1:1">
      <c r="A1115" s="1"/>
    </row>
    <row r="1116" spans="1:1">
      <c r="A1116" s="1"/>
    </row>
    <row r="1117" spans="1:1">
      <c r="A1117" s="1"/>
    </row>
    <row r="1118" spans="1:1">
      <c r="A1118" s="1"/>
    </row>
    <row r="1119" spans="1:1">
      <c r="A1119" s="1"/>
    </row>
    <row r="1120" spans="1:1">
      <c r="A1120" s="1"/>
    </row>
    <row r="1121" spans="1:1">
      <c r="A1121" s="1"/>
    </row>
    <row r="1122" spans="1:1">
      <c r="A1122" s="1"/>
    </row>
    <row r="1123" spans="1:1">
      <c r="A1123" s="1"/>
    </row>
    <row r="1124" spans="1:1">
      <c r="A1124" s="1"/>
    </row>
    <row r="1125" spans="1:1">
      <c r="A1125" s="1"/>
    </row>
    <row r="1126" spans="1:1">
      <c r="A1126" s="1"/>
    </row>
    <row r="1127" spans="1:1">
      <c r="A1127" s="1"/>
    </row>
    <row r="1128" spans="1:1">
      <c r="A1128" s="1"/>
    </row>
    <row r="1129" spans="1:1">
      <c r="A1129" s="1"/>
    </row>
    <row r="1130" spans="1:1">
      <c r="A1130" s="1"/>
    </row>
    <row r="1131" spans="1:1">
      <c r="A1131" s="1"/>
    </row>
    <row r="1132" spans="1:1">
      <c r="A1132" s="1"/>
    </row>
    <row r="1133" spans="1:1">
      <c r="A1133" s="1"/>
    </row>
    <row r="1134" spans="1:1">
      <c r="A1134" s="1"/>
    </row>
    <row r="1135" spans="1:1">
      <c r="A1135" s="1"/>
    </row>
    <row r="1136" spans="1:1">
      <c r="A1136" s="1"/>
    </row>
    <row r="1137" spans="1:1">
      <c r="A1137" s="1"/>
    </row>
    <row r="1138" spans="1:1">
      <c r="A1138" s="1"/>
    </row>
    <row r="1139" spans="1:1">
      <c r="A1139" s="1"/>
    </row>
    <row r="1140" spans="1:1">
      <c r="A1140" s="1"/>
    </row>
    <row r="1141" spans="1:1">
      <c r="A1141" s="1"/>
    </row>
    <row r="1142" spans="1:1">
      <c r="A1142" s="1"/>
    </row>
    <row r="1143" spans="1:1">
      <c r="A1143" s="1"/>
    </row>
    <row r="1144" spans="1:1">
      <c r="A1144" s="1"/>
    </row>
    <row r="1145" spans="1:1">
      <c r="A1145" s="1"/>
    </row>
    <row r="1146" spans="1:1">
      <c r="A1146" s="1"/>
    </row>
    <row r="1147" spans="1:1">
      <c r="A1147" s="1"/>
    </row>
    <row r="1148" spans="1:1">
      <c r="A1148" s="1"/>
    </row>
    <row r="1149" spans="1:1">
      <c r="A1149" s="1"/>
    </row>
    <row r="1150" spans="1:1">
      <c r="A1150" s="1"/>
    </row>
    <row r="1151" spans="1:1">
      <c r="A1151" s="1"/>
    </row>
    <row r="1152" spans="1:1">
      <c r="A1152" s="1"/>
    </row>
    <row r="1153" spans="1:1">
      <c r="A1153" s="1"/>
    </row>
    <row r="1154" spans="1:1">
      <c r="A1154" s="1"/>
    </row>
    <row r="1155" spans="1:1">
      <c r="A1155" s="1"/>
    </row>
    <row r="1156" spans="1:1">
      <c r="A1156" s="1"/>
    </row>
    <row r="1157" spans="1:1">
      <c r="A1157" s="1"/>
    </row>
    <row r="1158" spans="1:1">
      <c r="A1158" s="1"/>
    </row>
    <row r="1159" spans="1:1">
      <c r="A1159" s="1"/>
    </row>
    <row r="1160" spans="1:1">
      <c r="A1160" s="1"/>
    </row>
    <row r="1161" spans="1:1">
      <c r="A1161" s="1"/>
    </row>
    <row r="1162" spans="1:1">
      <c r="A1162" s="1"/>
    </row>
    <row r="1163" spans="1:1">
      <c r="A1163" s="1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ignoredErrors>
    <ignoredError sqref="L3 L9:M18 L4:L8 M4:M8 M2:M3 O9:S18 O4:S8 O2:S3" formulaRange="1"/>
    <ignoredError sqref="N3 N4:N8 N9:N18" formula="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E7007-4A63-43C2-964C-637B400778EE}">
  <dimension ref="A1:X871"/>
  <sheetViews>
    <sheetView topLeftCell="A846" zoomScale="90" zoomScaleNormal="90" workbookViewId="0">
      <selection activeCell="E866" sqref="E866"/>
    </sheetView>
  </sheetViews>
  <sheetFormatPr defaultRowHeight="12.75"/>
  <cols>
    <col min="2" max="2" width="15.42578125" customWidth="1"/>
    <col min="3" max="3" width="9.85546875" customWidth="1"/>
    <col min="4" max="5" width="12.5703125" bestFit="1" customWidth="1"/>
    <col min="6" max="6" width="10.5703125" bestFit="1" customWidth="1"/>
    <col min="7" max="7" width="14.85546875" customWidth="1"/>
    <col min="8" max="9" width="12.140625" bestFit="1" customWidth="1"/>
    <col min="10" max="11" width="11.140625" customWidth="1"/>
    <col min="12" max="12" width="13" bestFit="1" customWidth="1"/>
    <col min="14" max="14" width="13" bestFit="1" customWidth="1"/>
    <col min="15" max="15" width="12" bestFit="1" customWidth="1"/>
  </cols>
  <sheetData>
    <row r="1" spans="2:14">
      <c r="B1" s="3"/>
      <c r="C1" s="3"/>
      <c r="D1" s="3"/>
      <c r="E1" s="3"/>
      <c r="F1" s="3"/>
      <c r="G1" s="3"/>
    </row>
    <row r="2" spans="2:14"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/>
      <c r="H2" s="4"/>
      <c r="I2" s="4"/>
    </row>
    <row r="3" spans="2:14">
      <c r="B3" s="4" t="s">
        <v>3</v>
      </c>
      <c r="C3" s="4" t="s">
        <v>1</v>
      </c>
      <c r="D3" s="4"/>
      <c r="E3" s="2"/>
      <c r="F3" s="4"/>
      <c r="G3" s="4"/>
      <c r="H3" s="4"/>
      <c r="I3" s="4"/>
      <c r="K3" s="80" t="s">
        <v>15</v>
      </c>
      <c r="L3" s="80"/>
      <c r="M3" t="s">
        <v>16</v>
      </c>
    </row>
    <row r="4" spans="2:14">
      <c r="B4" s="7">
        <v>0.82</v>
      </c>
      <c r="C4" s="7">
        <v>5805</v>
      </c>
      <c r="D4" s="7">
        <f>B4*C4</f>
        <v>4760.0999999999995</v>
      </c>
      <c r="E4" s="7">
        <f>B4^2</f>
        <v>0.67239999999999989</v>
      </c>
      <c r="F4" s="7">
        <f>C4^2</f>
        <v>33698025</v>
      </c>
      <c r="G4" s="7">
        <f>ROUND($M$51+$M$48*B4,4)</f>
        <v>1106.4743000000001</v>
      </c>
      <c r="H4" s="7">
        <f>ROUND(G4-C4,4)</f>
        <v>-4698.5257000000001</v>
      </c>
      <c r="I4" s="7">
        <f>H4^2</f>
        <v>22076143.753560491</v>
      </c>
      <c r="K4" s="80" t="s">
        <v>14</v>
      </c>
      <c r="L4" s="80"/>
      <c r="M4" s="80" t="s">
        <v>17</v>
      </c>
      <c r="N4" s="80"/>
    </row>
    <row r="5" spans="2:14">
      <c r="B5" s="8">
        <v>0.76</v>
      </c>
      <c r="C5" s="8">
        <v>5540</v>
      </c>
      <c r="D5" s="7">
        <f t="shared" ref="D5:D68" si="0">B5*C5</f>
        <v>4210.3999999999996</v>
      </c>
      <c r="E5" s="7">
        <f t="shared" ref="E5:E68" si="1">B5^2</f>
        <v>0.5776</v>
      </c>
      <c r="F5" s="7">
        <f t="shared" ref="F5:F68" si="2">C5^2</f>
        <v>30691600</v>
      </c>
      <c r="G5" s="7">
        <f t="shared" ref="G5:G68" si="3">ROUND($M$51+$M$48*B5,4)</f>
        <v>1275.8258000000001</v>
      </c>
      <c r="H5" s="7">
        <f t="shared" ref="H5:H68" si="4">ROUND(G5-C5,4)</f>
        <v>-4264.1742000000004</v>
      </c>
      <c r="I5" s="7">
        <f t="shared" ref="I5:I68" si="5">H5^2</f>
        <v>18183181.607945643</v>
      </c>
    </row>
    <row r="6" spans="2:14">
      <c r="B6" s="8">
        <v>0.71</v>
      </c>
      <c r="C6" s="8">
        <v>9083</v>
      </c>
      <c r="D6" s="7">
        <f t="shared" si="0"/>
        <v>6448.9299999999994</v>
      </c>
      <c r="E6" s="7">
        <f t="shared" si="1"/>
        <v>0.50409999999999999</v>
      </c>
      <c r="F6" s="7">
        <f t="shared" si="2"/>
        <v>82500889</v>
      </c>
      <c r="G6" s="7">
        <f t="shared" si="3"/>
        <v>1416.9521</v>
      </c>
      <c r="H6" s="7">
        <f t="shared" si="4"/>
        <v>-7666.0478999999996</v>
      </c>
      <c r="I6" s="7">
        <f t="shared" si="5"/>
        <v>58768290.4050944</v>
      </c>
    </row>
    <row r="7" spans="2:14">
      <c r="B7" s="8">
        <v>0.67</v>
      </c>
      <c r="C7" s="8">
        <v>7914</v>
      </c>
      <c r="D7" s="7">
        <f t="shared" si="0"/>
        <v>5302.38</v>
      </c>
      <c r="E7" s="7">
        <f t="shared" si="1"/>
        <v>0.44890000000000008</v>
      </c>
      <c r="F7" s="7">
        <f t="shared" si="2"/>
        <v>62631396</v>
      </c>
      <c r="G7" s="7">
        <f t="shared" si="3"/>
        <v>1529.8531</v>
      </c>
      <c r="H7" s="7">
        <f t="shared" si="4"/>
        <v>-6384.1468999999997</v>
      </c>
      <c r="I7" s="7">
        <f t="shared" si="5"/>
        <v>40757331.640779607</v>
      </c>
      <c r="K7" s="80"/>
      <c r="L7" s="80"/>
    </row>
    <row r="8" spans="2:14">
      <c r="B8" s="8">
        <v>0.64</v>
      </c>
      <c r="C8" s="8">
        <v>6916</v>
      </c>
      <c r="D8" s="7">
        <f t="shared" si="0"/>
        <v>4426.24</v>
      </c>
      <c r="E8" s="7">
        <f t="shared" si="1"/>
        <v>0.40960000000000002</v>
      </c>
      <c r="F8" s="7">
        <f t="shared" si="2"/>
        <v>47831056</v>
      </c>
      <c r="G8" s="7">
        <f t="shared" si="3"/>
        <v>1614.5288</v>
      </c>
      <c r="H8" s="7">
        <f t="shared" si="4"/>
        <v>-5301.4712</v>
      </c>
      <c r="I8" s="7">
        <f t="shared" si="5"/>
        <v>28105596.88442944</v>
      </c>
    </row>
    <row r="9" spans="2:14">
      <c r="B9" s="8">
        <v>0.62</v>
      </c>
      <c r="C9" s="8">
        <v>6132</v>
      </c>
      <c r="D9" s="7">
        <f t="shared" si="0"/>
        <v>3801.84</v>
      </c>
      <c r="E9" s="7">
        <f t="shared" si="1"/>
        <v>0.38440000000000002</v>
      </c>
      <c r="F9" s="7">
        <f t="shared" si="2"/>
        <v>37601424</v>
      </c>
      <c r="G9" s="7">
        <f t="shared" si="3"/>
        <v>1670.9793</v>
      </c>
      <c r="H9" s="7">
        <f t="shared" si="4"/>
        <v>-4461.0207</v>
      </c>
      <c r="I9" s="7">
        <f t="shared" si="5"/>
        <v>19900705.685828492</v>
      </c>
    </row>
    <row r="10" spans="2:14">
      <c r="B10" s="8">
        <v>0.59</v>
      </c>
      <c r="C10" s="8">
        <v>3508</v>
      </c>
      <c r="D10" s="7">
        <f t="shared" si="0"/>
        <v>2069.7199999999998</v>
      </c>
      <c r="E10" s="7">
        <f t="shared" si="1"/>
        <v>0.34809999999999997</v>
      </c>
      <c r="F10" s="7">
        <f t="shared" si="2"/>
        <v>12306064</v>
      </c>
      <c r="G10" s="7">
        <f t="shared" si="3"/>
        <v>1755.6550999999999</v>
      </c>
      <c r="H10" s="7">
        <f t="shared" si="4"/>
        <v>-1752.3449000000001</v>
      </c>
      <c r="I10" s="7">
        <f t="shared" si="5"/>
        <v>3070712.6485560103</v>
      </c>
    </row>
    <row r="11" spans="2:14">
      <c r="B11" s="8">
        <v>0.56000000000000005</v>
      </c>
      <c r="C11" s="8">
        <v>2505</v>
      </c>
      <c r="D11" s="7">
        <f t="shared" si="0"/>
        <v>1402.8000000000002</v>
      </c>
      <c r="E11" s="7">
        <f t="shared" si="1"/>
        <v>0.31360000000000005</v>
      </c>
      <c r="F11" s="7">
        <f t="shared" si="2"/>
        <v>6275025</v>
      </c>
      <c r="G11" s="7">
        <f t="shared" si="3"/>
        <v>1840.3308</v>
      </c>
      <c r="H11" s="7">
        <f t="shared" si="4"/>
        <v>-664.66920000000005</v>
      </c>
      <c r="I11" s="7">
        <f t="shared" si="5"/>
        <v>441785.14542864007</v>
      </c>
    </row>
    <row r="12" spans="2:14">
      <c r="B12" s="8">
        <v>0.53</v>
      </c>
      <c r="C12" s="8">
        <v>2583</v>
      </c>
      <c r="D12" s="7">
        <f t="shared" si="0"/>
        <v>1368.99</v>
      </c>
      <c r="E12" s="7">
        <f t="shared" si="1"/>
        <v>0.28090000000000004</v>
      </c>
      <c r="F12" s="7">
        <f t="shared" si="2"/>
        <v>6671889</v>
      </c>
      <c r="G12" s="7">
        <f t="shared" si="3"/>
        <v>1925.0065999999999</v>
      </c>
      <c r="H12" s="7">
        <f t="shared" si="4"/>
        <v>-657.99339999999995</v>
      </c>
      <c r="I12" s="7">
        <f t="shared" si="5"/>
        <v>432955.31444355991</v>
      </c>
    </row>
    <row r="13" spans="2:14">
      <c r="B13" s="8">
        <v>0.51</v>
      </c>
      <c r="C13" s="8">
        <v>4387</v>
      </c>
      <c r="D13" s="7">
        <f t="shared" si="0"/>
        <v>2237.37</v>
      </c>
      <c r="E13" s="7">
        <f t="shared" si="1"/>
        <v>0.2601</v>
      </c>
      <c r="F13" s="7">
        <f t="shared" si="2"/>
        <v>19245769</v>
      </c>
      <c r="G13" s="7">
        <f t="shared" si="3"/>
        <v>1981.4571000000001</v>
      </c>
      <c r="H13" s="7">
        <f t="shared" si="4"/>
        <v>-2405.5428999999999</v>
      </c>
      <c r="I13" s="7">
        <f t="shared" si="5"/>
        <v>5786636.64374041</v>
      </c>
    </row>
    <row r="14" spans="2:14">
      <c r="B14" s="8">
        <v>0.49</v>
      </c>
      <c r="C14" s="8">
        <v>3480</v>
      </c>
      <c r="D14" s="7">
        <f t="shared" si="0"/>
        <v>1705.2</v>
      </c>
      <c r="E14" s="7">
        <f t="shared" si="1"/>
        <v>0.24009999999999998</v>
      </c>
      <c r="F14" s="7">
        <f t="shared" si="2"/>
        <v>12110400</v>
      </c>
      <c r="G14" s="7">
        <f t="shared" si="3"/>
        <v>2037.9076</v>
      </c>
      <c r="H14" s="7">
        <f t="shared" si="4"/>
        <v>-1442.0924</v>
      </c>
      <c r="I14" s="7">
        <f t="shared" si="5"/>
        <v>2079630.4901377601</v>
      </c>
    </row>
    <row r="15" spans="2:14">
      <c r="B15" s="8">
        <v>0.48</v>
      </c>
      <c r="C15" s="8">
        <v>2854</v>
      </c>
      <c r="D15" s="7">
        <f t="shared" si="0"/>
        <v>1369.9199999999998</v>
      </c>
      <c r="E15" s="7">
        <f t="shared" si="1"/>
        <v>0.23039999999999999</v>
      </c>
      <c r="F15" s="7">
        <f t="shared" si="2"/>
        <v>8145316</v>
      </c>
      <c r="G15" s="7">
        <f t="shared" si="3"/>
        <v>2066.1327999999999</v>
      </c>
      <c r="H15" s="7">
        <f t="shared" si="4"/>
        <v>-787.86720000000003</v>
      </c>
      <c r="I15" s="7">
        <f t="shared" si="5"/>
        <v>620734.72483584005</v>
      </c>
    </row>
    <row r="16" spans="2:14">
      <c r="B16" s="8">
        <v>0.48</v>
      </c>
      <c r="C16" s="8">
        <v>2856</v>
      </c>
      <c r="D16" s="7">
        <f t="shared" si="0"/>
        <v>1370.8799999999999</v>
      </c>
      <c r="E16" s="7">
        <f t="shared" si="1"/>
        <v>0.23039999999999999</v>
      </c>
      <c r="F16" s="7">
        <f t="shared" si="2"/>
        <v>8156736</v>
      </c>
      <c r="G16" s="7">
        <f t="shared" si="3"/>
        <v>2066.1327999999999</v>
      </c>
      <c r="H16" s="7">
        <f t="shared" si="4"/>
        <v>-789.86720000000003</v>
      </c>
      <c r="I16" s="7">
        <f t="shared" si="5"/>
        <v>623890.19363584009</v>
      </c>
    </row>
    <row r="17" spans="2:15">
      <c r="B17" s="8">
        <v>0.48</v>
      </c>
      <c r="C17" s="8">
        <v>1677</v>
      </c>
      <c r="D17" s="7">
        <f t="shared" si="0"/>
        <v>804.95999999999992</v>
      </c>
      <c r="E17" s="7">
        <f t="shared" si="1"/>
        <v>0.23039999999999999</v>
      </c>
      <c r="F17" s="7">
        <f t="shared" si="2"/>
        <v>2812329</v>
      </c>
      <c r="G17" s="7">
        <f t="shared" si="3"/>
        <v>2066.1327999999999</v>
      </c>
      <c r="H17" s="7">
        <f t="shared" si="4"/>
        <v>389.13279999999997</v>
      </c>
      <c r="I17" s="7">
        <f t="shared" si="5"/>
        <v>151424.33603583998</v>
      </c>
    </row>
    <row r="18" spans="2:15">
      <c r="B18" s="8">
        <v>0.48</v>
      </c>
      <c r="C18" s="8">
        <v>1303</v>
      </c>
      <c r="D18" s="7">
        <f t="shared" si="0"/>
        <v>625.43999999999994</v>
      </c>
      <c r="E18" s="7">
        <f t="shared" si="1"/>
        <v>0.23039999999999999</v>
      </c>
      <c r="F18" s="7">
        <f t="shared" si="2"/>
        <v>1697809</v>
      </c>
      <c r="G18" s="7">
        <f t="shared" si="3"/>
        <v>2066.1327999999999</v>
      </c>
      <c r="H18" s="7">
        <f t="shared" si="4"/>
        <v>763.13279999999997</v>
      </c>
      <c r="I18" s="7">
        <f t="shared" si="5"/>
        <v>582371.67043583991</v>
      </c>
    </row>
    <row r="19" spans="2:15">
      <c r="B19" s="8">
        <v>0.47</v>
      </c>
      <c r="C19" s="8">
        <v>1502</v>
      </c>
      <c r="D19" s="7">
        <f t="shared" si="0"/>
        <v>705.93999999999994</v>
      </c>
      <c r="E19" s="7">
        <f t="shared" si="1"/>
        <v>0.22089999999999999</v>
      </c>
      <c r="F19" s="7">
        <f t="shared" si="2"/>
        <v>2256004</v>
      </c>
      <c r="G19" s="7">
        <f t="shared" si="3"/>
        <v>2094.3580999999999</v>
      </c>
      <c r="H19" s="7">
        <f t="shared" si="4"/>
        <v>592.35810000000004</v>
      </c>
      <c r="I19" s="7">
        <f t="shared" si="5"/>
        <v>350888.11863561004</v>
      </c>
    </row>
    <row r="20" spans="2:15">
      <c r="B20" s="8">
        <v>0.47</v>
      </c>
      <c r="C20" s="8">
        <v>2324</v>
      </c>
      <c r="D20" s="7">
        <f t="shared" si="0"/>
        <v>1092.28</v>
      </c>
      <c r="E20" s="7">
        <f t="shared" si="1"/>
        <v>0.22089999999999999</v>
      </c>
      <c r="F20" s="7">
        <f t="shared" si="2"/>
        <v>5400976</v>
      </c>
      <c r="G20" s="7">
        <f t="shared" si="3"/>
        <v>2094.3580999999999</v>
      </c>
      <c r="H20" s="7">
        <f t="shared" si="4"/>
        <v>-229.64189999999999</v>
      </c>
      <c r="I20" s="7">
        <f t="shared" si="5"/>
        <v>52735.402235609996</v>
      </c>
    </row>
    <row r="21" spans="2:15">
      <c r="B21" s="8">
        <v>0.47</v>
      </c>
      <c r="C21" s="8">
        <v>1944</v>
      </c>
      <c r="D21" s="7">
        <f t="shared" si="0"/>
        <v>913.68</v>
      </c>
      <c r="E21" s="7">
        <f t="shared" si="1"/>
        <v>0.22089999999999999</v>
      </c>
      <c r="F21" s="7">
        <f t="shared" si="2"/>
        <v>3779136</v>
      </c>
      <c r="G21" s="7">
        <f t="shared" si="3"/>
        <v>2094.3580999999999</v>
      </c>
      <c r="H21" s="7">
        <f t="shared" si="4"/>
        <v>150.35810000000001</v>
      </c>
      <c r="I21" s="7">
        <f t="shared" si="5"/>
        <v>22607.558235610002</v>
      </c>
    </row>
    <row r="22" spans="2:15">
      <c r="B22" s="8">
        <v>0.48</v>
      </c>
      <c r="C22" s="8">
        <v>1940</v>
      </c>
      <c r="D22" s="7">
        <f t="shared" si="0"/>
        <v>931.19999999999993</v>
      </c>
      <c r="E22" s="7">
        <f t="shared" si="1"/>
        <v>0.23039999999999999</v>
      </c>
      <c r="F22" s="7">
        <f t="shared" si="2"/>
        <v>3763600</v>
      </c>
      <c r="G22" s="7">
        <f t="shared" si="3"/>
        <v>2066.1327999999999</v>
      </c>
      <c r="H22" s="7">
        <f t="shared" si="4"/>
        <v>126.1328</v>
      </c>
      <c r="I22" s="7">
        <f t="shared" si="5"/>
        <v>15909.48323584</v>
      </c>
    </row>
    <row r="23" spans="2:15">
      <c r="B23" s="8">
        <v>0.48</v>
      </c>
      <c r="C23" s="8">
        <v>1570</v>
      </c>
      <c r="D23" s="7">
        <f t="shared" si="0"/>
        <v>753.6</v>
      </c>
      <c r="E23" s="7">
        <f t="shared" si="1"/>
        <v>0.23039999999999999</v>
      </c>
      <c r="F23" s="7">
        <f t="shared" si="2"/>
        <v>2464900</v>
      </c>
      <c r="G23" s="7">
        <f t="shared" si="3"/>
        <v>2066.1327999999999</v>
      </c>
      <c r="H23" s="7">
        <f t="shared" si="4"/>
        <v>496.13279999999997</v>
      </c>
      <c r="I23" s="7">
        <f t="shared" si="5"/>
        <v>246147.75523583998</v>
      </c>
    </row>
    <row r="24" spans="2:15">
      <c r="B24" s="8">
        <v>0.49</v>
      </c>
      <c r="C24" s="8">
        <v>1186</v>
      </c>
      <c r="D24" s="7">
        <f t="shared" si="0"/>
        <v>581.14</v>
      </c>
      <c r="E24" s="7">
        <f t="shared" si="1"/>
        <v>0.24009999999999998</v>
      </c>
      <c r="F24" s="7">
        <f t="shared" si="2"/>
        <v>1406596</v>
      </c>
      <c r="G24" s="7">
        <f t="shared" si="3"/>
        <v>2037.9076</v>
      </c>
      <c r="H24" s="7">
        <f t="shared" si="4"/>
        <v>851.9076</v>
      </c>
      <c r="I24" s="7">
        <f t="shared" si="5"/>
        <v>725746.55893775995</v>
      </c>
      <c r="K24" t="s">
        <v>19</v>
      </c>
      <c r="L24">
        <f>COUNT(B4,B5:B123)</f>
        <v>120</v>
      </c>
    </row>
    <row r="25" spans="2:15">
      <c r="B25" s="8">
        <v>0.49</v>
      </c>
      <c r="C25" s="8">
        <v>549</v>
      </c>
      <c r="D25" s="7">
        <f t="shared" si="0"/>
        <v>269.01</v>
      </c>
      <c r="E25" s="7">
        <f t="shared" si="1"/>
        <v>0.24009999999999998</v>
      </c>
      <c r="F25" s="7">
        <f t="shared" si="2"/>
        <v>301401</v>
      </c>
      <c r="G25" s="7">
        <f t="shared" si="3"/>
        <v>2037.9076</v>
      </c>
      <c r="H25" s="7">
        <f t="shared" si="4"/>
        <v>1488.9076</v>
      </c>
      <c r="I25" s="7">
        <f t="shared" si="5"/>
        <v>2216845.84133776</v>
      </c>
      <c r="K25" t="s">
        <v>20</v>
      </c>
      <c r="L25">
        <f>ROUND(AVERAGE(B4:B123),4)</f>
        <v>0.83240000000000003</v>
      </c>
    </row>
    <row r="26" spans="2:15">
      <c r="B26" s="8">
        <v>0.49</v>
      </c>
      <c r="C26" s="8">
        <v>1032</v>
      </c>
      <c r="D26" s="7">
        <f t="shared" si="0"/>
        <v>505.68</v>
      </c>
      <c r="E26" s="7">
        <f t="shared" si="1"/>
        <v>0.24009999999999998</v>
      </c>
      <c r="F26" s="7">
        <f t="shared" si="2"/>
        <v>1065024</v>
      </c>
      <c r="G26" s="7">
        <f t="shared" si="3"/>
        <v>2037.9076</v>
      </c>
      <c r="H26" s="7">
        <f t="shared" si="4"/>
        <v>1005.9076</v>
      </c>
      <c r="I26" s="7">
        <f t="shared" si="5"/>
        <v>1011850.09973776</v>
      </c>
      <c r="K26" t="s">
        <v>21</v>
      </c>
      <c r="L26">
        <f>ROUND(AVERAGE(C4:C123),4)</f>
        <v>1071.4749999999999</v>
      </c>
    </row>
    <row r="27" spans="2:15">
      <c r="B27" s="8">
        <v>0.5</v>
      </c>
      <c r="C27" s="8">
        <v>1480</v>
      </c>
      <c r="D27" s="7">
        <f t="shared" si="0"/>
        <v>740</v>
      </c>
      <c r="E27" s="7">
        <f t="shared" si="1"/>
        <v>0.25</v>
      </c>
      <c r="F27" s="7">
        <f t="shared" si="2"/>
        <v>2190400</v>
      </c>
      <c r="G27" s="7">
        <f t="shared" si="3"/>
        <v>2009.6822999999999</v>
      </c>
      <c r="H27" s="7">
        <f t="shared" si="4"/>
        <v>529.68230000000005</v>
      </c>
      <c r="I27" s="7">
        <f t="shared" si="5"/>
        <v>280563.33893329004</v>
      </c>
    </row>
    <row r="28" spans="2:15">
      <c r="B28" s="8">
        <v>0.5</v>
      </c>
      <c r="C28" s="8">
        <v>1160</v>
      </c>
      <c r="D28" s="7">
        <f t="shared" si="0"/>
        <v>580</v>
      </c>
      <c r="E28" s="7">
        <f t="shared" si="1"/>
        <v>0.25</v>
      </c>
      <c r="F28" s="7">
        <f t="shared" si="2"/>
        <v>1345600</v>
      </c>
      <c r="G28" s="7">
        <f t="shared" si="3"/>
        <v>2009.6822999999999</v>
      </c>
      <c r="H28" s="7">
        <f t="shared" si="4"/>
        <v>849.68230000000005</v>
      </c>
      <c r="I28" s="7">
        <f t="shared" si="5"/>
        <v>721960.01093329012</v>
      </c>
    </row>
    <row r="29" spans="2:15">
      <c r="B29" s="8">
        <v>0.51</v>
      </c>
      <c r="C29" s="8">
        <v>1027</v>
      </c>
      <c r="D29" s="7">
        <f t="shared" si="0"/>
        <v>523.77</v>
      </c>
      <c r="E29" s="7">
        <f t="shared" si="1"/>
        <v>0.2601</v>
      </c>
      <c r="F29" s="7">
        <f t="shared" si="2"/>
        <v>1054729</v>
      </c>
      <c r="G29" s="7">
        <f t="shared" si="3"/>
        <v>1981.4571000000001</v>
      </c>
      <c r="H29" s="7">
        <f t="shared" si="4"/>
        <v>954.45709999999997</v>
      </c>
      <c r="I29" s="7">
        <f t="shared" si="5"/>
        <v>910988.35574040993</v>
      </c>
      <c r="N29" t="s">
        <v>22</v>
      </c>
      <c r="O29">
        <f>D124-(L24*L25*L26)</f>
        <v>-16221.414799999984</v>
      </c>
    </row>
    <row r="30" spans="2:15">
      <c r="B30" s="8">
        <v>0.53</v>
      </c>
      <c r="C30" s="8">
        <v>1071</v>
      </c>
      <c r="D30" s="7">
        <f t="shared" si="0"/>
        <v>567.63</v>
      </c>
      <c r="E30" s="7">
        <f t="shared" si="1"/>
        <v>0.28090000000000004</v>
      </c>
      <c r="F30" s="7">
        <f t="shared" si="2"/>
        <v>1147041</v>
      </c>
      <c r="G30" s="7">
        <f t="shared" si="3"/>
        <v>1925.0065999999999</v>
      </c>
      <c r="H30" s="7">
        <f t="shared" si="4"/>
        <v>854.00660000000005</v>
      </c>
      <c r="I30" s="7">
        <f t="shared" si="5"/>
        <v>729327.27284356009</v>
      </c>
    </row>
    <row r="31" spans="2:15">
      <c r="B31" s="8">
        <v>0.54</v>
      </c>
      <c r="C31" s="8">
        <v>718</v>
      </c>
      <c r="D31" s="7">
        <f t="shared" si="0"/>
        <v>387.72</v>
      </c>
      <c r="E31" s="7">
        <f t="shared" si="1"/>
        <v>0.29160000000000003</v>
      </c>
      <c r="F31" s="7">
        <f t="shared" si="2"/>
        <v>515524</v>
      </c>
      <c r="G31" s="7">
        <f t="shared" si="3"/>
        <v>1896.7813000000001</v>
      </c>
      <c r="H31" s="7">
        <f t="shared" si="4"/>
        <v>1178.7813000000001</v>
      </c>
      <c r="I31" s="7">
        <f t="shared" si="5"/>
        <v>1389525.3532296903</v>
      </c>
    </row>
    <row r="32" spans="2:15">
      <c r="B32" s="8">
        <v>0.56000000000000005</v>
      </c>
      <c r="C32" s="8">
        <v>394</v>
      </c>
      <c r="D32" s="7">
        <f t="shared" si="0"/>
        <v>220.64000000000001</v>
      </c>
      <c r="E32" s="7">
        <f t="shared" si="1"/>
        <v>0.31360000000000005</v>
      </c>
      <c r="F32" s="7">
        <f t="shared" si="2"/>
        <v>155236</v>
      </c>
      <c r="G32" s="7">
        <f t="shared" si="3"/>
        <v>1840.3308</v>
      </c>
      <c r="H32" s="7">
        <f t="shared" si="4"/>
        <v>1446.3308</v>
      </c>
      <c r="I32" s="7">
        <f t="shared" si="5"/>
        <v>2091872.7830286399</v>
      </c>
    </row>
    <row r="33" spans="2:17">
      <c r="B33" s="8">
        <v>0.56999999999999995</v>
      </c>
      <c r="C33" s="8">
        <v>691</v>
      </c>
      <c r="D33" s="7">
        <f t="shared" si="0"/>
        <v>393.86999999999995</v>
      </c>
      <c r="E33" s="7">
        <f t="shared" si="1"/>
        <v>0.32489999999999997</v>
      </c>
      <c r="F33" s="7">
        <f t="shared" si="2"/>
        <v>477481</v>
      </c>
      <c r="G33" s="7">
        <f t="shared" si="3"/>
        <v>1812.1056000000001</v>
      </c>
      <c r="H33" s="7">
        <f t="shared" si="4"/>
        <v>1121.1056000000001</v>
      </c>
      <c r="I33" s="7">
        <f t="shared" si="5"/>
        <v>1256877.7663513601</v>
      </c>
      <c r="N33" t="s">
        <v>22</v>
      </c>
      <c r="O33">
        <f>E124-(L24*(L25^2))</f>
        <v>5.7471288000000271</v>
      </c>
    </row>
    <row r="34" spans="2:17">
      <c r="B34" s="8">
        <v>0.59</v>
      </c>
      <c r="C34" s="8">
        <v>979</v>
      </c>
      <c r="D34" s="7">
        <f t="shared" si="0"/>
        <v>577.61</v>
      </c>
      <c r="E34" s="7">
        <f t="shared" si="1"/>
        <v>0.34809999999999997</v>
      </c>
      <c r="F34" s="7">
        <f t="shared" si="2"/>
        <v>958441</v>
      </c>
      <c r="G34" s="7">
        <f t="shared" si="3"/>
        <v>1755.6550999999999</v>
      </c>
      <c r="H34" s="7">
        <f t="shared" si="4"/>
        <v>776.65509999999995</v>
      </c>
      <c r="I34" s="7">
        <f t="shared" si="5"/>
        <v>603193.1443560099</v>
      </c>
    </row>
    <row r="35" spans="2:17">
      <c r="B35" s="8">
        <v>0.61</v>
      </c>
      <c r="C35" s="8">
        <v>830</v>
      </c>
      <c r="D35" s="7">
        <f t="shared" si="0"/>
        <v>506.3</v>
      </c>
      <c r="E35" s="7">
        <f t="shared" si="1"/>
        <v>0.37209999999999999</v>
      </c>
      <c r="F35" s="7">
        <f t="shared" si="2"/>
        <v>688900</v>
      </c>
      <c r="G35" s="7">
        <f t="shared" si="3"/>
        <v>1699.2046</v>
      </c>
      <c r="H35" s="7">
        <f t="shared" si="4"/>
        <v>869.20460000000003</v>
      </c>
      <c r="I35" s="7">
        <f t="shared" si="5"/>
        <v>755516.63666116004</v>
      </c>
    </row>
    <row r="36" spans="2:17">
      <c r="B36" s="8">
        <v>0.64</v>
      </c>
      <c r="C36" s="8">
        <v>949</v>
      </c>
      <c r="D36" s="7">
        <f t="shared" si="0"/>
        <v>607.36</v>
      </c>
      <c r="E36" s="7">
        <f t="shared" si="1"/>
        <v>0.40960000000000002</v>
      </c>
      <c r="F36" s="7">
        <f t="shared" si="2"/>
        <v>900601</v>
      </c>
      <c r="G36" s="7">
        <f t="shared" si="3"/>
        <v>1614.5288</v>
      </c>
      <c r="H36" s="7">
        <f t="shared" si="4"/>
        <v>665.52880000000005</v>
      </c>
      <c r="I36" s="7">
        <f t="shared" si="5"/>
        <v>442928.58362944005</v>
      </c>
      <c r="N36" t="s">
        <v>22</v>
      </c>
      <c r="O36">
        <f>ROUND((F124-(L24*(L26^2))),4)</f>
        <v>285780855.92500001</v>
      </c>
    </row>
    <row r="37" spans="2:17">
      <c r="B37" s="8">
        <v>0.66</v>
      </c>
      <c r="C37" s="8">
        <v>1007</v>
      </c>
      <c r="D37" s="7">
        <f t="shared" si="0"/>
        <v>664.62</v>
      </c>
      <c r="E37" s="7">
        <f t="shared" si="1"/>
        <v>0.43560000000000004</v>
      </c>
      <c r="F37" s="7">
        <f t="shared" si="2"/>
        <v>1014049</v>
      </c>
      <c r="G37" s="7">
        <f t="shared" si="3"/>
        <v>1558.0782999999999</v>
      </c>
      <c r="H37" s="7">
        <f t="shared" si="4"/>
        <v>551.07830000000001</v>
      </c>
      <c r="I37" s="7">
        <f t="shared" si="5"/>
        <v>303687.29273089004</v>
      </c>
    </row>
    <row r="38" spans="2:17">
      <c r="B38" s="8">
        <v>0.67</v>
      </c>
      <c r="C38" s="8">
        <v>682</v>
      </c>
      <c r="D38" s="7">
        <f t="shared" si="0"/>
        <v>456.94000000000005</v>
      </c>
      <c r="E38" s="7">
        <f t="shared" si="1"/>
        <v>0.44890000000000008</v>
      </c>
      <c r="F38" s="7">
        <f t="shared" si="2"/>
        <v>465124</v>
      </c>
      <c r="G38" s="7">
        <f t="shared" si="3"/>
        <v>1529.8531</v>
      </c>
      <c r="H38" s="7">
        <f t="shared" si="4"/>
        <v>847.85310000000004</v>
      </c>
      <c r="I38" s="7">
        <f t="shared" si="5"/>
        <v>718854.87917961006</v>
      </c>
    </row>
    <row r="39" spans="2:17">
      <c r="B39" s="8">
        <v>0.67</v>
      </c>
      <c r="C39" s="8">
        <v>365</v>
      </c>
      <c r="D39" s="7">
        <f t="shared" si="0"/>
        <v>244.55</v>
      </c>
      <c r="E39" s="7">
        <f t="shared" si="1"/>
        <v>0.44890000000000008</v>
      </c>
      <c r="F39" s="7">
        <f t="shared" si="2"/>
        <v>133225</v>
      </c>
      <c r="G39" s="7">
        <f t="shared" si="3"/>
        <v>1529.8531</v>
      </c>
      <c r="H39" s="7">
        <f t="shared" si="4"/>
        <v>1164.8531</v>
      </c>
      <c r="I39" s="7">
        <f t="shared" si="5"/>
        <v>1356882.7445796102</v>
      </c>
    </row>
    <row r="40" spans="2:17">
      <c r="B40" s="8">
        <v>0.67</v>
      </c>
      <c r="C40" s="8">
        <v>847</v>
      </c>
      <c r="D40" s="7">
        <f t="shared" si="0"/>
        <v>567.49</v>
      </c>
      <c r="E40" s="7">
        <f t="shared" si="1"/>
        <v>0.44890000000000008</v>
      </c>
      <c r="F40" s="7">
        <f t="shared" si="2"/>
        <v>717409</v>
      </c>
      <c r="G40" s="7">
        <f t="shared" si="3"/>
        <v>1529.8531</v>
      </c>
      <c r="H40" s="7">
        <f t="shared" si="4"/>
        <v>682.85310000000004</v>
      </c>
      <c r="I40" s="7">
        <f t="shared" si="5"/>
        <v>466288.35617961007</v>
      </c>
      <c r="M40" t="s">
        <v>22</v>
      </c>
      <c r="N40">
        <f>O29/(SQRT(O33)*SQRT(O36))</f>
        <v>-0.4002641541348102</v>
      </c>
      <c r="Q40">
        <f>N40^2</f>
        <v>0.16021139308525509</v>
      </c>
    </row>
    <row r="41" spans="2:17">
      <c r="B41" s="8">
        <v>0.65</v>
      </c>
      <c r="C41" s="8">
        <v>642</v>
      </c>
      <c r="D41" s="7">
        <f t="shared" si="0"/>
        <v>417.3</v>
      </c>
      <c r="E41" s="7">
        <f t="shared" si="1"/>
        <v>0.42250000000000004</v>
      </c>
      <c r="F41" s="7">
        <f t="shared" si="2"/>
        <v>412164</v>
      </c>
      <c r="G41" s="7">
        <f t="shared" si="3"/>
        <v>1586.3036</v>
      </c>
      <c r="H41" s="7">
        <f t="shared" si="4"/>
        <v>944.30359999999996</v>
      </c>
      <c r="I41" s="7">
        <f t="shared" si="5"/>
        <v>891709.28897295997</v>
      </c>
    </row>
    <row r="42" spans="2:17">
      <c r="B42" s="8">
        <v>0.65</v>
      </c>
      <c r="C42" s="8">
        <v>627</v>
      </c>
      <c r="D42" s="7">
        <f t="shared" si="0"/>
        <v>407.55</v>
      </c>
      <c r="E42" s="7">
        <f t="shared" si="1"/>
        <v>0.42250000000000004</v>
      </c>
      <c r="F42" s="7">
        <f t="shared" si="2"/>
        <v>393129</v>
      </c>
      <c r="G42" s="7">
        <f t="shared" si="3"/>
        <v>1586.3036</v>
      </c>
      <c r="H42" s="7">
        <f t="shared" si="4"/>
        <v>959.30359999999996</v>
      </c>
      <c r="I42" s="7">
        <f t="shared" si="5"/>
        <v>920263.39697295998</v>
      </c>
    </row>
    <row r="43" spans="2:17">
      <c r="B43" s="8">
        <v>0.66</v>
      </c>
      <c r="C43" s="8">
        <v>577</v>
      </c>
      <c r="D43" s="7">
        <f t="shared" si="0"/>
        <v>380.82</v>
      </c>
      <c r="E43" s="7">
        <f t="shared" si="1"/>
        <v>0.43560000000000004</v>
      </c>
      <c r="F43" s="7">
        <f t="shared" si="2"/>
        <v>332929</v>
      </c>
      <c r="G43" s="7">
        <f t="shared" si="3"/>
        <v>1558.0782999999999</v>
      </c>
      <c r="H43" s="7">
        <f t="shared" si="4"/>
        <v>981.07830000000001</v>
      </c>
      <c r="I43" s="7">
        <f t="shared" si="5"/>
        <v>962514.63073088997</v>
      </c>
    </row>
    <row r="44" spans="2:17">
      <c r="B44" s="8">
        <v>0.68</v>
      </c>
      <c r="C44" s="8">
        <v>564</v>
      </c>
      <c r="D44" s="7">
        <f t="shared" si="0"/>
        <v>383.52000000000004</v>
      </c>
      <c r="E44" s="7">
        <f t="shared" si="1"/>
        <v>0.46240000000000009</v>
      </c>
      <c r="F44" s="7">
        <f t="shared" si="2"/>
        <v>318096</v>
      </c>
      <c r="G44" s="7">
        <f t="shared" si="3"/>
        <v>1501.6278</v>
      </c>
      <c r="H44" s="7">
        <f t="shared" si="4"/>
        <v>937.62779999999998</v>
      </c>
      <c r="I44" s="7">
        <f t="shared" si="5"/>
        <v>879145.89133283996</v>
      </c>
    </row>
    <row r="45" spans="2:17">
      <c r="B45" s="8">
        <v>0.69</v>
      </c>
      <c r="C45" s="8">
        <v>541</v>
      </c>
      <c r="D45" s="7">
        <f t="shared" si="0"/>
        <v>373.28999999999996</v>
      </c>
      <c r="E45" s="7">
        <f t="shared" si="1"/>
        <v>0.47609999999999991</v>
      </c>
      <c r="F45" s="7">
        <f t="shared" si="2"/>
        <v>292681</v>
      </c>
      <c r="G45" s="7">
        <f t="shared" si="3"/>
        <v>1473.4025999999999</v>
      </c>
      <c r="H45" s="7">
        <f t="shared" si="4"/>
        <v>932.40260000000001</v>
      </c>
      <c r="I45" s="7">
        <f t="shared" si="5"/>
        <v>869374.60848676006</v>
      </c>
    </row>
    <row r="46" spans="2:17">
      <c r="B46" s="8">
        <v>0.7</v>
      </c>
      <c r="C46" s="8">
        <v>256</v>
      </c>
      <c r="D46" s="7">
        <f t="shared" si="0"/>
        <v>179.2</v>
      </c>
      <c r="E46" s="7">
        <f t="shared" si="1"/>
        <v>0.48999999999999994</v>
      </c>
      <c r="F46" s="7">
        <f t="shared" si="2"/>
        <v>65536</v>
      </c>
      <c r="G46" s="7">
        <f t="shared" si="3"/>
        <v>1445.1773000000001</v>
      </c>
      <c r="H46" s="7">
        <f t="shared" si="4"/>
        <v>1189.1773000000001</v>
      </c>
      <c r="I46" s="7">
        <f t="shared" si="5"/>
        <v>1414142.6508352901</v>
      </c>
    </row>
    <row r="47" spans="2:17">
      <c r="B47" s="8">
        <v>0.71</v>
      </c>
      <c r="C47" s="8">
        <v>384</v>
      </c>
      <c r="D47" s="7">
        <f t="shared" si="0"/>
        <v>272.64</v>
      </c>
      <c r="E47" s="7">
        <f t="shared" si="1"/>
        <v>0.50409999999999999</v>
      </c>
      <c r="F47" s="7">
        <f t="shared" si="2"/>
        <v>147456</v>
      </c>
      <c r="G47" s="7">
        <f t="shared" si="3"/>
        <v>1416.9521</v>
      </c>
      <c r="H47" s="7">
        <f t="shared" si="4"/>
        <v>1032.9521</v>
      </c>
      <c r="I47" s="7">
        <f t="shared" si="5"/>
        <v>1066990.0408944099</v>
      </c>
    </row>
    <row r="48" spans="2:17">
      <c r="B48" s="8">
        <v>0.72</v>
      </c>
      <c r="C48" s="8">
        <v>673</v>
      </c>
      <c r="D48" s="7">
        <f t="shared" si="0"/>
        <v>484.56</v>
      </c>
      <c r="E48" s="7">
        <f t="shared" si="1"/>
        <v>0.51839999999999997</v>
      </c>
      <c r="F48" s="7">
        <f t="shared" si="2"/>
        <v>452929</v>
      </c>
      <c r="G48" s="7">
        <f t="shared" si="3"/>
        <v>1388.7267999999999</v>
      </c>
      <c r="H48" s="7">
        <f t="shared" si="4"/>
        <v>715.72680000000003</v>
      </c>
      <c r="I48" s="7">
        <f t="shared" si="5"/>
        <v>512264.85223824001</v>
      </c>
      <c r="L48" t="s">
        <v>22</v>
      </c>
      <c r="M48">
        <f>ROUND((O29/O33),4)</f>
        <v>-2822.5250000000001</v>
      </c>
    </row>
    <row r="49" spans="2:14">
      <c r="B49" s="8">
        <v>0.74</v>
      </c>
      <c r="C49" s="8">
        <v>485</v>
      </c>
      <c r="D49" s="7">
        <f t="shared" si="0"/>
        <v>358.9</v>
      </c>
      <c r="E49" s="7">
        <f t="shared" si="1"/>
        <v>0.54759999999999998</v>
      </c>
      <c r="F49" s="7">
        <f t="shared" si="2"/>
        <v>235225</v>
      </c>
      <c r="G49" s="7">
        <f t="shared" si="3"/>
        <v>1332.2763</v>
      </c>
      <c r="H49" s="7">
        <f t="shared" si="4"/>
        <v>847.27629999999999</v>
      </c>
      <c r="I49" s="7">
        <f t="shared" si="5"/>
        <v>717877.12854168995</v>
      </c>
    </row>
    <row r="50" spans="2:14">
      <c r="B50" s="8">
        <v>0.76</v>
      </c>
      <c r="C50" s="8">
        <v>568</v>
      </c>
      <c r="D50" s="7">
        <f t="shared" si="0"/>
        <v>431.68</v>
      </c>
      <c r="E50" s="7">
        <f t="shared" si="1"/>
        <v>0.5776</v>
      </c>
      <c r="F50" s="7">
        <f t="shared" si="2"/>
        <v>322624</v>
      </c>
      <c r="G50" s="7">
        <f t="shared" si="3"/>
        <v>1275.8258000000001</v>
      </c>
      <c r="H50" s="7">
        <f t="shared" si="4"/>
        <v>707.82579999999996</v>
      </c>
      <c r="I50" s="7">
        <f t="shared" si="5"/>
        <v>501017.36314563995</v>
      </c>
    </row>
    <row r="51" spans="2:14">
      <c r="B51" s="8">
        <v>0.77</v>
      </c>
      <c r="C51" s="8">
        <v>457</v>
      </c>
      <c r="D51" s="7">
        <f t="shared" si="0"/>
        <v>351.89</v>
      </c>
      <c r="E51" s="7">
        <f t="shared" si="1"/>
        <v>0.59289999999999998</v>
      </c>
      <c r="F51" s="7">
        <f t="shared" si="2"/>
        <v>208849</v>
      </c>
      <c r="G51" s="7">
        <f t="shared" si="3"/>
        <v>1247.6006</v>
      </c>
      <c r="H51" s="7">
        <f t="shared" si="4"/>
        <v>790.60059999999999</v>
      </c>
      <c r="I51" s="7">
        <f t="shared" si="5"/>
        <v>625049.30872035993</v>
      </c>
      <c r="L51" t="s">
        <v>22</v>
      </c>
      <c r="M51">
        <f>ROUND((L26-(M48*L25)),4)</f>
        <v>3420.9448000000002</v>
      </c>
    </row>
    <row r="52" spans="2:14">
      <c r="B52" s="8">
        <v>0.79</v>
      </c>
      <c r="C52" s="8">
        <v>450</v>
      </c>
      <c r="D52" s="7">
        <f t="shared" si="0"/>
        <v>355.5</v>
      </c>
      <c r="E52" s="7">
        <f t="shared" si="1"/>
        <v>0.6241000000000001</v>
      </c>
      <c r="F52" s="7">
        <f t="shared" si="2"/>
        <v>202500</v>
      </c>
      <c r="G52" s="7">
        <f t="shared" si="3"/>
        <v>1191.1501000000001</v>
      </c>
      <c r="H52" s="7">
        <f t="shared" si="4"/>
        <v>741.15009999999995</v>
      </c>
      <c r="I52" s="7">
        <f t="shared" si="5"/>
        <v>549303.47073000995</v>
      </c>
    </row>
    <row r="53" spans="2:14">
      <c r="B53" s="8">
        <v>0.8</v>
      </c>
      <c r="C53" s="8">
        <v>248</v>
      </c>
      <c r="D53" s="7">
        <f t="shared" si="0"/>
        <v>198.4</v>
      </c>
      <c r="E53" s="7">
        <f t="shared" si="1"/>
        <v>0.64000000000000012</v>
      </c>
      <c r="F53" s="7">
        <f t="shared" si="2"/>
        <v>61504</v>
      </c>
      <c r="G53" s="7">
        <f t="shared" si="3"/>
        <v>1162.9248</v>
      </c>
      <c r="H53" s="7">
        <f t="shared" si="4"/>
        <v>914.9248</v>
      </c>
      <c r="I53" s="7">
        <f t="shared" si="5"/>
        <v>837087.38965503999</v>
      </c>
    </row>
    <row r="54" spans="2:14">
      <c r="B54" s="8">
        <v>0.81</v>
      </c>
      <c r="C54" s="8">
        <v>434</v>
      </c>
      <c r="D54" s="7">
        <f t="shared" si="0"/>
        <v>351.54</v>
      </c>
      <c r="E54" s="7">
        <f t="shared" si="1"/>
        <v>0.65610000000000013</v>
      </c>
      <c r="F54" s="7">
        <f t="shared" si="2"/>
        <v>188356</v>
      </c>
      <c r="G54" s="7">
        <f t="shared" si="3"/>
        <v>1134.6995999999999</v>
      </c>
      <c r="H54" s="7">
        <f t="shared" si="4"/>
        <v>700.69960000000003</v>
      </c>
      <c r="I54" s="7">
        <f t="shared" si="5"/>
        <v>490979.92944016005</v>
      </c>
    </row>
    <row r="55" spans="2:14">
      <c r="B55" s="8">
        <v>0.82</v>
      </c>
      <c r="C55" s="8">
        <v>575</v>
      </c>
      <c r="D55" s="7">
        <f t="shared" si="0"/>
        <v>471.5</v>
      </c>
      <c r="E55" s="7">
        <f t="shared" si="1"/>
        <v>0.67239999999999989</v>
      </c>
      <c r="F55" s="7">
        <f t="shared" si="2"/>
        <v>330625</v>
      </c>
      <c r="G55" s="7">
        <f t="shared" si="3"/>
        <v>1106.4743000000001</v>
      </c>
      <c r="H55" s="7">
        <f t="shared" si="4"/>
        <v>531.47429999999997</v>
      </c>
      <c r="I55" s="7">
        <f t="shared" si="5"/>
        <v>282464.93156048999</v>
      </c>
    </row>
    <row r="56" spans="2:14">
      <c r="B56" s="8">
        <v>0.83</v>
      </c>
      <c r="C56" s="8">
        <v>423</v>
      </c>
      <c r="D56" s="7">
        <f t="shared" si="0"/>
        <v>351.09</v>
      </c>
      <c r="E56" s="7">
        <f t="shared" si="1"/>
        <v>0.68889999999999996</v>
      </c>
      <c r="F56" s="7">
        <f t="shared" si="2"/>
        <v>178929</v>
      </c>
      <c r="G56" s="7">
        <f t="shared" si="3"/>
        <v>1078.2491</v>
      </c>
      <c r="H56" s="7">
        <f t="shared" si="4"/>
        <v>655.2491</v>
      </c>
      <c r="I56" s="7">
        <f t="shared" si="5"/>
        <v>429351.38305081002</v>
      </c>
    </row>
    <row r="57" spans="2:14">
      <c r="B57" s="8">
        <v>0.84</v>
      </c>
      <c r="C57" s="8">
        <v>488</v>
      </c>
      <c r="D57" s="7">
        <f t="shared" si="0"/>
        <v>409.91999999999996</v>
      </c>
      <c r="E57" s="7">
        <f t="shared" si="1"/>
        <v>0.70559999999999989</v>
      </c>
      <c r="F57" s="7">
        <f t="shared" si="2"/>
        <v>238144</v>
      </c>
      <c r="G57" s="7">
        <f t="shared" si="3"/>
        <v>1050.0237999999999</v>
      </c>
      <c r="H57" s="7">
        <f t="shared" si="4"/>
        <v>562.02380000000005</v>
      </c>
      <c r="I57" s="7">
        <f t="shared" si="5"/>
        <v>315870.75176644005</v>
      </c>
    </row>
    <row r="58" spans="2:14">
      <c r="B58" s="8">
        <v>0.86</v>
      </c>
      <c r="C58" s="8">
        <v>344</v>
      </c>
      <c r="D58" s="7">
        <f t="shared" si="0"/>
        <v>295.83999999999997</v>
      </c>
      <c r="E58" s="7">
        <f t="shared" si="1"/>
        <v>0.73959999999999992</v>
      </c>
      <c r="F58" s="7">
        <f t="shared" si="2"/>
        <v>118336</v>
      </c>
      <c r="G58" s="7">
        <f t="shared" si="3"/>
        <v>993.57330000000002</v>
      </c>
      <c r="H58" s="7">
        <f t="shared" si="4"/>
        <v>649.57330000000002</v>
      </c>
      <c r="I58" s="7">
        <f t="shared" si="5"/>
        <v>421945.47207289003</v>
      </c>
      <c r="K58" s="38" t="s">
        <v>41</v>
      </c>
      <c r="L58" s="33">
        <f>ROUND(O36-N58*O29,4)</f>
        <v>239995507.11660001</v>
      </c>
      <c r="M58" s="38"/>
      <c r="N58" s="33">
        <f>M48</f>
        <v>-2822.5250000000001</v>
      </c>
    </row>
    <row r="59" spans="2:14">
      <c r="B59" s="8">
        <v>0.89</v>
      </c>
      <c r="C59" s="8">
        <v>365</v>
      </c>
      <c r="D59" s="7">
        <f t="shared" si="0"/>
        <v>324.85000000000002</v>
      </c>
      <c r="E59" s="7">
        <f t="shared" si="1"/>
        <v>0.79210000000000003</v>
      </c>
      <c r="F59" s="7">
        <f t="shared" si="2"/>
        <v>133225</v>
      </c>
      <c r="G59" s="7">
        <f t="shared" si="3"/>
        <v>908.89760000000001</v>
      </c>
      <c r="H59" s="7">
        <f t="shared" si="4"/>
        <v>543.89760000000001</v>
      </c>
      <c r="I59" s="7">
        <f t="shared" si="5"/>
        <v>295824.59928576002</v>
      </c>
      <c r="K59" s="36" t="s">
        <v>42</v>
      </c>
      <c r="L59" s="26">
        <f>ROUND((O29^2)/O33,4)</f>
        <v>45785349.044799998</v>
      </c>
      <c r="M59" s="77"/>
      <c r="N59" s="26"/>
    </row>
    <row r="60" spans="2:14">
      <c r="B60" s="8">
        <v>0.92</v>
      </c>
      <c r="C60" s="8">
        <v>309</v>
      </c>
      <c r="D60" s="7">
        <f t="shared" si="0"/>
        <v>284.28000000000003</v>
      </c>
      <c r="E60" s="7">
        <f t="shared" si="1"/>
        <v>0.84640000000000004</v>
      </c>
      <c r="F60" s="7">
        <f t="shared" si="2"/>
        <v>95481</v>
      </c>
      <c r="G60" s="7">
        <f t="shared" si="3"/>
        <v>824.22180000000003</v>
      </c>
      <c r="H60" s="7">
        <f t="shared" si="4"/>
        <v>515.22180000000003</v>
      </c>
      <c r="I60" s="7">
        <f t="shared" si="5"/>
        <v>265453.50319524005</v>
      </c>
      <c r="K60" s="36" t="s">
        <v>43</v>
      </c>
      <c r="L60" s="26">
        <f>O36</f>
        <v>285780855.92500001</v>
      </c>
      <c r="M60" s="77"/>
      <c r="N60" s="26">
        <f>M51</f>
        <v>3420.9448000000002</v>
      </c>
    </row>
    <row r="61" spans="2:14">
      <c r="B61" s="8">
        <v>0.94</v>
      </c>
      <c r="C61" s="8">
        <v>388</v>
      </c>
      <c r="D61" s="7">
        <f t="shared" si="0"/>
        <v>364.71999999999997</v>
      </c>
      <c r="E61" s="7">
        <f t="shared" si="1"/>
        <v>0.88359999999999994</v>
      </c>
      <c r="F61" s="7">
        <f t="shared" si="2"/>
        <v>150544</v>
      </c>
      <c r="G61" s="7">
        <f t="shared" si="3"/>
        <v>767.7713</v>
      </c>
      <c r="H61" s="7">
        <f t="shared" si="4"/>
        <v>379.7713</v>
      </c>
      <c r="I61" s="7">
        <f t="shared" si="5"/>
        <v>144226.24030368999</v>
      </c>
      <c r="K61" s="36" t="s">
        <v>59</v>
      </c>
      <c r="L61" s="26">
        <f>ROUND(SQRT(L58/(L24-2)),4)</f>
        <v>1426.1347000000001</v>
      </c>
      <c r="M61" s="77"/>
      <c r="N61" s="26"/>
    </row>
    <row r="62" spans="2:14" ht="13.5" thickBot="1">
      <c r="B62" s="8">
        <v>0.97</v>
      </c>
      <c r="C62" s="8">
        <v>618</v>
      </c>
      <c r="D62" s="7">
        <f t="shared" si="0"/>
        <v>599.46</v>
      </c>
      <c r="E62" s="7">
        <f t="shared" si="1"/>
        <v>0.94089999999999996</v>
      </c>
      <c r="F62" s="7">
        <f t="shared" si="2"/>
        <v>381924</v>
      </c>
      <c r="G62" s="7">
        <f t="shared" si="3"/>
        <v>683.09559999999999</v>
      </c>
      <c r="H62" s="7">
        <f t="shared" si="4"/>
        <v>65.095600000000005</v>
      </c>
      <c r="I62" s="7">
        <f t="shared" si="5"/>
        <v>4237.4371393600004</v>
      </c>
      <c r="K62" s="37"/>
      <c r="L62" s="27"/>
      <c r="M62" s="37"/>
      <c r="N62" s="27">
        <f>ROUND(N58*SQRT(O33/O36),4)</f>
        <v>-0.40029999999999999</v>
      </c>
    </row>
    <row r="63" spans="2:14">
      <c r="B63" s="8">
        <v>0.98</v>
      </c>
      <c r="C63" s="8">
        <v>592</v>
      </c>
      <c r="D63" s="7">
        <f t="shared" si="0"/>
        <v>580.16</v>
      </c>
      <c r="E63" s="7">
        <f t="shared" si="1"/>
        <v>0.96039999999999992</v>
      </c>
      <c r="F63" s="7">
        <f t="shared" si="2"/>
        <v>350464</v>
      </c>
      <c r="G63" s="7">
        <f t="shared" si="3"/>
        <v>654.87030000000004</v>
      </c>
      <c r="H63" s="7">
        <f t="shared" si="4"/>
        <v>62.8703</v>
      </c>
      <c r="I63" s="7">
        <f t="shared" si="5"/>
        <v>3952.67462209</v>
      </c>
    </row>
    <row r="64" spans="2:14" ht="13.5" thickBot="1">
      <c r="B64" s="8">
        <v>0.98</v>
      </c>
      <c r="C64" s="8">
        <v>548</v>
      </c>
      <c r="D64" s="7">
        <f t="shared" si="0"/>
        <v>537.04</v>
      </c>
      <c r="E64" s="7">
        <f t="shared" si="1"/>
        <v>0.96039999999999992</v>
      </c>
      <c r="F64" s="7">
        <f t="shared" si="2"/>
        <v>300304</v>
      </c>
      <c r="G64" s="7">
        <f t="shared" si="3"/>
        <v>654.87030000000004</v>
      </c>
      <c r="H64" s="7">
        <f t="shared" si="4"/>
        <v>106.8703</v>
      </c>
      <c r="I64" s="7">
        <f t="shared" si="5"/>
        <v>11421.261022090001</v>
      </c>
    </row>
    <row r="65" spans="2:16">
      <c r="B65" s="8">
        <v>0.97</v>
      </c>
      <c r="C65" s="8">
        <v>280</v>
      </c>
      <c r="D65" s="7">
        <f t="shared" si="0"/>
        <v>271.59999999999997</v>
      </c>
      <c r="E65" s="7">
        <f t="shared" si="1"/>
        <v>0.94089999999999996</v>
      </c>
      <c r="F65" s="7">
        <f t="shared" si="2"/>
        <v>78400</v>
      </c>
      <c r="G65" s="7">
        <f t="shared" si="3"/>
        <v>683.09559999999999</v>
      </c>
      <c r="H65" s="7">
        <f t="shared" si="4"/>
        <v>403.09559999999999</v>
      </c>
      <c r="I65" s="7">
        <f t="shared" si="5"/>
        <v>162486.06273936</v>
      </c>
      <c r="K65" s="20"/>
      <c r="L65" s="20" t="s">
        <v>55</v>
      </c>
      <c r="M65" s="20" t="s">
        <v>48</v>
      </c>
      <c r="N65" s="20" t="s">
        <v>49</v>
      </c>
      <c r="O65" s="20" t="s">
        <v>50</v>
      </c>
      <c r="P65" s="20" t="s">
        <v>51</v>
      </c>
    </row>
    <row r="66" spans="2:16">
      <c r="B66" s="8">
        <v>1</v>
      </c>
      <c r="C66" s="8">
        <v>193</v>
      </c>
      <c r="D66" s="7">
        <f t="shared" si="0"/>
        <v>193</v>
      </c>
      <c r="E66" s="7">
        <f t="shared" si="1"/>
        <v>1</v>
      </c>
      <c r="F66" s="7">
        <f t="shared" si="2"/>
        <v>37249</v>
      </c>
      <c r="G66" s="7">
        <f t="shared" si="3"/>
        <v>598.41980000000001</v>
      </c>
      <c r="H66" s="7">
        <f t="shared" si="4"/>
        <v>405.41980000000001</v>
      </c>
      <c r="I66" s="7">
        <f t="shared" si="5"/>
        <v>164365.21423204002</v>
      </c>
      <c r="K66" s="76" t="s">
        <v>56</v>
      </c>
      <c r="L66" s="18" t="s">
        <v>45</v>
      </c>
      <c r="M66" s="18">
        <v>1</v>
      </c>
      <c r="N66" s="18">
        <f>L59</f>
        <v>45785349.044799998</v>
      </c>
      <c r="O66" s="18">
        <f>N66/M66</f>
        <v>45785349.044799998</v>
      </c>
      <c r="P66" s="18">
        <f>O66/O67</f>
        <v>22.511551371091098</v>
      </c>
    </row>
    <row r="67" spans="2:16">
      <c r="B67" s="8">
        <v>1.06</v>
      </c>
      <c r="C67" s="8">
        <v>159</v>
      </c>
      <c r="D67" s="7">
        <f t="shared" si="0"/>
        <v>168.54000000000002</v>
      </c>
      <c r="E67" s="7">
        <f t="shared" si="1"/>
        <v>1.1236000000000002</v>
      </c>
      <c r="F67" s="7">
        <f t="shared" si="2"/>
        <v>25281</v>
      </c>
      <c r="G67" s="7">
        <f t="shared" si="3"/>
        <v>429.06830000000002</v>
      </c>
      <c r="H67" s="7">
        <f t="shared" si="4"/>
        <v>270.06830000000002</v>
      </c>
      <c r="I67" s="7">
        <f t="shared" si="5"/>
        <v>72936.886664890015</v>
      </c>
      <c r="K67" s="76" t="s">
        <v>57</v>
      </c>
      <c r="L67" s="18" t="s">
        <v>46</v>
      </c>
      <c r="M67" s="77">
        <v>118</v>
      </c>
      <c r="N67" s="18">
        <f>L58</f>
        <v>239995507.11660001</v>
      </c>
      <c r="O67" s="18">
        <f>N67/M67</f>
        <v>2033860.2298016949</v>
      </c>
      <c r="P67" s="18"/>
    </row>
    <row r="68" spans="2:16" ht="13.5" thickBot="1">
      <c r="B68" s="8">
        <v>1.1399999999999999</v>
      </c>
      <c r="C68" s="8">
        <v>874</v>
      </c>
      <c r="D68" s="7">
        <f t="shared" si="0"/>
        <v>996.3599999999999</v>
      </c>
      <c r="E68" s="7">
        <f t="shared" si="1"/>
        <v>1.2995999999999999</v>
      </c>
      <c r="F68" s="7">
        <f t="shared" si="2"/>
        <v>763876</v>
      </c>
      <c r="G68" s="7">
        <f t="shared" si="3"/>
        <v>203.2663</v>
      </c>
      <c r="H68" s="7">
        <f t="shared" si="4"/>
        <v>-670.7337</v>
      </c>
      <c r="I68" s="7">
        <f t="shared" si="5"/>
        <v>449883.69631569</v>
      </c>
      <c r="K68" s="24" t="s">
        <v>58</v>
      </c>
      <c r="L68" s="19" t="s">
        <v>47</v>
      </c>
      <c r="M68" s="28">
        <v>119</v>
      </c>
      <c r="N68" s="19">
        <f>L60</f>
        <v>285780855.92500001</v>
      </c>
      <c r="O68" s="19"/>
      <c r="P68" s="19"/>
    </row>
    <row r="69" spans="2:16">
      <c r="B69" s="8">
        <v>1.1399999999999999</v>
      </c>
      <c r="C69" s="8">
        <v>663</v>
      </c>
      <c r="D69" s="7">
        <f t="shared" ref="D69:D123" si="6">B69*C69</f>
        <v>755.81999999999994</v>
      </c>
      <c r="E69" s="7">
        <f t="shared" ref="E69:E123" si="7">B69^2</f>
        <v>1.2995999999999999</v>
      </c>
      <c r="F69" s="7">
        <f t="shared" ref="F69:F123" si="8">C69^2</f>
        <v>439569</v>
      </c>
      <c r="G69" s="7">
        <f t="shared" ref="G69:G123" si="9">ROUND($M$51+$M$48*B69,4)</f>
        <v>203.2663</v>
      </c>
      <c r="H69" s="7">
        <f t="shared" ref="H69:H123" si="10">ROUND(G69-C69,4)</f>
        <v>-459.7337</v>
      </c>
      <c r="I69" s="7">
        <f t="shared" ref="I69:I123" si="11">H69^2</f>
        <v>211355.07491569</v>
      </c>
    </row>
    <row r="70" spans="2:16">
      <c r="B70" s="8">
        <v>1.1299999999999999</v>
      </c>
      <c r="C70" s="8">
        <v>602</v>
      </c>
      <c r="D70" s="7">
        <f t="shared" si="6"/>
        <v>680.26</v>
      </c>
      <c r="E70" s="7">
        <f t="shared" si="7"/>
        <v>1.2768999999999997</v>
      </c>
      <c r="F70" s="7">
        <f t="shared" si="8"/>
        <v>362404</v>
      </c>
      <c r="G70" s="7">
        <f t="shared" si="9"/>
        <v>231.49160000000001</v>
      </c>
      <c r="H70" s="7">
        <f t="shared" si="10"/>
        <v>-370.50839999999999</v>
      </c>
      <c r="I70" s="7">
        <f t="shared" si="11"/>
        <v>137276.47447056</v>
      </c>
      <c r="K70" s="73"/>
    </row>
    <row r="71" spans="2:16">
      <c r="B71" s="8">
        <v>1.1200000000000001</v>
      </c>
      <c r="C71" s="8">
        <v>694</v>
      </c>
      <c r="D71" s="7">
        <f t="shared" si="6"/>
        <v>777.28000000000009</v>
      </c>
      <c r="E71" s="7">
        <f t="shared" si="7"/>
        <v>1.2544000000000002</v>
      </c>
      <c r="F71" s="7">
        <f t="shared" si="8"/>
        <v>481636</v>
      </c>
      <c r="G71" s="7">
        <f t="shared" si="9"/>
        <v>259.71679999999998</v>
      </c>
      <c r="H71" s="7">
        <f t="shared" si="10"/>
        <v>-434.28320000000002</v>
      </c>
      <c r="I71" s="7">
        <f t="shared" si="11"/>
        <v>188601.89780224001</v>
      </c>
    </row>
    <row r="72" spans="2:16">
      <c r="B72" s="8">
        <v>1.1000000000000001</v>
      </c>
      <c r="C72" s="8">
        <v>601</v>
      </c>
      <c r="D72" s="7">
        <f t="shared" si="6"/>
        <v>661.1</v>
      </c>
      <c r="E72" s="7">
        <f t="shared" si="7"/>
        <v>1.2100000000000002</v>
      </c>
      <c r="F72" s="7">
        <f t="shared" si="8"/>
        <v>361201</v>
      </c>
      <c r="G72" s="7">
        <f t="shared" si="9"/>
        <v>316.16730000000001</v>
      </c>
      <c r="H72" s="7">
        <f t="shared" si="10"/>
        <v>-284.83269999999999</v>
      </c>
      <c r="I72" s="7">
        <f t="shared" si="11"/>
        <v>81129.666989289995</v>
      </c>
      <c r="K72" s="14"/>
      <c r="L72" s="14"/>
      <c r="M72" s="14"/>
      <c r="N72" s="14"/>
      <c r="O72" s="14"/>
    </row>
    <row r="73" spans="2:16">
      <c r="B73" s="8">
        <v>1.07</v>
      </c>
      <c r="C73" s="8">
        <v>566</v>
      </c>
      <c r="D73" s="7">
        <f t="shared" si="6"/>
        <v>605.62</v>
      </c>
      <c r="E73" s="7">
        <f t="shared" si="7"/>
        <v>1.1449</v>
      </c>
      <c r="F73" s="7">
        <f t="shared" si="8"/>
        <v>320356</v>
      </c>
      <c r="G73" s="7">
        <f t="shared" si="9"/>
        <v>400.84309999999999</v>
      </c>
      <c r="H73" s="7">
        <f t="shared" si="10"/>
        <v>-165.15690000000001</v>
      </c>
      <c r="I73" s="7">
        <f t="shared" si="11"/>
        <v>27276.801617610003</v>
      </c>
      <c r="K73" s="29" t="s">
        <v>80</v>
      </c>
      <c r="L73" s="14">
        <v>0.05</v>
      </c>
      <c r="M73" s="14"/>
      <c r="N73" s="14"/>
      <c r="O73" s="14"/>
    </row>
    <row r="74" spans="2:16">
      <c r="B74" s="8">
        <v>1.04</v>
      </c>
      <c r="C74" s="8">
        <v>271</v>
      </c>
      <c r="D74" s="7">
        <f t="shared" si="6"/>
        <v>281.84000000000003</v>
      </c>
      <c r="E74" s="7">
        <f t="shared" si="7"/>
        <v>1.0816000000000001</v>
      </c>
      <c r="F74" s="7">
        <f t="shared" si="8"/>
        <v>73441</v>
      </c>
      <c r="G74" s="7">
        <f t="shared" si="9"/>
        <v>485.5188</v>
      </c>
      <c r="H74" s="7">
        <f t="shared" si="10"/>
        <v>214.5188</v>
      </c>
      <c r="I74" s="7">
        <f t="shared" si="11"/>
        <v>46018.315553439999</v>
      </c>
      <c r="K74" s="14"/>
      <c r="L74" s="14"/>
      <c r="M74" s="14"/>
      <c r="N74" s="14"/>
      <c r="O74" s="14"/>
    </row>
    <row r="75" spans="2:16">
      <c r="B75" s="8">
        <v>1.01</v>
      </c>
      <c r="C75" s="8">
        <v>408</v>
      </c>
      <c r="D75" s="7">
        <f t="shared" si="6"/>
        <v>412.08</v>
      </c>
      <c r="E75" s="7">
        <f t="shared" si="7"/>
        <v>1.0201</v>
      </c>
      <c r="F75" s="7">
        <f t="shared" si="8"/>
        <v>166464</v>
      </c>
      <c r="G75" s="7">
        <f t="shared" si="9"/>
        <v>570.19460000000004</v>
      </c>
      <c r="H75" s="7">
        <f t="shared" si="10"/>
        <v>162.19460000000001</v>
      </c>
      <c r="I75" s="7">
        <f t="shared" si="11"/>
        <v>26307.088269160002</v>
      </c>
      <c r="K75" s="14"/>
      <c r="L75" s="14"/>
      <c r="M75" s="14"/>
      <c r="N75" s="14"/>
      <c r="O75" s="14"/>
    </row>
    <row r="76" spans="2:16">
      <c r="B76" s="8">
        <v>1.01</v>
      </c>
      <c r="C76" s="8">
        <v>684</v>
      </c>
      <c r="D76" s="7">
        <f t="shared" si="6"/>
        <v>690.84</v>
      </c>
      <c r="E76" s="7">
        <f t="shared" si="7"/>
        <v>1.0201</v>
      </c>
      <c r="F76" s="7">
        <f t="shared" si="8"/>
        <v>467856</v>
      </c>
      <c r="G76" s="7">
        <f t="shared" si="9"/>
        <v>570.19460000000004</v>
      </c>
      <c r="H76" s="7">
        <f t="shared" si="10"/>
        <v>-113.80540000000001</v>
      </c>
      <c r="I76" s="7">
        <f t="shared" si="11"/>
        <v>12951.669069160002</v>
      </c>
      <c r="K76" s="14"/>
      <c r="L76" s="14"/>
      <c r="M76" s="14"/>
      <c r="N76" s="14"/>
      <c r="O76" s="14"/>
    </row>
    <row r="77" spans="2:16">
      <c r="B77" s="8">
        <v>1</v>
      </c>
      <c r="C77" s="8">
        <v>501</v>
      </c>
      <c r="D77" s="7">
        <f t="shared" si="6"/>
        <v>501</v>
      </c>
      <c r="E77" s="7">
        <f t="shared" si="7"/>
        <v>1</v>
      </c>
      <c r="F77" s="7">
        <f t="shared" si="8"/>
        <v>251001</v>
      </c>
      <c r="G77" s="7">
        <f t="shared" si="9"/>
        <v>598.41980000000001</v>
      </c>
      <c r="H77" s="7">
        <f t="shared" si="10"/>
        <v>97.419799999999995</v>
      </c>
      <c r="I77" s="7">
        <f t="shared" si="11"/>
        <v>9490.6174320399987</v>
      </c>
      <c r="K77" s="29" t="s">
        <v>133</v>
      </c>
      <c r="L77" s="14">
        <f>P66</f>
        <v>22.511551371091098</v>
      </c>
      <c r="M77" s="14"/>
      <c r="N77" s="14"/>
      <c r="O77" s="14"/>
    </row>
    <row r="78" spans="2:16">
      <c r="B78" s="8">
        <v>1</v>
      </c>
      <c r="C78" s="8">
        <v>553</v>
      </c>
      <c r="D78" s="7">
        <f t="shared" si="6"/>
        <v>553</v>
      </c>
      <c r="E78" s="7">
        <f t="shared" si="7"/>
        <v>1</v>
      </c>
      <c r="F78" s="7">
        <f t="shared" si="8"/>
        <v>305809</v>
      </c>
      <c r="G78" s="7">
        <f t="shared" si="9"/>
        <v>598.41980000000001</v>
      </c>
      <c r="H78" s="7">
        <f t="shared" si="10"/>
        <v>45.419800000000002</v>
      </c>
      <c r="I78" s="7">
        <f t="shared" si="11"/>
        <v>2062.95823204</v>
      </c>
      <c r="K78" s="14"/>
      <c r="L78" s="14"/>
      <c r="M78" s="14"/>
      <c r="N78" s="14"/>
      <c r="O78" s="14"/>
    </row>
    <row r="79" spans="2:16">
      <c r="B79" s="8">
        <v>1</v>
      </c>
      <c r="C79" s="8">
        <v>649</v>
      </c>
      <c r="D79" s="7">
        <f t="shared" si="6"/>
        <v>649</v>
      </c>
      <c r="E79" s="7">
        <f t="shared" si="7"/>
        <v>1</v>
      </c>
      <c r="F79" s="7">
        <f t="shared" si="8"/>
        <v>421201</v>
      </c>
      <c r="G79" s="7">
        <f t="shared" si="9"/>
        <v>598.41980000000001</v>
      </c>
      <c r="H79" s="7">
        <f t="shared" si="10"/>
        <v>-50.580199999999998</v>
      </c>
      <c r="I79" s="7">
        <f t="shared" si="11"/>
        <v>2558.3566320399996</v>
      </c>
      <c r="K79" s="14"/>
      <c r="L79" s="14"/>
      <c r="M79" s="14"/>
      <c r="N79" s="14"/>
      <c r="O79" s="14"/>
    </row>
    <row r="80" spans="2:16">
      <c r="B80" s="8">
        <v>0.99</v>
      </c>
      <c r="C80" s="8">
        <v>441</v>
      </c>
      <c r="D80" s="7">
        <f t="shared" si="6"/>
        <v>436.59</v>
      </c>
      <c r="E80" s="7">
        <f t="shared" si="7"/>
        <v>0.98009999999999997</v>
      </c>
      <c r="F80" s="7">
        <f t="shared" si="8"/>
        <v>194481</v>
      </c>
      <c r="G80" s="7">
        <f t="shared" si="9"/>
        <v>626.64509999999996</v>
      </c>
      <c r="H80" s="7">
        <f t="shared" si="10"/>
        <v>185.64510000000001</v>
      </c>
      <c r="I80" s="7">
        <f t="shared" si="11"/>
        <v>34464.103154010008</v>
      </c>
      <c r="K80" s="14" t="str">
        <f>"f(0,05);("&amp;M66&amp;","&amp;M67&amp;")="</f>
        <v>f(0,05);(1,118)=</v>
      </c>
      <c r="L80" s="14">
        <f>ROUND(_xlfn.F.INV.RT(L73,M66,M67),4)</f>
        <v>3.9215</v>
      </c>
      <c r="M80" s="14"/>
      <c r="N80" s="14"/>
      <c r="O80" s="14"/>
    </row>
    <row r="81" spans="2:15">
      <c r="B81" s="8">
        <v>0.98</v>
      </c>
      <c r="C81" s="8">
        <v>220</v>
      </c>
      <c r="D81" s="7">
        <f t="shared" si="6"/>
        <v>215.6</v>
      </c>
      <c r="E81" s="7">
        <f t="shared" si="7"/>
        <v>0.96039999999999992</v>
      </c>
      <c r="F81" s="7">
        <f t="shared" si="8"/>
        <v>48400</v>
      </c>
      <c r="G81" s="7">
        <f t="shared" si="9"/>
        <v>654.87030000000004</v>
      </c>
      <c r="H81" s="7">
        <f t="shared" si="10"/>
        <v>434.87029999999999</v>
      </c>
      <c r="I81" s="7">
        <f t="shared" si="11"/>
        <v>189112.17782208999</v>
      </c>
      <c r="K81" s="14"/>
      <c r="L81" s="14"/>
      <c r="M81" s="14"/>
      <c r="N81" s="14"/>
      <c r="O81" s="14"/>
    </row>
    <row r="82" spans="2:15">
      <c r="B82" s="8">
        <v>0.97</v>
      </c>
      <c r="C82" s="8">
        <v>424</v>
      </c>
      <c r="D82" s="7">
        <f t="shared" si="6"/>
        <v>411.28</v>
      </c>
      <c r="E82" s="7">
        <f t="shared" si="7"/>
        <v>0.94089999999999996</v>
      </c>
      <c r="F82" s="7">
        <f t="shared" si="8"/>
        <v>179776</v>
      </c>
      <c r="G82" s="7">
        <f t="shared" si="9"/>
        <v>683.09559999999999</v>
      </c>
      <c r="H82" s="7">
        <f t="shared" si="10"/>
        <v>259.09559999999999</v>
      </c>
      <c r="I82" s="7">
        <f t="shared" si="11"/>
        <v>67130.52993936</v>
      </c>
      <c r="K82" s="14" t="str">
        <f>IF(L80&lt;=L77, "R: Como  " &amp;ROUND(L80,4) &amp;" &lt; "&amp;ROUND(L77,4)&amp;" o modelo é significativo","R: Como  " &amp;ROUND(L80,4) &amp;" &gt; "&amp;ROUND(L77,4)&amp;" o modelo não é significativo" )</f>
        <v>R: Como  3,9215 &lt; 22,5116 o modelo é significativo</v>
      </c>
      <c r="L82" s="14"/>
      <c r="M82" s="14"/>
      <c r="N82" s="14"/>
      <c r="O82" s="14"/>
    </row>
    <row r="83" spans="2:15">
      <c r="B83" s="8">
        <v>0.97</v>
      </c>
      <c r="C83" s="8">
        <v>610</v>
      </c>
      <c r="D83" s="7">
        <f t="shared" si="6"/>
        <v>591.69999999999993</v>
      </c>
      <c r="E83" s="7">
        <f t="shared" si="7"/>
        <v>0.94089999999999996</v>
      </c>
      <c r="F83" s="7">
        <f t="shared" si="8"/>
        <v>372100</v>
      </c>
      <c r="G83" s="7">
        <f t="shared" si="9"/>
        <v>683.09559999999999</v>
      </c>
      <c r="H83" s="7">
        <f t="shared" si="10"/>
        <v>73.095600000000005</v>
      </c>
      <c r="I83" s="7">
        <f t="shared" si="11"/>
        <v>5342.9667393600002</v>
      </c>
      <c r="K83" s="14"/>
      <c r="L83" s="14"/>
      <c r="M83" s="14"/>
      <c r="N83" s="14"/>
      <c r="O83" s="14"/>
    </row>
    <row r="84" spans="2:15">
      <c r="B84" s="8">
        <v>0.97</v>
      </c>
      <c r="C84" s="8">
        <v>636</v>
      </c>
      <c r="D84" s="7">
        <f t="shared" si="6"/>
        <v>616.91999999999996</v>
      </c>
      <c r="E84" s="7">
        <f t="shared" si="7"/>
        <v>0.94089999999999996</v>
      </c>
      <c r="F84" s="7">
        <f t="shared" si="8"/>
        <v>404496</v>
      </c>
      <c r="G84" s="7">
        <f t="shared" si="9"/>
        <v>683.09559999999999</v>
      </c>
      <c r="H84" s="7">
        <f t="shared" si="10"/>
        <v>47.095599999999997</v>
      </c>
      <c r="I84" s="7">
        <f t="shared" si="11"/>
        <v>2217.9955393599998</v>
      </c>
      <c r="K84" s="14"/>
      <c r="L84" s="14"/>
      <c r="M84" s="14"/>
      <c r="N84" s="14"/>
      <c r="O84" s="14"/>
    </row>
    <row r="85" spans="2:15">
      <c r="B85" s="8">
        <v>0.96</v>
      </c>
      <c r="C85" s="8">
        <v>506</v>
      </c>
      <c r="D85" s="7">
        <f t="shared" si="6"/>
        <v>485.76</v>
      </c>
      <c r="E85" s="7">
        <f t="shared" si="7"/>
        <v>0.92159999999999997</v>
      </c>
      <c r="F85" s="7">
        <f t="shared" si="8"/>
        <v>256036</v>
      </c>
      <c r="G85" s="7">
        <f t="shared" si="9"/>
        <v>711.32079999999996</v>
      </c>
      <c r="H85" s="7">
        <f t="shared" si="10"/>
        <v>205.32079999999999</v>
      </c>
      <c r="I85" s="7">
        <f t="shared" si="11"/>
        <v>42156.630912639994</v>
      </c>
    </row>
    <row r="86" spans="2:15">
      <c r="B86" s="8">
        <v>0.96</v>
      </c>
      <c r="C86" s="8">
        <v>567</v>
      </c>
      <c r="D86" s="7">
        <f t="shared" si="6"/>
        <v>544.31999999999994</v>
      </c>
      <c r="E86" s="7">
        <f t="shared" si="7"/>
        <v>0.92159999999999997</v>
      </c>
      <c r="F86" s="7">
        <f t="shared" si="8"/>
        <v>321489</v>
      </c>
      <c r="G86" s="7">
        <f t="shared" si="9"/>
        <v>711.32079999999996</v>
      </c>
      <c r="H86" s="7">
        <f t="shared" si="10"/>
        <v>144.32079999999999</v>
      </c>
      <c r="I86" s="7">
        <f t="shared" si="11"/>
        <v>20828.493312639999</v>
      </c>
    </row>
    <row r="87" spans="2:15">
      <c r="B87" s="8">
        <v>0.94</v>
      </c>
      <c r="C87" s="8">
        <v>478</v>
      </c>
      <c r="D87" s="7">
        <f t="shared" si="6"/>
        <v>449.32</v>
      </c>
      <c r="E87" s="7">
        <f t="shared" si="7"/>
        <v>0.88359999999999994</v>
      </c>
      <c r="F87" s="7">
        <f t="shared" si="8"/>
        <v>228484</v>
      </c>
      <c r="G87" s="7">
        <f t="shared" si="9"/>
        <v>767.7713</v>
      </c>
      <c r="H87" s="7">
        <f t="shared" si="10"/>
        <v>289.7713</v>
      </c>
      <c r="I87" s="7">
        <f t="shared" si="11"/>
        <v>83967.406303690004</v>
      </c>
    </row>
    <row r="88" spans="2:15">
      <c r="B88" s="8">
        <v>0.92</v>
      </c>
      <c r="C88" s="8">
        <v>196</v>
      </c>
      <c r="D88" s="7">
        <f t="shared" si="6"/>
        <v>180.32000000000002</v>
      </c>
      <c r="E88" s="7">
        <f t="shared" si="7"/>
        <v>0.84640000000000004</v>
      </c>
      <c r="F88" s="7">
        <f t="shared" si="8"/>
        <v>38416</v>
      </c>
      <c r="G88" s="7">
        <f t="shared" si="9"/>
        <v>824.22180000000003</v>
      </c>
      <c r="H88" s="7">
        <f t="shared" si="10"/>
        <v>628.22180000000003</v>
      </c>
      <c r="I88" s="7">
        <f t="shared" si="11"/>
        <v>394662.62999524001</v>
      </c>
    </row>
    <row r="89" spans="2:15">
      <c r="B89" s="8">
        <v>0.91</v>
      </c>
      <c r="C89" s="8">
        <v>353</v>
      </c>
      <c r="D89" s="7">
        <f t="shared" si="6"/>
        <v>321.23</v>
      </c>
      <c r="E89" s="7">
        <f t="shared" si="7"/>
        <v>0.82810000000000006</v>
      </c>
      <c r="F89" s="7">
        <f t="shared" si="8"/>
        <v>124609</v>
      </c>
      <c r="G89" s="7">
        <f t="shared" si="9"/>
        <v>852.44709999999998</v>
      </c>
      <c r="H89" s="7">
        <f t="shared" si="10"/>
        <v>499.44709999999998</v>
      </c>
      <c r="I89" s="7">
        <f t="shared" si="11"/>
        <v>249447.40569840997</v>
      </c>
    </row>
    <row r="90" spans="2:15">
      <c r="B90" s="8">
        <v>0.9</v>
      </c>
      <c r="C90" s="8">
        <v>572</v>
      </c>
      <c r="D90" s="7">
        <f t="shared" si="6"/>
        <v>514.80000000000007</v>
      </c>
      <c r="E90" s="7">
        <f t="shared" si="7"/>
        <v>0.81</v>
      </c>
      <c r="F90" s="7">
        <f t="shared" si="8"/>
        <v>327184</v>
      </c>
      <c r="G90" s="7">
        <f t="shared" si="9"/>
        <v>880.67229999999995</v>
      </c>
      <c r="H90" s="7">
        <f t="shared" si="10"/>
        <v>308.67230000000001</v>
      </c>
      <c r="I90" s="7">
        <f t="shared" si="11"/>
        <v>95278.588787290006</v>
      </c>
    </row>
    <row r="91" spans="2:15">
      <c r="B91" s="8">
        <v>0.89</v>
      </c>
      <c r="C91" s="8">
        <v>470</v>
      </c>
      <c r="D91" s="7">
        <f t="shared" si="6"/>
        <v>418.3</v>
      </c>
      <c r="E91" s="7">
        <f t="shared" si="7"/>
        <v>0.79210000000000003</v>
      </c>
      <c r="F91" s="7">
        <f t="shared" si="8"/>
        <v>220900</v>
      </c>
      <c r="G91" s="7">
        <f t="shared" si="9"/>
        <v>908.89760000000001</v>
      </c>
      <c r="H91" s="7">
        <f t="shared" si="10"/>
        <v>438.89760000000001</v>
      </c>
      <c r="I91" s="7">
        <f t="shared" si="11"/>
        <v>192631.10328576001</v>
      </c>
    </row>
    <row r="92" spans="2:15">
      <c r="B92" s="8">
        <v>0.88</v>
      </c>
      <c r="C92" s="8">
        <v>460</v>
      </c>
      <c r="D92" s="7">
        <f t="shared" si="6"/>
        <v>404.8</v>
      </c>
      <c r="E92" s="7">
        <f t="shared" si="7"/>
        <v>0.77439999999999998</v>
      </c>
      <c r="F92" s="7">
        <f t="shared" si="8"/>
        <v>211600</v>
      </c>
      <c r="G92" s="7">
        <f t="shared" si="9"/>
        <v>937.12279999999998</v>
      </c>
      <c r="H92" s="7">
        <f t="shared" si="10"/>
        <v>477.12279999999998</v>
      </c>
      <c r="I92" s="7">
        <f t="shared" si="11"/>
        <v>227646.16627983999</v>
      </c>
    </row>
    <row r="93" spans="2:15">
      <c r="B93" s="8">
        <v>0.87</v>
      </c>
      <c r="C93" s="8">
        <v>454</v>
      </c>
      <c r="D93" s="7">
        <f t="shared" si="6"/>
        <v>394.98</v>
      </c>
      <c r="E93" s="7">
        <f t="shared" si="7"/>
        <v>0.75690000000000002</v>
      </c>
      <c r="F93" s="7">
        <f t="shared" si="8"/>
        <v>206116</v>
      </c>
      <c r="G93" s="7">
        <f t="shared" si="9"/>
        <v>965.34810000000004</v>
      </c>
      <c r="H93" s="7">
        <f t="shared" si="10"/>
        <v>511.34809999999999</v>
      </c>
      <c r="I93" s="7">
        <f t="shared" si="11"/>
        <v>261476.87937360999</v>
      </c>
    </row>
    <row r="94" spans="2:15">
      <c r="B94" s="8">
        <v>0.86</v>
      </c>
      <c r="C94" s="8">
        <v>330</v>
      </c>
      <c r="D94" s="7">
        <f t="shared" si="6"/>
        <v>283.8</v>
      </c>
      <c r="E94" s="7">
        <f t="shared" si="7"/>
        <v>0.73959999999999992</v>
      </c>
      <c r="F94" s="7">
        <f t="shared" si="8"/>
        <v>108900</v>
      </c>
      <c r="G94" s="7">
        <f t="shared" si="9"/>
        <v>993.57330000000002</v>
      </c>
      <c r="H94" s="7">
        <f t="shared" si="10"/>
        <v>663.57330000000002</v>
      </c>
      <c r="I94" s="7">
        <f t="shared" si="11"/>
        <v>440329.52447289001</v>
      </c>
    </row>
    <row r="95" spans="2:15">
      <c r="B95" s="8">
        <v>0.86</v>
      </c>
      <c r="C95" s="8">
        <v>180</v>
      </c>
      <c r="D95" s="7">
        <f t="shared" si="6"/>
        <v>154.80000000000001</v>
      </c>
      <c r="E95" s="7">
        <f t="shared" si="7"/>
        <v>0.73959999999999992</v>
      </c>
      <c r="F95" s="7">
        <f t="shared" si="8"/>
        <v>32400</v>
      </c>
      <c r="G95" s="7">
        <f t="shared" si="9"/>
        <v>993.57330000000002</v>
      </c>
      <c r="H95" s="7">
        <f t="shared" si="10"/>
        <v>813.57330000000002</v>
      </c>
      <c r="I95" s="7">
        <f t="shared" si="11"/>
        <v>661901.51447289006</v>
      </c>
    </row>
    <row r="96" spans="2:15">
      <c r="B96" s="8">
        <v>0.85</v>
      </c>
      <c r="C96" s="8">
        <v>258</v>
      </c>
      <c r="D96" s="7">
        <f t="shared" si="6"/>
        <v>219.29999999999998</v>
      </c>
      <c r="E96" s="7">
        <f t="shared" si="7"/>
        <v>0.72249999999999992</v>
      </c>
      <c r="F96" s="7">
        <f t="shared" si="8"/>
        <v>66564</v>
      </c>
      <c r="G96" s="7">
        <f t="shared" si="9"/>
        <v>1021.7986</v>
      </c>
      <c r="H96" s="7">
        <f t="shared" si="10"/>
        <v>763.79859999999996</v>
      </c>
      <c r="I96" s="7">
        <f t="shared" si="11"/>
        <v>583388.30136195989</v>
      </c>
    </row>
    <row r="97" spans="2:9">
      <c r="B97" s="8">
        <v>0.85</v>
      </c>
      <c r="C97" s="8">
        <v>387</v>
      </c>
      <c r="D97" s="7">
        <f t="shared" si="6"/>
        <v>328.95</v>
      </c>
      <c r="E97" s="7">
        <f t="shared" si="7"/>
        <v>0.72249999999999992</v>
      </c>
      <c r="F97" s="7">
        <f t="shared" si="8"/>
        <v>149769</v>
      </c>
      <c r="G97" s="7">
        <f t="shared" si="9"/>
        <v>1021.7986</v>
      </c>
      <c r="H97" s="7">
        <f t="shared" si="10"/>
        <v>634.79859999999996</v>
      </c>
      <c r="I97" s="7">
        <f t="shared" si="11"/>
        <v>402969.26256195997</v>
      </c>
    </row>
    <row r="98" spans="2:9">
      <c r="B98" s="8">
        <v>0.87</v>
      </c>
      <c r="C98" s="8">
        <v>373</v>
      </c>
      <c r="D98" s="7">
        <f t="shared" si="6"/>
        <v>324.51</v>
      </c>
      <c r="E98" s="7">
        <f t="shared" si="7"/>
        <v>0.75690000000000002</v>
      </c>
      <c r="F98" s="7">
        <f t="shared" si="8"/>
        <v>139129</v>
      </c>
      <c r="G98" s="7">
        <f t="shared" si="9"/>
        <v>965.34810000000004</v>
      </c>
      <c r="H98" s="7">
        <f t="shared" si="10"/>
        <v>592.34810000000004</v>
      </c>
      <c r="I98" s="7">
        <f t="shared" si="11"/>
        <v>350876.27157361008</v>
      </c>
    </row>
    <row r="99" spans="2:9">
      <c r="B99" s="8">
        <v>0.89</v>
      </c>
      <c r="C99" s="8">
        <v>377</v>
      </c>
      <c r="D99" s="7">
        <f t="shared" si="6"/>
        <v>335.53000000000003</v>
      </c>
      <c r="E99" s="7">
        <f t="shared" si="7"/>
        <v>0.79210000000000003</v>
      </c>
      <c r="F99" s="7">
        <f t="shared" si="8"/>
        <v>142129</v>
      </c>
      <c r="G99" s="7">
        <f t="shared" si="9"/>
        <v>908.89760000000001</v>
      </c>
      <c r="H99" s="7">
        <f t="shared" si="10"/>
        <v>531.89760000000001</v>
      </c>
      <c r="I99" s="7">
        <f t="shared" si="11"/>
        <v>282915.05688575999</v>
      </c>
    </row>
    <row r="100" spans="2:9">
      <c r="B100" s="8">
        <v>0.91</v>
      </c>
      <c r="C100" s="8">
        <v>406</v>
      </c>
      <c r="D100" s="7">
        <f t="shared" si="6"/>
        <v>369.46000000000004</v>
      </c>
      <c r="E100" s="7">
        <f t="shared" si="7"/>
        <v>0.82810000000000006</v>
      </c>
      <c r="F100" s="7">
        <f t="shared" si="8"/>
        <v>164836</v>
      </c>
      <c r="G100" s="7">
        <f t="shared" si="9"/>
        <v>852.44709999999998</v>
      </c>
      <c r="H100" s="7">
        <f t="shared" si="10"/>
        <v>446.44709999999998</v>
      </c>
      <c r="I100" s="7">
        <f t="shared" si="11"/>
        <v>199315.01309840998</v>
      </c>
    </row>
    <row r="101" spans="2:9">
      <c r="B101" s="8">
        <v>0.93</v>
      </c>
      <c r="C101" s="8">
        <v>324</v>
      </c>
      <c r="D101" s="7">
        <f t="shared" si="6"/>
        <v>301.32</v>
      </c>
      <c r="E101" s="7">
        <f t="shared" si="7"/>
        <v>0.86490000000000011</v>
      </c>
      <c r="F101" s="7">
        <f t="shared" si="8"/>
        <v>104976</v>
      </c>
      <c r="G101" s="7">
        <f t="shared" si="9"/>
        <v>795.99659999999994</v>
      </c>
      <c r="H101" s="7">
        <f t="shared" si="10"/>
        <v>471.9966</v>
      </c>
      <c r="I101" s="7">
        <f t="shared" si="11"/>
        <v>222780.79041156001</v>
      </c>
    </row>
    <row r="102" spans="2:9">
      <c r="B102" s="8">
        <v>0.95</v>
      </c>
      <c r="C102" s="8">
        <v>158</v>
      </c>
      <c r="D102" s="7">
        <f t="shared" si="6"/>
        <v>150.1</v>
      </c>
      <c r="E102" s="7">
        <f t="shared" si="7"/>
        <v>0.90249999999999997</v>
      </c>
      <c r="F102" s="7">
        <f t="shared" si="8"/>
        <v>24964</v>
      </c>
      <c r="G102" s="7">
        <f t="shared" si="9"/>
        <v>739.54610000000002</v>
      </c>
      <c r="H102" s="7">
        <f t="shared" si="10"/>
        <v>581.54610000000002</v>
      </c>
      <c r="I102" s="7">
        <f t="shared" si="11"/>
        <v>338195.86642521003</v>
      </c>
    </row>
    <row r="103" spans="2:9">
      <c r="B103" s="8">
        <v>0.97</v>
      </c>
      <c r="C103" s="8">
        <v>268</v>
      </c>
      <c r="D103" s="7">
        <f t="shared" si="6"/>
        <v>259.95999999999998</v>
      </c>
      <c r="E103" s="7">
        <f t="shared" si="7"/>
        <v>0.94089999999999996</v>
      </c>
      <c r="F103" s="7">
        <f t="shared" si="8"/>
        <v>71824</v>
      </c>
      <c r="G103" s="7">
        <f t="shared" si="9"/>
        <v>683.09559999999999</v>
      </c>
      <c r="H103" s="7">
        <f t="shared" si="10"/>
        <v>415.09559999999999</v>
      </c>
      <c r="I103" s="7">
        <f t="shared" si="11"/>
        <v>172304.35713935999</v>
      </c>
    </row>
    <row r="104" spans="2:9">
      <c r="B104" s="8">
        <v>1</v>
      </c>
      <c r="C104" s="8">
        <v>485</v>
      </c>
      <c r="D104" s="7">
        <f t="shared" si="6"/>
        <v>485</v>
      </c>
      <c r="E104" s="7">
        <f t="shared" si="7"/>
        <v>1</v>
      </c>
      <c r="F104" s="7">
        <f t="shared" si="8"/>
        <v>235225</v>
      </c>
      <c r="G104" s="7">
        <f t="shared" si="9"/>
        <v>598.41980000000001</v>
      </c>
      <c r="H104" s="7">
        <f t="shared" si="10"/>
        <v>113.4198</v>
      </c>
      <c r="I104" s="7">
        <f t="shared" si="11"/>
        <v>12864.051032039999</v>
      </c>
    </row>
    <row r="105" spans="2:9">
      <c r="B105" s="8">
        <v>1.02</v>
      </c>
      <c r="C105" s="8">
        <v>436</v>
      </c>
      <c r="D105" s="7">
        <f t="shared" si="6"/>
        <v>444.72</v>
      </c>
      <c r="E105" s="7">
        <f t="shared" si="7"/>
        <v>1.0404</v>
      </c>
      <c r="F105" s="7">
        <f t="shared" si="8"/>
        <v>190096</v>
      </c>
      <c r="G105" s="7">
        <f t="shared" si="9"/>
        <v>541.96929999999998</v>
      </c>
      <c r="H105" s="7">
        <f t="shared" si="10"/>
        <v>105.9693</v>
      </c>
      <c r="I105" s="7">
        <f t="shared" si="11"/>
        <v>11229.492542490001</v>
      </c>
    </row>
    <row r="106" spans="2:9">
      <c r="B106" s="8">
        <v>1.04</v>
      </c>
      <c r="C106" s="8">
        <v>450</v>
      </c>
      <c r="D106" s="7">
        <f t="shared" si="6"/>
        <v>468</v>
      </c>
      <c r="E106" s="7">
        <f t="shared" si="7"/>
        <v>1.0816000000000001</v>
      </c>
      <c r="F106" s="7">
        <f t="shared" si="8"/>
        <v>202500</v>
      </c>
      <c r="G106" s="7">
        <f t="shared" si="9"/>
        <v>485.5188</v>
      </c>
      <c r="H106" s="7">
        <f t="shared" si="10"/>
        <v>35.518799999999999</v>
      </c>
      <c r="I106" s="7">
        <f t="shared" si="11"/>
        <v>1261.5851534399999</v>
      </c>
    </row>
    <row r="107" spans="2:9">
      <c r="B107" s="8">
        <v>1.05</v>
      </c>
      <c r="C107" s="8">
        <v>469</v>
      </c>
      <c r="D107" s="7">
        <f t="shared" si="6"/>
        <v>492.45000000000005</v>
      </c>
      <c r="E107" s="7">
        <f t="shared" si="7"/>
        <v>1.1025</v>
      </c>
      <c r="F107" s="7">
        <f t="shared" si="8"/>
        <v>219961</v>
      </c>
      <c r="G107" s="7">
        <f t="shared" si="9"/>
        <v>457.29360000000003</v>
      </c>
      <c r="H107" s="7">
        <f t="shared" si="10"/>
        <v>-11.7064</v>
      </c>
      <c r="I107" s="7">
        <f t="shared" si="11"/>
        <v>137.03980096000001</v>
      </c>
    </row>
    <row r="108" spans="2:9">
      <c r="B108" s="8">
        <v>1.06</v>
      </c>
      <c r="C108" s="8">
        <v>334</v>
      </c>
      <c r="D108" s="7">
        <f t="shared" si="6"/>
        <v>354.04</v>
      </c>
      <c r="E108" s="7">
        <f t="shared" si="7"/>
        <v>1.1236000000000002</v>
      </c>
      <c r="F108" s="7">
        <f t="shared" si="8"/>
        <v>111556</v>
      </c>
      <c r="G108" s="7">
        <f t="shared" si="9"/>
        <v>429.06830000000002</v>
      </c>
      <c r="H108" s="7">
        <f t="shared" si="10"/>
        <v>95.068299999999994</v>
      </c>
      <c r="I108" s="7">
        <f t="shared" si="11"/>
        <v>9037.9816648899996</v>
      </c>
    </row>
    <row r="109" spans="2:9">
      <c r="B109" s="8">
        <v>1.07</v>
      </c>
      <c r="C109" s="8">
        <v>199</v>
      </c>
      <c r="D109" s="7">
        <f t="shared" si="6"/>
        <v>212.93</v>
      </c>
      <c r="E109" s="7">
        <f t="shared" si="7"/>
        <v>1.1449</v>
      </c>
      <c r="F109" s="7">
        <f t="shared" si="8"/>
        <v>39601</v>
      </c>
      <c r="G109" s="7">
        <f t="shared" si="9"/>
        <v>400.84309999999999</v>
      </c>
      <c r="H109" s="7">
        <f t="shared" si="10"/>
        <v>201.84309999999999</v>
      </c>
      <c r="I109" s="7">
        <f t="shared" si="11"/>
        <v>40740.637017609995</v>
      </c>
    </row>
    <row r="110" spans="2:9">
      <c r="B110" s="8">
        <v>1.08</v>
      </c>
      <c r="C110" s="8">
        <v>386</v>
      </c>
      <c r="D110" s="7">
        <f t="shared" si="6"/>
        <v>416.88000000000005</v>
      </c>
      <c r="E110" s="7">
        <f t="shared" si="7"/>
        <v>1.1664000000000001</v>
      </c>
      <c r="F110" s="7">
        <f t="shared" si="8"/>
        <v>148996</v>
      </c>
      <c r="G110" s="7">
        <f t="shared" si="9"/>
        <v>372.61779999999999</v>
      </c>
      <c r="H110" s="7">
        <f t="shared" si="10"/>
        <v>-13.382199999999999</v>
      </c>
      <c r="I110" s="7">
        <f t="shared" si="11"/>
        <v>179.08327683999997</v>
      </c>
    </row>
    <row r="111" spans="2:9">
      <c r="B111" s="8">
        <v>1.0900000000000001</v>
      </c>
      <c r="C111" s="8">
        <v>511</v>
      </c>
      <c r="D111" s="7">
        <f t="shared" si="6"/>
        <v>556.99</v>
      </c>
      <c r="E111" s="7">
        <f t="shared" si="7"/>
        <v>1.1881000000000002</v>
      </c>
      <c r="F111" s="7">
        <f t="shared" si="8"/>
        <v>261121</v>
      </c>
      <c r="G111" s="7">
        <f t="shared" si="9"/>
        <v>344.39260000000002</v>
      </c>
      <c r="H111" s="7">
        <f t="shared" si="10"/>
        <v>-166.60740000000001</v>
      </c>
      <c r="I111" s="7">
        <f t="shared" si="11"/>
        <v>27758.025734760005</v>
      </c>
    </row>
    <row r="112" spans="2:9">
      <c r="B112" s="8">
        <v>1.1000000000000001</v>
      </c>
      <c r="C112" s="8">
        <v>451</v>
      </c>
      <c r="D112" s="7">
        <f t="shared" si="6"/>
        <v>496.1</v>
      </c>
      <c r="E112" s="7">
        <f t="shared" si="7"/>
        <v>1.2100000000000002</v>
      </c>
      <c r="F112" s="7">
        <f t="shared" si="8"/>
        <v>203401</v>
      </c>
      <c r="G112" s="7">
        <f t="shared" si="9"/>
        <v>316.16730000000001</v>
      </c>
      <c r="H112" s="7">
        <f t="shared" si="10"/>
        <v>-134.83269999999999</v>
      </c>
      <c r="I112" s="7">
        <f t="shared" si="11"/>
        <v>18179.856989289998</v>
      </c>
    </row>
    <row r="113" spans="1:20">
      <c r="B113" s="8">
        <v>1.1200000000000001</v>
      </c>
      <c r="C113" s="8">
        <v>559</v>
      </c>
      <c r="D113" s="7">
        <f t="shared" si="6"/>
        <v>626.08000000000004</v>
      </c>
      <c r="E113" s="7">
        <f t="shared" si="7"/>
        <v>1.2544000000000002</v>
      </c>
      <c r="F113" s="7">
        <f t="shared" si="8"/>
        <v>312481</v>
      </c>
      <c r="G113" s="7">
        <f t="shared" si="9"/>
        <v>259.71679999999998</v>
      </c>
      <c r="H113" s="7">
        <f t="shared" si="10"/>
        <v>-299.28320000000002</v>
      </c>
      <c r="I113" s="7">
        <f t="shared" si="11"/>
        <v>89570.433802240019</v>
      </c>
    </row>
    <row r="114" spans="1:20">
      <c r="B114" s="8">
        <v>1.1200000000000001</v>
      </c>
      <c r="C114" s="8">
        <v>523</v>
      </c>
      <c r="D114" s="7">
        <f t="shared" si="6"/>
        <v>585.7600000000001</v>
      </c>
      <c r="E114" s="7">
        <f t="shared" si="7"/>
        <v>1.2544000000000002</v>
      </c>
      <c r="F114" s="7">
        <f t="shared" si="8"/>
        <v>273529</v>
      </c>
      <c r="G114" s="7">
        <f t="shared" si="9"/>
        <v>259.71679999999998</v>
      </c>
      <c r="H114" s="7">
        <f t="shared" si="10"/>
        <v>-263.28320000000002</v>
      </c>
      <c r="I114" s="7">
        <f t="shared" si="11"/>
        <v>69318.043402240015</v>
      </c>
    </row>
    <row r="115" spans="1:20">
      <c r="B115" s="8">
        <v>1.1200000000000001</v>
      </c>
      <c r="C115" s="8">
        <v>413</v>
      </c>
      <c r="D115" s="7">
        <f t="shared" si="6"/>
        <v>462.56000000000006</v>
      </c>
      <c r="E115" s="7">
        <f t="shared" si="7"/>
        <v>1.2544000000000002</v>
      </c>
      <c r="F115" s="7">
        <f t="shared" si="8"/>
        <v>170569</v>
      </c>
      <c r="G115" s="7">
        <f t="shared" si="9"/>
        <v>259.71679999999998</v>
      </c>
      <c r="H115" s="7">
        <f t="shared" si="10"/>
        <v>-153.28319999999999</v>
      </c>
      <c r="I115" s="7">
        <f t="shared" si="11"/>
        <v>23495.739402239997</v>
      </c>
    </row>
    <row r="116" spans="1:20">
      <c r="B116" s="8">
        <v>1.1100000000000001</v>
      </c>
      <c r="C116" s="8">
        <v>241</v>
      </c>
      <c r="D116" s="7">
        <f t="shared" si="6"/>
        <v>267.51000000000005</v>
      </c>
      <c r="E116" s="7">
        <f t="shared" si="7"/>
        <v>1.2321000000000002</v>
      </c>
      <c r="F116" s="7">
        <f t="shared" si="8"/>
        <v>58081</v>
      </c>
      <c r="G116" s="7">
        <f t="shared" si="9"/>
        <v>287.94209999999998</v>
      </c>
      <c r="H116" s="7">
        <f t="shared" si="10"/>
        <v>46.942100000000003</v>
      </c>
      <c r="I116" s="7">
        <f t="shared" si="11"/>
        <v>2203.5607524100005</v>
      </c>
    </row>
    <row r="117" spans="1:20">
      <c r="B117" s="8">
        <v>1.1200000000000001</v>
      </c>
      <c r="C117" s="8">
        <v>375</v>
      </c>
      <c r="D117" s="7">
        <f t="shared" si="6"/>
        <v>420.00000000000006</v>
      </c>
      <c r="E117" s="7">
        <f t="shared" si="7"/>
        <v>1.2544000000000002</v>
      </c>
      <c r="F117" s="7">
        <f t="shared" si="8"/>
        <v>140625</v>
      </c>
      <c r="G117" s="7">
        <f t="shared" si="9"/>
        <v>259.71679999999998</v>
      </c>
      <c r="H117" s="7">
        <f t="shared" si="10"/>
        <v>-115.28319999999999</v>
      </c>
      <c r="I117" s="7">
        <f t="shared" si="11"/>
        <v>13290.216202239999</v>
      </c>
    </row>
    <row r="118" spans="1:20">
      <c r="B118" s="8">
        <v>1.1299999999999999</v>
      </c>
      <c r="C118" s="8">
        <v>594</v>
      </c>
      <c r="D118" s="7">
        <f t="shared" si="6"/>
        <v>671.21999999999991</v>
      </c>
      <c r="E118" s="7">
        <f t="shared" si="7"/>
        <v>1.2768999999999997</v>
      </c>
      <c r="F118" s="7">
        <f t="shared" si="8"/>
        <v>352836</v>
      </c>
      <c r="G118" s="7">
        <f t="shared" si="9"/>
        <v>231.49160000000001</v>
      </c>
      <c r="H118" s="7">
        <f t="shared" si="10"/>
        <v>-362.50839999999999</v>
      </c>
      <c r="I118" s="7">
        <f t="shared" si="11"/>
        <v>131412.34007055999</v>
      </c>
    </row>
    <row r="119" spans="1:20">
      <c r="B119" s="8">
        <v>1.1399999999999999</v>
      </c>
      <c r="C119" s="8">
        <v>572</v>
      </c>
      <c r="D119" s="7">
        <f t="shared" si="6"/>
        <v>652.07999999999993</v>
      </c>
      <c r="E119" s="7">
        <f t="shared" si="7"/>
        <v>1.2995999999999999</v>
      </c>
      <c r="F119" s="7">
        <f t="shared" si="8"/>
        <v>327184</v>
      </c>
      <c r="G119" s="7">
        <f t="shared" si="9"/>
        <v>203.2663</v>
      </c>
      <c r="H119" s="7">
        <f t="shared" si="10"/>
        <v>-368.7337</v>
      </c>
      <c r="I119" s="7">
        <f t="shared" si="11"/>
        <v>135964.54151569001</v>
      </c>
    </row>
    <row r="120" spans="1:20">
      <c r="B120" s="8">
        <v>1.1599999999999999</v>
      </c>
      <c r="C120" s="8">
        <v>598</v>
      </c>
      <c r="D120" s="7">
        <f t="shared" si="6"/>
        <v>693.68</v>
      </c>
      <c r="E120" s="7">
        <f t="shared" si="7"/>
        <v>1.3455999999999999</v>
      </c>
      <c r="F120" s="7">
        <f t="shared" si="8"/>
        <v>357604</v>
      </c>
      <c r="G120" s="7">
        <f t="shared" si="9"/>
        <v>146.8158</v>
      </c>
      <c r="H120" s="7">
        <f t="shared" si="10"/>
        <v>-451.18419999999998</v>
      </c>
      <c r="I120" s="7">
        <f t="shared" si="11"/>
        <v>203567.18232963997</v>
      </c>
    </row>
    <row r="121" spans="1:20">
      <c r="B121" s="8">
        <v>1.1599999999999999</v>
      </c>
      <c r="C121" s="8">
        <v>609</v>
      </c>
      <c r="D121" s="7">
        <f t="shared" si="6"/>
        <v>706.43999999999994</v>
      </c>
      <c r="E121" s="7">
        <f t="shared" si="7"/>
        <v>1.3455999999999999</v>
      </c>
      <c r="F121" s="7">
        <f t="shared" si="8"/>
        <v>370881</v>
      </c>
      <c r="G121" s="7">
        <f t="shared" si="9"/>
        <v>146.8158</v>
      </c>
      <c r="H121" s="7">
        <f t="shared" si="10"/>
        <v>-462.18419999999998</v>
      </c>
      <c r="I121" s="7">
        <f t="shared" si="11"/>
        <v>213614.23472963998</v>
      </c>
    </row>
    <row r="122" spans="1:20">
      <c r="B122" s="8">
        <v>1.1599999999999999</v>
      </c>
      <c r="C122" s="8">
        <v>445</v>
      </c>
      <c r="D122" s="7">
        <f t="shared" si="6"/>
        <v>516.19999999999993</v>
      </c>
      <c r="E122" s="7">
        <f t="shared" si="7"/>
        <v>1.3455999999999999</v>
      </c>
      <c r="F122" s="7">
        <f t="shared" si="8"/>
        <v>198025</v>
      </c>
      <c r="G122" s="7">
        <f t="shared" si="9"/>
        <v>146.8158</v>
      </c>
      <c r="H122" s="7">
        <f t="shared" si="10"/>
        <v>-298.18419999999998</v>
      </c>
      <c r="I122" s="7">
        <f t="shared" si="11"/>
        <v>88913.817129639981</v>
      </c>
    </row>
    <row r="123" spans="1:20">
      <c r="B123" s="9">
        <v>1.1599999999999999</v>
      </c>
      <c r="C123" s="9">
        <v>435</v>
      </c>
      <c r="D123" s="4">
        <f t="shared" si="6"/>
        <v>504.59999999999997</v>
      </c>
      <c r="E123" s="7">
        <f t="shared" si="7"/>
        <v>1.3455999999999999</v>
      </c>
      <c r="F123" s="7">
        <f t="shared" si="8"/>
        <v>189225</v>
      </c>
      <c r="G123" s="7">
        <f t="shared" si="9"/>
        <v>146.8158</v>
      </c>
      <c r="H123" s="7">
        <f t="shared" si="10"/>
        <v>-288.18419999999998</v>
      </c>
      <c r="I123" s="7">
        <f t="shared" si="11"/>
        <v>83050.133129639988</v>
      </c>
    </row>
    <row r="124" spans="1:20">
      <c r="A124" s="4" t="s">
        <v>18</v>
      </c>
      <c r="B124" s="4">
        <f t="shared" ref="B124" si="12">SUM(B4:B123)</f>
        <v>99.889999999999986</v>
      </c>
      <c r="C124" s="4">
        <f t="shared" ref="C124:I124" si="13">SUM(C4:C123)</f>
        <v>128577</v>
      </c>
      <c r="D124" s="4">
        <f t="shared" si="13"/>
        <v>90806.080000000016</v>
      </c>
      <c r="E124" s="4">
        <f t="shared" si="13"/>
        <v>88.893900000000031</v>
      </c>
      <c r="F124" s="4">
        <f t="shared" si="13"/>
        <v>423547897</v>
      </c>
      <c r="G124" s="4">
        <f t="shared" si="13"/>
        <v>128571.35649999997</v>
      </c>
      <c r="H124" s="4">
        <f t="shared" si="13"/>
        <v>-5.6435000000029731</v>
      </c>
      <c r="I124" s="4">
        <f t="shared" si="13"/>
        <v>239956884.49773297</v>
      </c>
    </row>
    <row r="125" spans="1:20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</row>
    <row r="126" spans="1:20">
      <c r="B126" s="15"/>
    </row>
    <row r="127" spans="1:20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</row>
    <row r="128" spans="1:20">
      <c r="B128" s="3"/>
      <c r="C128" s="3"/>
      <c r="D128" s="3"/>
      <c r="E128" s="3"/>
      <c r="F128" s="3"/>
      <c r="G128" s="3"/>
      <c r="H128" s="15"/>
    </row>
    <row r="129" spans="2:14">
      <c r="B129" s="2" t="s">
        <v>9</v>
      </c>
      <c r="C129" s="2" t="s">
        <v>10</v>
      </c>
      <c r="D129" s="2" t="s">
        <v>11</v>
      </c>
      <c r="E129" s="2" t="s">
        <v>12</v>
      </c>
      <c r="F129" s="2" t="s">
        <v>13</v>
      </c>
      <c r="G129" s="2"/>
      <c r="H129" s="4"/>
      <c r="I129" s="4"/>
    </row>
    <row r="130" spans="2:14">
      <c r="B130" s="4" t="s">
        <v>4</v>
      </c>
      <c r="C130" s="4" t="s">
        <v>1</v>
      </c>
      <c r="D130" s="4"/>
      <c r="E130" s="2"/>
      <c r="F130" s="4"/>
      <c r="G130" s="4"/>
      <c r="H130" s="4"/>
      <c r="I130" s="4"/>
      <c r="K130" s="80" t="s">
        <v>15</v>
      </c>
      <c r="L130" s="80"/>
      <c r="M130" t="s">
        <v>16</v>
      </c>
    </row>
    <row r="131" spans="2:14">
      <c r="B131" s="15">
        <v>865</v>
      </c>
      <c r="C131" s="7">
        <v>5805</v>
      </c>
      <c r="D131" s="7">
        <f>B131*C131</f>
        <v>5021325</v>
      </c>
      <c r="E131" s="7">
        <f>B131^2</f>
        <v>748225</v>
      </c>
      <c r="F131" s="7">
        <f>C131^2</f>
        <v>33698025</v>
      </c>
      <c r="G131" s="7">
        <f>ROUND($M$178+$M$175*B131,4)</f>
        <v>3606.5551</v>
      </c>
      <c r="H131" s="7">
        <f>ROUND(G131-C131,4)</f>
        <v>-2198.4449</v>
      </c>
      <c r="I131" s="7">
        <f>H131^2</f>
        <v>4833159.9783360101</v>
      </c>
      <c r="K131" s="80" t="s">
        <v>14</v>
      </c>
      <c r="L131" s="80"/>
      <c r="M131" s="80" t="s">
        <v>23</v>
      </c>
      <c r="N131" s="80"/>
    </row>
    <row r="132" spans="2:14">
      <c r="B132" s="15">
        <v>852</v>
      </c>
      <c r="C132" s="8">
        <v>5540</v>
      </c>
      <c r="D132" s="7">
        <f t="shared" ref="D132:D195" si="14">B132*C132</f>
        <v>4720080</v>
      </c>
      <c r="E132" s="7">
        <f t="shared" ref="E132:E195" si="15">B132^2</f>
        <v>725904</v>
      </c>
      <c r="F132" s="7">
        <f t="shared" ref="F132:F195" si="16">C132^2</f>
        <v>30691600</v>
      </c>
      <c r="G132" s="7">
        <f t="shared" ref="G132:G195" si="17">ROUND($M$178+$M$175*B132,4)</f>
        <v>3550.1363999999999</v>
      </c>
      <c r="H132" s="7">
        <f t="shared" ref="H132:H195" si="18">ROUND(G132-C132,4)</f>
        <v>-1989.8635999999999</v>
      </c>
      <c r="I132" s="7">
        <f t="shared" ref="I132:I195" si="19">H132^2</f>
        <v>3959557.1466049599</v>
      </c>
    </row>
    <row r="133" spans="2:14">
      <c r="B133" s="15">
        <v>877</v>
      </c>
      <c r="C133" s="8">
        <v>9083</v>
      </c>
      <c r="D133" s="7">
        <f t="shared" si="14"/>
        <v>7965791</v>
      </c>
      <c r="E133" s="7">
        <f t="shared" si="15"/>
        <v>769129</v>
      </c>
      <c r="F133" s="7">
        <f t="shared" si="16"/>
        <v>82500889</v>
      </c>
      <c r="G133" s="7">
        <f t="shared" si="17"/>
        <v>3658.6338999999998</v>
      </c>
      <c r="H133" s="7">
        <f t="shared" si="18"/>
        <v>-5424.3661000000002</v>
      </c>
      <c r="I133" s="7">
        <f t="shared" si="19"/>
        <v>29423747.586829212</v>
      </c>
    </row>
    <row r="134" spans="2:14">
      <c r="B134" s="15">
        <v>863</v>
      </c>
      <c r="C134" s="8">
        <v>7914</v>
      </c>
      <c r="D134" s="7">
        <f t="shared" si="14"/>
        <v>6829782</v>
      </c>
      <c r="E134" s="7">
        <f t="shared" si="15"/>
        <v>744769</v>
      </c>
      <c r="F134" s="7">
        <f t="shared" si="16"/>
        <v>62631396</v>
      </c>
      <c r="G134" s="7">
        <f t="shared" si="17"/>
        <v>3597.8753000000002</v>
      </c>
      <c r="H134" s="7">
        <f t="shared" si="18"/>
        <v>-4316.1247000000003</v>
      </c>
      <c r="I134" s="7">
        <f t="shared" si="19"/>
        <v>18628932.425950091</v>
      </c>
      <c r="K134" s="80"/>
      <c r="L134" s="80"/>
    </row>
    <row r="135" spans="2:14">
      <c r="B135" s="15">
        <v>904</v>
      </c>
      <c r="C135" s="8">
        <v>6916</v>
      </c>
      <c r="D135" s="7">
        <f t="shared" si="14"/>
        <v>6252064</v>
      </c>
      <c r="E135" s="7">
        <f t="shared" si="15"/>
        <v>817216</v>
      </c>
      <c r="F135" s="7">
        <f t="shared" si="16"/>
        <v>47831056</v>
      </c>
      <c r="G135" s="7">
        <f t="shared" si="17"/>
        <v>3775.8112000000001</v>
      </c>
      <c r="H135" s="7">
        <f t="shared" si="18"/>
        <v>-3140.1887999999999</v>
      </c>
      <c r="I135" s="7">
        <f t="shared" si="19"/>
        <v>9860785.6996454392</v>
      </c>
    </row>
    <row r="136" spans="2:14">
      <c r="B136" s="15">
        <v>891</v>
      </c>
      <c r="C136" s="8">
        <v>6132</v>
      </c>
      <c r="D136" s="7">
        <f t="shared" si="14"/>
        <v>5463612</v>
      </c>
      <c r="E136" s="7">
        <f t="shared" si="15"/>
        <v>793881</v>
      </c>
      <c r="F136" s="7">
        <f t="shared" si="16"/>
        <v>37601424</v>
      </c>
      <c r="G136" s="7">
        <f t="shared" si="17"/>
        <v>3719.3924999999999</v>
      </c>
      <c r="H136" s="7">
        <f t="shared" si="18"/>
        <v>-2412.6075000000001</v>
      </c>
      <c r="I136" s="7">
        <f t="shared" si="19"/>
        <v>5820674.94905625</v>
      </c>
    </row>
    <row r="137" spans="2:14">
      <c r="B137" s="15">
        <v>865</v>
      </c>
      <c r="C137" s="8">
        <v>3508</v>
      </c>
      <c r="D137" s="7">
        <f t="shared" si="14"/>
        <v>3034420</v>
      </c>
      <c r="E137" s="7">
        <f t="shared" si="15"/>
        <v>748225</v>
      </c>
      <c r="F137" s="7">
        <f t="shared" si="16"/>
        <v>12306064</v>
      </c>
      <c r="G137" s="7">
        <f t="shared" si="17"/>
        <v>3606.5551</v>
      </c>
      <c r="H137" s="7">
        <f t="shared" si="18"/>
        <v>98.555099999999996</v>
      </c>
      <c r="I137" s="7">
        <f t="shared" si="19"/>
        <v>9713.1077360099989</v>
      </c>
    </row>
    <row r="138" spans="2:14">
      <c r="B138" s="15">
        <v>877</v>
      </c>
      <c r="C138" s="8">
        <v>2505</v>
      </c>
      <c r="D138" s="7">
        <f t="shared" si="14"/>
        <v>2196885</v>
      </c>
      <c r="E138" s="7">
        <f t="shared" si="15"/>
        <v>769129</v>
      </c>
      <c r="F138" s="7">
        <f t="shared" si="16"/>
        <v>6275025</v>
      </c>
      <c r="G138" s="7">
        <f t="shared" si="17"/>
        <v>3658.6338999999998</v>
      </c>
      <c r="H138" s="7">
        <f t="shared" si="18"/>
        <v>1153.6339</v>
      </c>
      <c r="I138" s="7">
        <f t="shared" si="19"/>
        <v>1330871.1752292102</v>
      </c>
    </row>
    <row r="139" spans="2:14">
      <c r="B139" s="15">
        <v>862</v>
      </c>
      <c r="C139" s="8">
        <v>2583</v>
      </c>
      <c r="D139" s="7">
        <f t="shared" si="14"/>
        <v>2226546</v>
      </c>
      <c r="E139" s="7">
        <f t="shared" si="15"/>
        <v>743044</v>
      </c>
      <c r="F139" s="7">
        <f t="shared" si="16"/>
        <v>6671889</v>
      </c>
      <c r="G139" s="7">
        <f t="shared" si="17"/>
        <v>3593.5354000000002</v>
      </c>
      <c r="H139" s="7">
        <f t="shared" si="18"/>
        <v>1010.5354</v>
      </c>
      <c r="I139" s="7">
        <f t="shared" si="19"/>
        <v>1021181.7946531599</v>
      </c>
    </row>
    <row r="140" spans="2:14">
      <c r="B140" s="15">
        <v>853</v>
      </c>
      <c r="C140" s="8">
        <v>4387</v>
      </c>
      <c r="D140" s="7">
        <f t="shared" si="14"/>
        <v>3742111</v>
      </c>
      <c r="E140" s="7">
        <f t="shared" si="15"/>
        <v>727609</v>
      </c>
      <c r="F140" s="7">
        <f t="shared" si="16"/>
        <v>19245769</v>
      </c>
      <c r="G140" s="7">
        <f t="shared" si="17"/>
        <v>3554.4762999999998</v>
      </c>
      <c r="H140" s="7">
        <f t="shared" si="18"/>
        <v>-832.52369999999996</v>
      </c>
      <c r="I140" s="7">
        <f t="shared" si="19"/>
        <v>693095.71106168989</v>
      </c>
    </row>
    <row r="141" spans="2:14">
      <c r="B141" s="15">
        <v>836</v>
      </c>
      <c r="C141" s="8">
        <v>3480</v>
      </c>
      <c r="D141" s="7">
        <f t="shared" si="14"/>
        <v>2909280</v>
      </c>
      <c r="E141" s="7">
        <f t="shared" si="15"/>
        <v>698896</v>
      </c>
      <c r="F141" s="7">
        <f t="shared" si="16"/>
        <v>12110400</v>
      </c>
      <c r="G141" s="7">
        <f t="shared" si="17"/>
        <v>3480.6979999999999</v>
      </c>
      <c r="H141" s="7">
        <f t="shared" si="18"/>
        <v>0.69799999999999995</v>
      </c>
      <c r="I141" s="7">
        <f t="shared" si="19"/>
        <v>0.48720399999999991</v>
      </c>
    </row>
    <row r="142" spans="2:14">
      <c r="B142" s="15">
        <v>846</v>
      </c>
      <c r="C142" s="8">
        <v>2854</v>
      </c>
      <c r="D142" s="7">
        <f t="shared" si="14"/>
        <v>2414484</v>
      </c>
      <c r="E142" s="7">
        <f t="shared" si="15"/>
        <v>715716</v>
      </c>
      <c r="F142" s="7">
        <f t="shared" si="16"/>
        <v>8145316</v>
      </c>
      <c r="G142" s="7">
        <f t="shared" si="17"/>
        <v>3524.0970000000002</v>
      </c>
      <c r="H142" s="7">
        <f t="shared" si="18"/>
        <v>670.09699999999998</v>
      </c>
      <c r="I142" s="7">
        <f t="shared" si="19"/>
        <v>449029.98940899997</v>
      </c>
    </row>
    <row r="143" spans="2:14">
      <c r="B143" s="15">
        <v>803</v>
      </c>
      <c r="C143" s="8">
        <v>2856</v>
      </c>
      <c r="D143" s="7">
        <f t="shared" si="14"/>
        <v>2293368</v>
      </c>
      <c r="E143" s="7">
        <f t="shared" si="15"/>
        <v>644809</v>
      </c>
      <c r="F143" s="7">
        <f t="shared" si="16"/>
        <v>8156736</v>
      </c>
      <c r="G143" s="7">
        <f t="shared" si="17"/>
        <v>3337.4812999999999</v>
      </c>
      <c r="H143" s="7">
        <f t="shared" si="18"/>
        <v>481.48129999999998</v>
      </c>
      <c r="I143" s="7">
        <f t="shared" si="19"/>
        <v>231824.24224968997</v>
      </c>
    </row>
    <row r="144" spans="2:14">
      <c r="B144" s="15">
        <v>795</v>
      </c>
      <c r="C144" s="8">
        <v>1677</v>
      </c>
      <c r="D144" s="7">
        <f t="shared" si="14"/>
        <v>1333215</v>
      </c>
      <c r="E144" s="7">
        <f t="shared" si="15"/>
        <v>632025</v>
      </c>
      <c r="F144" s="7">
        <f t="shared" si="16"/>
        <v>2812329</v>
      </c>
      <c r="G144" s="7">
        <f t="shared" si="17"/>
        <v>3302.7620999999999</v>
      </c>
      <c r="H144" s="7">
        <f t="shared" si="18"/>
        <v>1625.7620999999999</v>
      </c>
      <c r="I144" s="7">
        <f t="shared" si="19"/>
        <v>2643102.4057964096</v>
      </c>
    </row>
    <row r="145" spans="2:15">
      <c r="B145" s="15">
        <v>784</v>
      </c>
      <c r="C145" s="8">
        <v>1303</v>
      </c>
      <c r="D145" s="7">
        <f t="shared" si="14"/>
        <v>1021552</v>
      </c>
      <c r="E145" s="7">
        <f t="shared" si="15"/>
        <v>614656</v>
      </c>
      <c r="F145" s="7">
        <f t="shared" si="16"/>
        <v>1697809</v>
      </c>
      <c r="G145" s="7">
        <f t="shared" si="17"/>
        <v>3255.0232000000001</v>
      </c>
      <c r="H145" s="7">
        <f t="shared" si="18"/>
        <v>1952.0232000000001</v>
      </c>
      <c r="I145" s="7">
        <f t="shared" si="19"/>
        <v>3810394.5733382404</v>
      </c>
    </row>
    <row r="146" spans="2:15">
      <c r="B146" s="15">
        <v>752</v>
      </c>
      <c r="C146" s="8">
        <v>1502</v>
      </c>
      <c r="D146" s="7">
        <f t="shared" si="14"/>
        <v>1129504</v>
      </c>
      <c r="E146" s="7">
        <f t="shared" si="15"/>
        <v>565504</v>
      </c>
      <c r="F146" s="7">
        <f t="shared" si="16"/>
        <v>2256004</v>
      </c>
      <c r="G146" s="7">
        <f t="shared" si="17"/>
        <v>3116.1464000000001</v>
      </c>
      <c r="H146" s="7">
        <f t="shared" si="18"/>
        <v>1614.1464000000001</v>
      </c>
      <c r="I146" s="7">
        <f t="shared" si="19"/>
        <v>2605468.6006329604</v>
      </c>
    </row>
    <row r="147" spans="2:15">
      <c r="B147" s="15">
        <v>719</v>
      </c>
      <c r="C147" s="8">
        <v>2324</v>
      </c>
      <c r="D147" s="7">
        <f t="shared" si="14"/>
        <v>1670956</v>
      </c>
      <c r="E147" s="7">
        <f t="shared" si="15"/>
        <v>516961</v>
      </c>
      <c r="F147" s="7">
        <f t="shared" si="16"/>
        <v>5400976</v>
      </c>
      <c r="G147" s="7">
        <f t="shared" si="17"/>
        <v>2972.9297000000001</v>
      </c>
      <c r="H147" s="7">
        <f t="shared" si="18"/>
        <v>648.92970000000003</v>
      </c>
      <c r="I147" s="7">
        <f t="shared" si="19"/>
        <v>421109.75554209005</v>
      </c>
    </row>
    <row r="148" spans="2:15">
      <c r="B148" s="15">
        <v>688</v>
      </c>
      <c r="C148" s="8">
        <v>1944</v>
      </c>
      <c r="D148" s="7">
        <f t="shared" si="14"/>
        <v>1337472</v>
      </c>
      <c r="E148" s="7">
        <f t="shared" si="15"/>
        <v>473344</v>
      </c>
      <c r="F148" s="7">
        <f t="shared" si="16"/>
        <v>3779136</v>
      </c>
      <c r="G148" s="7">
        <f t="shared" si="17"/>
        <v>2838.3928000000001</v>
      </c>
      <c r="H148" s="7">
        <f t="shared" si="18"/>
        <v>894.39279999999997</v>
      </c>
      <c r="I148" s="7">
        <f t="shared" si="19"/>
        <v>799938.48069183994</v>
      </c>
    </row>
    <row r="149" spans="2:15">
      <c r="B149" s="15">
        <v>669</v>
      </c>
      <c r="C149" s="8">
        <v>1940</v>
      </c>
      <c r="D149" s="7">
        <f t="shared" si="14"/>
        <v>1297860</v>
      </c>
      <c r="E149" s="7">
        <f t="shared" si="15"/>
        <v>447561</v>
      </c>
      <c r="F149" s="7">
        <f t="shared" si="16"/>
        <v>3763600</v>
      </c>
      <c r="G149" s="7">
        <f t="shared" si="17"/>
        <v>2755.9346999999998</v>
      </c>
      <c r="H149" s="7">
        <f t="shared" si="18"/>
        <v>815.93470000000002</v>
      </c>
      <c r="I149" s="7">
        <f t="shared" si="19"/>
        <v>665749.43466409005</v>
      </c>
    </row>
    <row r="150" spans="2:15">
      <c r="B150" s="15">
        <v>656</v>
      </c>
      <c r="C150" s="8">
        <v>1570</v>
      </c>
      <c r="D150" s="7">
        <f t="shared" si="14"/>
        <v>1029920</v>
      </c>
      <c r="E150" s="7">
        <f t="shared" si="15"/>
        <v>430336</v>
      </c>
      <c r="F150" s="7">
        <f t="shared" si="16"/>
        <v>2464900</v>
      </c>
      <c r="G150" s="7">
        <f t="shared" si="17"/>
        <v>2699.5160000000001</v>
      </c>
      <c r="H150" s="7">
        <f t="shared" si="18"/>
        <v>1129.5160000000001</v>
      </c>
      <c r="I150" s="7">
        <f t="shared" si="19"/>
        <v>1275806.3942560002</v>
      </c>
    </row>
    <row r="151" spans="2:15">
      <c r="B151" s="15">
        <v>638</v>
      </c>
      <c r="C151" s="8">
        <v>1186</v>
      </c>
      <c r="D151" s="7">
        <f t="shared" si="14"/>
        <v>756668</v>
      </c>
      <c r="E151" s="7">
        <f t="shared" si="15"/>
        <v>407044</v>
      </c>
      <c r="F151" s="7">
        <f t="shared" si="16"/>
        <v>1406596</v>
      </c>
      <c r="G151" s="7">
        <f t="shared" si="17"/>
        <v>2621.3978000000002</v>
      </c>
      <c r="H151" s="7">
        <f t="shared" si="18"/>
        <v>1435.3978</v>
      </c>
      <c r="I151" s="7">
        <f t="shared" si="19"/>
        <v>2060366.8442448399</v>
      </c>
      <c r="K151" t="s">
        <v>19</v>
      </c>
      <c r="L151" s="11">
        <f>COUNT(B131,B132:B250)</f>
        <v>120</v>
      </c>
    </row>
    <row r="152" spans="2:15">
      <c r="B152" s="15">
        <v>627</v>
      </c>
      <c r="C152" s="8">
        <v>549</v>
      </c>
      <c r="D152" s="7">
        <f t="shared" si="14"/>
        <v>344223</v>
      </c>
      <c r="E152" s="7">
        <f t="shared" si="15"/>
        <v>393129</v>
      </c>
      <c r="F152" s="7">
        <f t="shared" si="16"/>
        <v>301401</v>
      </c>
      <c r="G152" s="7">
        <f t="shared" si="17"/>
        <v>2573.6588999999999</v>
      </c>
      <c r="H152" s="7">
        <f t="shared" si="18"/>
        <v>2024.6588999999999</v>
      </c>
      <c r="I152" s="7">
        <f t="shared" si="19"/>
        <v>4099243.6613492095</v>
      </c>
      <c r="K152" t="s">
        <v>20</v>
      </c>
      <c r="L152">
        <f>ROUND(AVERAGE(B131:B250),4)</f>
        <v>280.86669999999998</v>
      </c>
    </row>
    <row r="153" spans="2:15">
      <c r="B153" s="15">
        <v>597</v>
      </c>
      <c r="C153" s="8">
        <v>1032</v>
      </c>
      <c r="D153" s="7">
        <f t="shared" si="14"/>
        <v>616104</v>
      </c>
      <c r="E153" s="7">
        <f t="shared" si="15"/>
        <v>356409</v>
      </c>
      <c r="F153" s="7">
        <f t="shared" si="16"/>
        <v>1065024</v>
      </c>
      <c r="G153" s="7">
        <f t="shared" si="17"/>
        <v>2443.4618999999998</v>
      </c>
      <c r="H153" s="7">
        <f t="shared" si="18"/>
        <v>1411.4619</v>
      </c>
      <c r="I153" s="7">
        <f t="shared" si="19"/>
        <v>1992224.6951516101</v>
      </c>
      <c r="K153" t="s">
        <v>21</v>
      </c>
      <c r="L153">
        <f>ROUND(AVERAGE(C131:C250),4)</f>
        <v>1071.4749999999999</v>
      </c>
    </row>
    <row r="154" spans="2:15">
      <c r="B154" s="15">
        <v>567</v>
      </c>
      <c r="C154" s="8">
        <v>1480</v>
      </c>
      <c r="D154" s="7">
        <f t="shared" si="14"/>
        <v>839160</v>
      </c>
      <c r="E154" s="7">
        <f t="shared" si="15"/>
        <v>321489</v>
      </c>
      <c r="F154" s="7">
        <f t="shared" si="16"/>
        <v>2190400</v>
      </c>
      <c r="G154" s="7">
        <f t="shared" si="17"/>
        <v>2313.2649000000001</v>
      </c>
      <c r="H154" s="7">
        <f t="shared" si="18"/>
        <v>833.26490000000001</v>
      </c>
      <c r="I154" s="7">
        <f t="shared" si="19"/>
        <v>694330.39357200998</v>
      </c>
    </row>
    <row r="155" spans="2:15">
      <c r="B155" s="15">
        <v>536</v>
      </c>
      <c r="C155" s="8">
        <v>1160</v>
      </c>
      <c r="D155" s="7">
        <f t="shared" si="14"/>
        <v>621760</v>
      </c>
      <c r="E155" s="7">
        <f t="shared" si="15"/>
        <v>287296</v>
      </c>
      <c r="F155" s="7">
        <f t="shared" si="16"/>
        <v>1345600</v>
      </c>
      <c r="G155" s="7">
        <f t="shared" si="17"/>
        <v>2178.7280000000001</v>
      </c>
      <c r="H155" s="7">
        <f t="shared" si="18"/>
        <v>1018.728</v>
      </c>
      <c r="I155" s="7">
        <f t="shared" si="19"/>
        <v>1037806.7379839999</v>
      </c>
    </row>
    <row r="156" spans="2:15">
      <c r="B156" s="15">
        <v>522</v>
      </c>
      <c r="C156" s="8">
        <v>1027</v>
      </c>
      <c r="D156" s="7">
        <f t="shared" si="14"/>
        <v>536094</v>
      </c>
      <c r="E156" s="7">
        <f t="shared" si="15"/>
        <v>272484</v>
      </c>
      <c r="F156" s="7">
        <f t="shared" si="16"/>
        <v>1054729</v>
      </c>
      <c r="G156" s="7">
        <f t="shared" si="17"/>
        <v>2117.9694</v>
      </c>
      <c r="H156" s="7">
        <f t="shared" si="18"/>
        <v>1090.9694</v>
      </c>
      <c r="I156" s="7">
        <f t="shared" si="19"/>
        <v>1190214.2317363599</v>
      </c>
      <c r="N156" t="s">
        <v>22</v>
      </c>
      <c r="O156">
        <f>D251-(L151*L152*L153)</f>
        <v>39414665.314100005</v>
      </c>
    </row>
    <row r="157" spans="2:15">
      <c r="B157" s="15">
        <v>492</v>
      </c>
      <c r="C157" s="8">
        <v>1071</v>
      </c>
      <c r="D157" s="7">
        <f t="shared" si="14"/>
        <v>526932</v>
      </c>
      <c r="E157" s="7">
        <f t="shared" si="15"/>
        <v>242064</v>
      </c>
      <c r="F157" s="7">
        <f t="shared" si="16"/>
        <v>1147041</v>
      </c>
      <c r="G157" s="7">
        <f t="shared" si="17"/>
        <v>1987.7724000000001</v>
      </c>
      <c r="H157" s="7">
        <f t="shared" si="18"/>
        <v>916.77239999999995</v>
      </c>
      <c r="I157" s="7">
        <f t="shared" si="19"/>
        <v>840471.6334017599</v>
      </c>
    </row>
    <row r="158" spans="2:15">
      <c r="B158" s="15">
        <v>484</v>
      </c>
      <c r="C158" s="8">
        <v>718</v>
      </c>
      <c r="D158" s="7">
        <f t="shared" si="14"/>
        <v>347512</v>
      </c>
      <c r="E158" s="7">
        <f t="shared" si="15"/>
        <v>234256</v>
      </c>
      <c r="F158" s="7">
        <f t="shared" si="16"/>
        <v>515524</v>
      </c>
      <c r="G158" s="7">
        <f t="shared" si="17"/>
        <v>1953.0532000000001</v>
      </c>
      <c r="H158" s="7">
        <f t="shared" si="18"/>
        <v>1235.0532000000001</v>
      </c>
      <c r="I158" s="7">
        <f t="shared" si="19"/>
        <v>1525356.40683024</v>
      </c>
    </row>
    <row r="159" spans="2:15">
      <c r="B159" s="15">
        <v>469</v>
      </c>
      <c r="C159" s="8">
        <v>394</v>
      </c>
      <c r="D159" s="7">
        <f t="shared" si="14"/>
        <v>184786</v>
      </c>
      <c r="E159" s="7">
        <f t="shared" si="15"/>
        <v>219961</v>
      </c>
      <c r="F159" s="7">
        <f t="shared" si="16"/>
        <v>155236</v>
      </c>
      <c r="G159" s="7">
        <f t="shared" si="17"/>
        <v>1887.9547</v>
      </c>
      <c r="H159" s="7">
        <f t="shared" si="18"/>
        <v>1493.9547</v>
      </c>
      <c r="I159" s="7">
        <f t="shared" si="19"/>
        <v>2231900.6456520902</v>
      </c>
    </row>
    <row r="160" spans="2:15">
      <c r="B160" s="15">
        <v>446</v>
      </c>
      <c r="C160" s="8">
        <v>691</v>
      </c>
      <c r="D160" s="7">
        <f t="shared" si="14"/>
        <v>308186</v>
      </c>
      <c r="E160" s="7">
        <f t="shared" si="15"/>
        <v>198916</v>
      </c>
      <c r="F160" s="7">
        <f t="shared" si="16"/>
        <v>477481</v>
      </c>
      <c r="G160" s="7">
        <f t="shared" si="17"/>
        <v>1788.1369999999999</v>
      </c>
      <c r="H160" s="7">
        <f t="shared" si="18"/>
        <v>1097.1369999999999</v>
      </c>
      <c r="I160" s="7">
        <f t="shared" si="19"/>
        <v>1203709.5967689999</v>
      </c>
      <c r="N160" t="s">
        <v>22</v>
      </c>
      <c r="O160">
        <f>E251-(L151*(L152^2))</f>
        <v>9081977.6197332013</v>
      </c>
    </row>
    <row r="161" spans="2:18">
      <c r="B161" s="15">
        <v>415</v>
      </c>
      <c r="C161" s="8">
        <v>979</v>
      </c>
      <c r="D161" s="7">
        <f t="shared" si="14"/>
        <v>406285</v>
      </c>
      <c r="E161" s="7">
        <f t="shared" si="15"/>
        <v>172225</v>
      </c>
      <c r="F161" s="7">
        <f t="shared" si="16"/>
        <v>958441</v>
      </c>
      <c r="G161" s="7">
        <f t="shared" si="17"/>
        <v>1653.6001000000001</v>
      </c>
      <c r="H161" s="7">
        <f t="shared" si="18"/>
        <v>674.6001</v>
      </c>
      <c r="I161" s="7">
        <f t="shared" si="19"/>
        <v>455085.29492000997</v>
      </c>
    </row>
    <row r="162" spans="2:18">
      <c r="B162" s="15">
        <v>399</v>
      </c>
      <c r="C162" s="8">
        <v>830</v>
      </c>
      <c r="D162" s="7">
        <f t="shared" si="14"/>
        <v>331170</v>
      </c>
      <c r="E162" s="7">
        <f t="shared" si="15"/>
        <v>159201</v>
      </c>
      <c r="F162" s="7">
        <f t="shared" si="16"/>
        <v>688900</v>
      </c>
      <c r="G162" s="7">
        <f t="shared" si="17"/>
        <v>1584.1617000000001</v>
      </c>
      <c r="H162" s="7">
        <f t="shared" si="18"/>
        <v>754.1617</v>
      </c>
      <c r="I162" s="7">
        <f t="shared" si="19"/>
        <v>568759.86974689004</v>
      </c>
    </row>
    <row r="163" spans="2:18">
      <c r="B163" s="15">
        <v>383</v>
      </c>
      <c r="C163" s="8">
        <v>949</v>
      </c>
      <c r="D163" s="7">
        <f t="shared" si="14"/>
        <v>363467</v>
      </c>
      <c r="E163" s="7">
        <f t="shared" si="15"/>
        <v>146689</v>
      </c>
      <c r="F163" s="7">
        <f t="shared" si="16"/>
        <v>900601</v>
      </c>
      <c r="G163" s="7">
        <f t="shared" si="17"/>
        <v>1514.7233000000001</v>
      </c>
      <c r="H163" s="7">
        <f t="shared" si="18"/>
        <v>565.72329999999999</v>
      </c>
      <c r="I163" s="7">
        <f t="shared" si="19"/>
        <v>320042.85216289002</v>
      </c>
      <c r="N163" t="s">
        <v>22</v>
      </c>
      <c r="O163">
        <f>ROUND((F251-(L151*(L153^2))),4)</f>
        <v>285780855.92500001</v>
      </c>
    </row>
    <row r="164" spans="2:18">
      <c r="B164" s="15">
        <v>363</v>
      </c>
      <c r="C164" s="8">
        <v>1007</v>
      </c>
      <c r="D164" s="7">
        <f t="shared" si="14"/>
        <v>365541</v>
      </c>
      <c r="E164" s="7">
        <f t="shared" si="15"/>
        <v>131769</v>
      </c>
      <c r="F164" s="7">
        <f t="shared" si="16"/>
        <v>1014049</v>
      </c>
      <c r="G164" s="7">
        <f t="shared" si="17"/>
        <v>1427.9253000000001</v>
      </c>
      <c r="H164" s="7">
        <f t="shared" si="18"/>
        <v>420.92529999999999</v>
      </c>
      <c r="I164" s="7">
        <f t="shared" si="19"/>
        <v>177178.10818009</v>
      </c>
    </row>
    <row r="165" spans="2:18">
      <c r="B165" s="15">
        <v>354</v>
      </c>
      <c r="C165" s="8">
        <v>682</v>
      </c>
      <c r="D165" s="7">
        <f t="shared" si="14"/>
        <v>241428</v>
      </c>
      <c r="E165" s="7">
        <f t="shared" si="15"/>
        <v>125316</v>
      </c>
      <c r="F165" s="7">
        <f t="shared" si="16"/>
        <v>465124</v>
      </c>
      <c r="G165" s="7">
        <f t="shared" si="17"/>
        <v>1388.8661999999999</v>
      </c>
      <c r="H165" s="7">
        <f t="shared" si="18"/>
        <v>706.86620000000005</v>
      </c>
      <c r="I165" s="7">
        <f t="shared" si="19"/>
        <v>499659.82470244006</v>
      </c>
    </row>
    <row r="166" spans="2:18">
      <c r="B166" s="15">
        <v>342</v>
      </c>
      <c r="C166" s="8">
        <v>365</v>
      </c>
      <c r="D166" s="7">
        <f t="shared" si="14"/>
        <v>124830</v>
      </c>
      <c r="E166" s="7">
        <f t="shared" si="15"/>
        <v>116964</v>
      </c>
      <c r="F166" s="7">
        <f t="shared" si="16"/>
        <v>133225</v>
      </c>
      <c r="G166" s="7">
        <f t="shared" si="17"/>
        <v>1336.7873999999999</v>
      </c>
      <c r="H166" s="7">
        <f t="shared" si="18"/>
        <v>971.78740000000005</v>
      </c>
      <c r="I166" s="7">
        <f t="shared" si="19"/>
        <v>944370.7507987601</v>
      </c>
      <c r="O166" s="15"/>
      <c r="P166" s="15"/>
      <c r="Q166" s="15"/>
      <c r="R166" s="15"/>
    </row>
    <row r="167" spans="2:18">
      <c r="B167" s="15">
        <v>312</v>
      </c>
      <c r="C167" s="8">
        <v>847</v>
      </c>
      <c r="D167" s="7">
        <f t="shared" si="14"/>
        <v>264264</v>
      </c>
      <c r="E167" s="7">
        <f t="shared" si="15"/>
        <v>97344</v>
      </c>
      <c r="F167" s="7">
        <f t="shared" si="16"/>
        <v>717409</v>
      </c>
      <c r="G167" s="7">
        <f t="shared" si="17"/>
        <v>1206.5904</v>
      </c>
      <c r="H167" s="7">
        <f t="shared" si="18"/>
        <v>359.59039999999999</v>
      </c>
      <c r="I167" s="7">
        <f t="shared" si="19"/>
        <v>129305.25577215999</v>
      </c>
      <c r="M167" t="s">
        <v>22</v>
      </c>
      <c r="N167">
        <f>O156/(SQRT(O160)*SQRT(O163))</f>
        <v>0.77366163843896285</v>
      </c>
      <c r="O167" s="15"/>
      <c r="P167" s="15"/>
      <c r="Q167" s="15">
        <f>N167^2</f>
        <v>0.59855233079206049</v>
      </c>
      <c r="R167" s="15"/>
    </row>
    <row r="168" spans="2:18">
      <c r="B168" s="15">
        <v>283</v>
      </c>
      <c r="C168" s="8">
        <v>642</v>
      </c>
      <c r="D168" s="7">
        <f t="shared" si="14"/>
        <v>181686</v>
      </c>
      <c r="E168" s="7">
        <f t="shared" si="15"/>
        <v>80089</v>
      </c>
      <c r="F168" s="7">
        <f t="shared" si="16"/>
        <v>412164</v>
      </c>
      <c r="G168" s="7">
        <f t="shared" si="17"/>
        <v>1080.7333000000001</v>
      </c>
      <c r="H168" s="7">
        <f t="shared" si="18"/>
        <v>438.73329999999999</v>
      </c>
      <c r="I168" s="7">
        <f t="shared" si="19"/>
        <v>192486.90852889</v>
      </c>
      <c r="O168" s="15"/>
      <c r="P168" s="15"/>
      <c r="Q168" s="15"/>
      <c r="R168" s="15"/>
    </row>
    <row r="169" spans="2:18">
      <c r="B169" s="15">
        <v>273</v>
      </c>
      <c r="C169" s="8">
        <v>627</v>
      </c>
      <c r="D169" s="7">
        <f t="shared" si="14"/>
        <v>171171</v>
      </c>
      <c r="E169" s="7">
        <f t="shared" si="15"/>
        <v>74529</v>
      </c>
      <c r="F169" s="7">
        <f t="shared" si="16"/>
        <v>393129</v>
      </c>
      <c r="G169" s="7">
        <f t="shared" si="17"/>
        <v>1037.3343</v>
      </c>
      <c r="H169" s="7">
        <f t="shared" si="18"/>
        <v>410.33429999999998</v>
      </c>
      <c r="I169" s="7">
        <f t="shared" si="19"/>
        <v>168374.23775648998</v>
      </c>
    </row>
    <row r="170" spans="2:18">
      <c r="B170" s="15">
        <v>266</v>
      </c>
      <c r="C170" s="8">
        <v>577</v>
      </c>
      <c r="D170" s="7">
        <f t="shared" si="14"/>
        <v>153482</v>
      </c>
      <c r="E170" s="7">
        <f t="shared" si="15"/>
        <v>70756</v>
      </c>
      <c r="F170" s="7">
        <f t="shared" si="16"/>
        <v>332929</v>
      </c>
      <c r="G170" s="7">
        <f t="shared" si="17"/>
        <v>1006.955</v>
      </c>
      <c r="H170" s="7">
        <f t="shared" si="18"/>
        <v>429.95499999999998</v>
      </c>
      <c r="I170" s="7">
        <f t="shared" si="19"/>
        <v>184861.30202499998</v>
      </c>
    </row>
    <row r="171" spans="2:18">
      <c r="B171" s="15">
        <v>253</v>
      </c>
      <c r="C171" s="8">
        <v>564</v>
      </c>
      <c r="D171" s="7">
        <f t="shared" si="14"/>
        <v>142692</v>
      </c>
      <c r="E171" s="7">
        <f t="shared" si="15"/>
        <v>64009</v>
      </c>
      <c r="F171" s="7">
        <f t="shared" si="16"/>
        <v>318096</v>
      </c>
      <c r="G171" s="7">
        <f t="shared" si="17"/>
        <v>950.53629999999998</v>
      </c>
      <c r="H171" s="7">
        <f t="shared" si="18"/>
        <v>386.53629999999998</v>
      </c>
      <c r="I171" s="7">
        <f t="shared" si="19"/>
        <v>149410.31121768997</v>
      </c>
    </row>
    <row r="172" spans="2:18">
      <c r="B172" s="15">
        <v>242</v>
      </c>
      <c r="C172" s="8">
        <v>541</v>
      </c>
      <c r="D172" s="7">
        <f t="shared" si="14"/>
        <v>130922</v>
      </c>
      <c r="E172" s="7">
        <f t="shared" si="15"/>
        <v>58564</v>
      </c>
      <c r="F172" s="7">
        <f t="shared" si="16"/>
        <v>292681</v>
      </c>
      <c r="G172" s="7">
        <f t="shared" si="17"/>
        <v>902.79740000000004</v>
      </c>
      <c r="H172" s="7">
        <f t="shared" si="18"/>
        <v>361.79739999999998</v>
      </c>
      <c r="I172" s="7">
        <f t="shared" si="19"/>
        <v>130897.35864675998</v>
      </c>
    </row>
    <row r="173" spans="2:18">
      <c r="B173" s="15">
        <v>231</v>
      </c>
      <c r="C173" s="8">
        <v>256</v>
      </c>
      <c r="D173" s="7">
        <f t="shared" si="14"/>
        <v>59136</v>
      </c>
      <c r="E173" s="7">
        <f t="shared" si="15"/>
        <v>53361</v>
      </c>
      <c r="F173" s="7">
        <f t="shared" si="16"/>
        <v>65536</v>
      </c>
      <c r="G173" s="7">
        <f t="shared" si="17"/>
        <v>855.05849999999998</v>
      </c>
      <c r="H173" s="7">
        <f t="shared" si="18"/>
        <v>599.05849999999998</v>
      </c>
      <c r="I173" s="7">
        <f t="shared" si="19"/>
        <v>358871.08642224997</v>
      </c>
    </row>
    <row r="174" spans="2:18">
      <c r="B174" s="15">
        <v>213</v>
      </c>
      <c r="C174" s="8">
        <v>384</v>
      </c>
      <c r="D174" s="7">
        <f t="shared" si="14"/>
        <v>81792</v>
      </c>
      <c r="E174" s="7">
        <f t="shared" si="15"/>
        <v>45369</v>
      </c>
      <c r="F174" s="7">
        <f t="shared" si="16"/>
        <v>147456</v>
      </c>
      <c r="G174" s="7">
        <f t="shared" si="17"/>
        <v>776.94029999999998</v>
      </c>
      <c r="H174" s="7">
        <f t="shared" si="18"/>
        <v>392.94029999999998</v>
      </c>
      <c r="I174" s="7">
        <f t="shared" si="19"/>
        <v>154402.07936408999</v>
      </c>
    </row>
    <row r="175" spans="2:18">
      <c r="B175" s="15">
        <v>205</v>
      </c>
      <c r="C175" s="8">
        <v>673</v>
      </c>
      <c r="D175" s="7">
        <f t="shared" si="14"/>
        <v>137965</v>
      </c>
      <c r="E175" s="7">
        <f t="shared" si="15"/>
        <v>42025</v>
      </c>
      <c r="F175" s="7">
        <f t="shared" si="16"/>
        <v>452929</v>
      </c>
      <c r="G175" s="7">
        <f t="shared" si="17"/>
        <v>742.22109999999998</v>
      </c>
      <c r="H175" s="7">
        <f t="shared" si="18"/>
        <v>69.221100000000007</v>
      </c>
      <c r="I175" s="7">
        <f t="shared" si="19"/>
        <v>4791.5606852100009</v>
      </c>
      <c r="L175" t="s">
        <v>22</v>
      </c>
      <c r="M175">
        <f>ROUND((O156/O160),4)</f>
        <v>4.3399000000000001</v>
      </c>
    </row>
    <row r="176" spans="2:18">
      <c r="B176" s="15">
        <v>187</v>
      </c>
      <c r="C176" s="8">
        <v>485</v>
      </c>
      <c r="D176" s="7">
        <f t="shared" si="14"/>
        <v>90695</v>
      </c>
      <c r="E176" s="7">
        <f t="shared" si="15"/>
        <v>34969</v>
      </c>
      <c r="F176" s="7">
        <f t="shared" si="16"/>
        <v>235225</v>
      </c>
      <c r="G176" s="7">
        <f t="shared" si="17"/>
        <v>664.10289999999998</v>
      </c>
      <c r="H176" s="7">
        <f t="shared" si="18"/>
        <v>179.10290000000001</v>
      </c>
      <c r="I176" s="7">
        <f t="shared" si="19"/>
        <v>32077.848788410003</v>
      </c>
    </row>
    <row r="177" spans="2:24">
      <c r="B177" s="15">
        <v>182</v>
      </c>
      <c r="C177" s="8">
        <v>568</v>
      </c>
      <c r="D177" s="7">
        <f t="shared" si="14"/>
        <v>103376</v>
      </c>
      <c r="E177" s="7">
        <f t="shared" si="15"/>
        <v>33124</v>
      </c>
      <c r="F177" s="7">
        <f t="shared" si="16"/>
        <v>322624</v>
      </c>
      <c r="G177" s="7">
        <f t="shared" si="17"/>
        <v>642.40340000000003</v>
      </c>
      <c r="H177" s="7">
        <f t="shared" si="18"/>
        <v>74.403400000000005</v>
      </c>
      <c r="I177" s="7">
        <f t="shared" si="19"/>
        <v>5535.8659315600007</v>
      </c>
    </row>
    <row r="178" spans="2:24">
      <c r="B178" s="15">
        <v>170</v>
      </c>
      <c r="C178" s="8">
        <v>457</v>
      </c>
      <c r="D178" s="7">
        <f t="shared" si="14"/>
        <v>77690</v>
      </c>
      <c r="E178" s="7">
        <f t="shared" si="15"/>
        <v>28900</v>
      </c>
      <c r="F178" s="7">
        <f t="shared" si="16"/>
        <v>208849</v>
      </c>
      <c r="G178" s="7">
        <f t="shared" si="17"/>
        <v>590.32460000000003</v>
      </c>
      <c r="H178" s="7">
        <f t="shared" si="18"/>
        <v>133.3246</v>
      </c>
      <c r="I178" s="7">
        <f t="shared" si="19"/>
        <v>17775.448965160002</v>
      </c>
      <c r="L178" t="s">
        <v>22</v>
      </c>
      <c r="M178">
        <f>ROUND((L153-(M175*L152)),4)</f>
        <v>-147.45840000000001</v>
      </c>
    </row>
    <row r="179" spans="2:24">
      <c r="B179" s="15">
        <v>170</v>
      </c>
      <c r="C179" s="8">
        <v>450</v>
      </c>
      <c r="D179" s="7">
        <f t="shared" si="14"/>
        <v>76500</v>
      </c>
      <c r="E179" s="7">
        <f t="shared" si="15"/>
        <v>28900</v>
      </c>
      <c r="F179" s="7">
        <f t="shared" si="16"/>
        <v>202500</v>
      </c>
      <c r="G179" s="7">
        <f t="shared" si="17"/>
        <v>590.32460000000003</v>
      </c>
      <c r="H179" s="7">
        <f t="shared" si="18"/>
        <v>140.3246</v>
      </c>
      <c r="I179" s="7">
        <f t="shared" si="19"/>
        <v>19690.99336516</v>
      </c>
    </row>
    <row r="180" spans="2:24">
      <c r="B180" s="15">
        <v>165</v>
      </c>
      <c r="C180" s="8">
        <v>248</v>
      </c>
      <c r="D180" s="7">
        <f t="shared" si="14"/>
        <v>40920</v>
      </c>
      <c r="E180" s="7">
        <f t="shared" si="15"/>
        <v>27225</v>
      </c>
      <c r="F180" s="7">
        <f t="shared" si="16"/>
        <v>61504</v>
      </c>
      <c r="G180" s="7">
        <f t="shared" si="17"/>
        <v>568.62509999999997</v>
      </c>
      <c r="H180" s="7">
        <f t="shared" si="18"/>
        <v>320.62509999999997</v>
      </c>
      <c r="I180" s="7">
        <f t="shared" si="19"/>
        <v>102800.45475000999</v>
      </c>
    </row>
    <row r="181" spans="2:24">
      <c r="B181" s="15">
        <v>159</v>
      </c>
      <c r="C181" s="8">
        <v>434</v>
      </c>
      <c r="D181" s="7">
        <f t="shared" si="14"/>
        <v>69006</v>
      </c>
      <c r="E181" s="7">
        <f t="shared" si="15"/>
        <v>25281</v>
      </c>
      <c r="F181" s="7">
        <f t="shared" si="16"/>
        <v>188356</v>
      </c>
      <c r="G181" s="7">
        <f t="shared" si="17"/>
        <v>542.58569999999997</v>
      </c>
      <c r="H181" s="7">
        <f t="shared" si="18"/>
        <v>108.5857</v>
      </c>
      <c r="I181" s="7">
        <f t="shared" si="19"/>
        <v>11790.854244490001</v>
      </c>
    </row>
    <row r="182" spans="2:24">
      <c r="B182" s="15">
        <v>155</v>
      </c>
      <c r="C182" s="8">
        <v>575</v>
      </c>
      <c r="D182" s="7">
        <f t="shared" si="14"/>
        <v>89125</v>
      </c>
      <c r="E182" s="7">
        <f t="shared" si="15"/>
        <v>24025</v>
      </c>
      <c r="F182" s="7">
        <f t="shared" si="16"/>
        <v>330625</v>
      </c>
      <c r="G182" s="7">
        <f t="shared" si="17"/>
        <v>525.22609999999997</v>
      </c>
      <c r="H182" s="7">
        <f t="shared" si="18"/>
        <v>-49.773899999999998</v>
      </c>
      <c r="I182" s="7">
        <f t="shared" si="19"/>
        <v>2477.4411212099999</v>
      </c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</row>
    <row r="183" spans="2:24">
      <c r="B183" s="15">
        <v>154</v>
      </c>
      <c r="C183" s="8">
        <v>423</v>
      </c>
      <c r="D183" s="7">
        <f t="shared" si="14"/>
        <v>65142</v>
      </c>
      <c r="E183" s="7">
        <f t="shared" si="15"/>
        <v>23716</v>
      </c>
      <c r="F183" s="7">
        <f t="shared" si="16"/>
        <v>178929</v>
      </c>
      <c r="G183" s="7">
        <f t="shared" si="17"/>
        <v>520.88620000000003</v>
      </c>
      <c r="H183" s="7">
        <f t="shared" si="18"/>
        <v>97.886200000000002</v>
      </c>
      <c r="I183" s="7">
        <f t="shared" si="19"/>
        <v>9581.7081504400012</v>
      </c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</row>
    <row r="184" spans="2:24">
      <c r="B184" s="15">
        <v>155</v>
      </c>
      <c r="C184" s="8">
        <v>488</v>
      </c>
      <c r="D184" s="7">
        <f t="shared" si="14"/>
        <v>75640</v>
      </c>
      <c r="E184" s="7">
        <f t="shared" si="15"/>
        <v>24025</v>
      </c>
      <c r="F184" s="7">
        <f t="shared" si="16"/>
        <v>238144</v>
      </c>
      <c r="G184" s="7">
        <f t="shared" si="17"/>
        <v>525.22609999999997</v>
      </c>
      <c r="H184" s="7">
        <f t="shared" si="18"/>
        <v>37.226100000000002</v>
      </c>
      <c r="I184" s="7">
        <f t="shared" si="19"/>
        <v>1385.7825212100001</v>
      </c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</row>
    <row r="185" spans="2:24">
      <c r="B185" s="15">
        <v>148</v>
      </c>
      <c r="C185" s="8">
        <v>344</v>
      </c>
      <c r="D185" s="7">
        <f t="shared" si="14"/>
        <v>50912</v>
      </c>
      <c r="E185" s="7">
        <f t="shared" si="15"/>
        <v>21904</v>
      </c>
      <c r="F185" s="7">
        <f t="shared" si="16"/>
        <v>118336</v>
      </c>
      <c r="G185" s="7">
        <f t="shared" si="17"/>
        <v>494.84679999999997</v>
      </c>
      <c r="H185" s="7">
        <f t="shared" si="18"/>
        <v>150.8468</v>
      </c>
      <c r="I185" s="7">
        <f t="shared" si="19"/>
        <v>22754.757070240001</v>
      </c>
      <c r="J185" s="77"/>
      <c r="K185" s="38" t="s">
        <v>41</v>
      </c>
      <c r="L185" s="33">
        <f>ROUND(O163-N185*O156,4)</f>
        <v>114725149.92829999</v>
      </c>
      <c r="M185" s="38"/>
      <c r="N185" s="33">
        <f>M175</f>
        <v>4.3399000000000001</v>
      </c>
      <c r="O185" s="77"/>
      <c r="P185" s="77"/>
      <c r="Q185" s="77"/>
      <c r="R185" s="77"/>
      <c r="S185" s="77"/>
      <c r="T185" s="77"/>
      <c r="U185" s="77"/>
      <c r="V185" s="77"/>
      <c r="W185" s="77"/>
      <c r="X185" s="77"/>
    </row>
    <row r="186" spans="2:24">
      <c r="B186" s="15">
        <v>142</v>
      </c>
      <c r="C186" s="8">
        <v>365</v>
      </c>
      <c r="D186" s="7">
        <f t="shared" si="14"/>
        <v>51830</v>
      </c>
      <c r="E186" s="7">
        <f t="shared" si="15"/>
        <v>20164</v>
      </c>
      <c r="F186" s="7">
        <f t="shared" si="16"/>
        <v>133225</v>
      </c>
      <c r="G186" s="7">
        <f t="shared" si="17"/>
        <v>468.80739999999997</v>
      </c>
      <c r="H186" s="7">
        <f t="shared" si="18"/>
        <v>103.8074</v>
      </c>
      <c r="I186" s="7">
        <f t="shared" si="19"/>
        <v>10775.976294760001</v>
      </c>
      <c r="J186" s="77"/>
      <c r="K186" s="36" t="s">
        <v>42</v>
      </c>
      <c r="L186" s="26">
        <f>ROUND((O156^2)/O160,4)</f>
        <v>171054797.40970001</v>
      </c>
      <c r="M186" s="77"/>
      <c r="N186" s="26"/>
      <c r="O186" s="77"/>
      <c r="P186" s="77"/>
      <c r="Q186" s="77"/>
      <c r="R186" s="77"/>
      <c r="S186" s="77"/>
      <c r="T186" s="77"/>
      <c r="U186" s="77"/>
      <c r="V186" s="77"/>
      <c r="W186" s="77"/>
      <c r="X186" s="77"/>
    </row>
    <row r="187" spans="2:24">
      <c r="B187" s="15">
        <v>136</v>
      </c>
      <c r="C187" s="8">
        <v>309</v>
      </c>
      <c r="D187" s="7">
        <f t="shared" si="14"/>
        <v>42024</v>
      </c>
      <c r="E187" s="7">
        <f t="shared" si="15"/>
        <v>18496</v>
      </c>
      <c r="F187" s="7">
        <f t="shared" si="16"/>
        <v>95481</v>
      </c>
      <c r="G187" s="7">
        <f t="shared" si="17"/>
        <v>442.76799999999997</v>
      </c>
      <c r="H187" s="7">
        <f t="shared" si="18"/>
        <v>133.768</v>
      </c>
      <c r="I187" s="7">
        <f t="shared" si="19"/>
        <v>17893.877823999999</v>
      </c>
      <c r="J187" s="77"/>
      <c r="K187" s="36" t="s">
        <v>43</v>
      </c>
      <c r="L187" s="26">
        <f>O163</f>
        <v>285780855.92500001</v>
      </c>
      <c r="M187" s="77"/>
      <c r="N187" s="26">
        <f>M178</f>
        <v>-147.45840000000001</v>
      </c>
      <c r="O187" s="77"/>
      <c r="P187" s="77"/>
      <c r="Q187" s="77"/>
      <c r="R187" s="77"/>
      <c r="S187" s="77"/>
      <c r="T187" s="77"/>
      <c r="U187" s="77"/>
      <c r="V187" s="77"/>
      <c r="W187" s="77"/>
      <c r="X187" s="77"/>
    </row>
    <row r="188" spans="2:24">
      <c r="B188" s="15">
        <v>129</v>
      </c>
      <c r="C188" s="8">
        <v>388</v>
      </c>
      <c r="D188" s="7">
        <f t="shared" si="14"/>
        <v>50052</v>
      </c>
      <c r="E188" s="7">
        <f t="shared" si="15"/>
        <v>16641</v>
      </c>
      <c r="F188" s="7">
        <f t="shared" si="16"/>
        <v>150544</v>
      </c>
      <c r="G188" s="7">
        <f t="shared" si="17"/>
        <v>412.38869999999997</v>
      </c>
      <c r="H188" s="7">
        <f t="shared" si="18"/>
        <v>24.3887</v>
      </c>
      <c r="I188" s="7">
        <f t="shared" si="19"/>
        <v>594.80868769000006</v>
      </c>
      <c r="J188" s="77"/>
      <c r="K188" s="36" t="s">
        <v>59</v>
      </c>
      <c r="L188" s="26">
        <f>ROUND(SQRT(L185/(L151-2)),4)</f>
        <v>986.02589999999998</v>
      </c>
      <c r="M188" s="77"/>
      <c r="N188" s="26"/>
      <c r="O188" s="77"/>
      <c r="P188" s="77"/>
      <c r="Q188" s="77"/>
      <c r="R188" s="77"/>
      <c r="S188" s="77"/>
      <c r="T188" s="77"/>
      <c r="U188" s="77"/>
      <c r="V188" s="77"/>
      <c r="W188" s="77"/>
      <c r="X188" s="77"/>
    </row>
    <row r="189" spans="2:24" ht="13.5" thickBot="1">
      <c r="B189" s="15">
        <v>127</v>
      </c>
      <c r="C189" s="8">
        <v>618</v>
      </c>
      <c r="D189" s="7">
        <f t="shared" si="14"/>
        <v>78486</v>
      </c>
      <c r="E189" s="7">
        <f t="shared" si="15"/>
        <v>16129</v>
      </c>
      <c r="F189" s="7">
        <f t="shared" si="16"/>
        <v>381924</v>
      </c>
      <c r="G189" s="7">
        <f t="shared" si="17"/>
        <v>403.70890000000003</v>
      </c>
      <c r="H189" s="7">
        <f t="shared" si="18"/>
        <v>-214.2911</v>
      </c>
      <c r="I189" s="7">
        <f t="shared" si="19"/>
        <v>45920.675539210002</v>
      </c>
      <c r="J189" s="77"/>
      <c r="K189" s="37"/>
      <c r="L189" s="27"/>
      <c r="M189" s="37"/>
      <c r="N189" s="27">
        <f>ROUND(N185*SQRT(O160/O163),4)</f>
        <v>0.77370000000000005</v>
      </c>
      <c r="O189" s="77"/>
      <c r="P189" s="77"/>
      <c r="Q189" s="77"/>
      <c r="R189" s="77"/>
      <c r="S189" s="77"/>
      <c r="T189" s="77"/>
      <c r="U189" s="77"/>
      <c r="V189" s="77"/>
      <c r="W189" s="77"/>
      <c r="X189" s="77"/>
    </row>
    <row r="190" spans="2:24">
      <c r="B190" s="15">
        <v>129</v>
      </c>
      <c r="C190" s="8">
        <v>592</v>
      </c>
      <c r="D190" s="7">
        <f t="shared" si="14"/>
        <v>76368</v>
      </c>
      <c r="E190" s="7">
        <f t="shared" si="15"/>
        <v>16641</v>
      </c>
      <c r="F190" s="7">
        <f t="shared" si="16"/>
        <v>350464</v>
      </c>
      <c r="G190" s="7">
        <f t="shared" si="17"/>
        <v>412.38869999999997</v>
      </c>
      <c r="H190" s="7">
        <f t="shared" si="18"/>
        <v>-179.6113</v>
      </c>
      <c r="I190" s="7">
        <f t="shared" si="19"/>
        <v>32260.219087689999</v>
      </c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</row>
    <row r="191" spans="2:24" ht="13.5" thickBot="1">
      <c r="B191" s="15">
        <v>131</v>
      </c>
      <c r="C191" s="8">
        <v>548</v>
      </c>
      <c r="D191" s="7">
        <f t="shared" si="14"/>
        <v>71788</v>
      </c>
      <c r="E191" s="7">
        <f t="shared" si="15"/>
        <v>17161</v>
      </c>
      <c r="F191" s="7">
        <f t="shared" si="16"/>
        <v>300304</v>
      </c>
      <c r="G191" s="7">
        <f t="shared" si="17"/>
        <v>421.06849999999997</v>
      </c>
      <c r="H191" s="7">
        <f t="shared" si="18"/>
        <v>-126.9315</v>
      </c>
      <c r="I191" s="7">
        <f t="shared" si="19"/>
        <v>16111.605692249999</v>
      </c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</row>
    <row r="192" spans="2:24">
      <c r="B192" s="15">
        <v>126</v>
      </c>
      <c r="C192" s="8">
        <v>280</v>
      </c>
      <c r="D192" s="7">
        <f t="shared" si="14"/>
        <v>35280</v>
      </c>
      <c r="E192" s="7">
        <f t="shared" si="15"/>
        <v>15876</v>
      </c>
      <c r="F192" s="7">
        <f t="shared" si="16"/>
        <v>78400</v>
      </c>
      <c r="G192" s="7">
        <f t="shared" si="17"/>
        <v>399.36900000000003</v>
      </c>
      <c r="H192" s="7">
        <f t="shared" si="18"/>
        <v>119.369</v>
      </c>
      <c r="I192" s="7">
        <f t="shared" si="19"/>
        <v>14248.958161</v>
      </c>
      <c r="J192" s="77"/>
      <c r="K192" s="20"/>
      <c r="L192" s="20" t="s">
        <v>55</v>
      </c>
      <c r="M192" s="20" t="s">
        <v>48</v>
      </c>
      <c r="N192" s="20" t="s">
        <v>49</v>
      </c>
      <c r="O192" s="20" t="s">
        <v>50</v>
      </c>
      <c r="P192" s="20" t="s">
        <v>51</v>
      </c>
      <c r="Q192" s="77"/>
      <c r="R192" s="77"/>
      <c r="S192" s="77"/>
      <c r="T192" s="77"/>
      <c r="U192" s="77"/>
      <c r="V192" s="77"/>
      <c r="W192" s="77"/>
      <c r="X192" s="77"/>
    </row>
    <row r="193" spans="2:24">
      <c r="B193" s="15">
        <v>117</v>
      </c>
      <c r="C193" s="8">
        <v>193</v>
      </c>
      <c r="D193" s="7">
        <f t="shared" si="14"/>
        <v>22581</v>
      </c>
      <c r="E193" s="7">
        <f t="shared" si="15"/>
        <v>13689</v>
      </c>
      <c r="F193" s="7">
        <f t="shared" si="16"/>
        <v>37249</v>
      </c>
      <c r="G193" s="7">
        <f t="shared" si="17"/>
        <v>360.30990000000003</v>
      </c>
      <c r="H193" s="7">
        <f t="shared" si="18"/>
        <v>167.3099</v>
      </c>
      <c r="I193" s="7">
        <f t="shared" si="19"/>
        <v>27992.602638010001</v>
      </c>
      <c r="J193" s="77"/>
      <c r="K193" s="76" t="s">
        <v>56</v>
      </c>
      <c r="L193" s="18" t="s">
        <v>45</v>
      </c>
      <c r="M193" s="18">
        <v>1</v>
      </c>
      <c r="N193" s="18">
        <f>L186</f>
        <v>171054797.40970001</v>
      </c>
      <c r="O193" s="18">
        <f>N193/M193</f>
        <v>171054797.40970001</v>
      </c>
      <c r="P193" s="18">
        <f>O193/O194</f>
        <v>175.93758741617967</v>
      </c>
      <c r="Q193" s="77"/>
      <c r="R193" s="77"/>
      <c r="S193" s="77"/>
      <c r="T193" s="77"/>
      <c r="U193" s="77"/>
      <c r="V193" s="77"/>
      <c r="W193" s="77"/>
      <c r="X193" s="77"/>
    </row>
    <row r="194" spans="2:24">
      <c r="B194" s="15">
        <v>112</v>
      </c>
      <c r="C194" s="8">
        <v>159</v>
      </c>
      <c r="D194" s="7">
        <f t="shared" si="14"/>
        <v>17808</v>
      </c>
      <c r="E194" s="7">
        <f t="shared" si="15"/>
        <v>12544</v>
      </c>
      <c r="F194" s="7">
        <f t="shared" si="16"/>
        <v>25281</v>
      </c>
      <c r="G194" s="7">
        <f t="shared" si="17"/>
        <v>338.61040000000003</v>
      </c>
      <c r="H194" s="7">
        <f t="shared" si="18"/>
        <v>179.6104</v>
      </c>
      <c r="I194" s="7">
        <f t="shared" si="19"/>
        <v>32259.89578816</v>
      </c>
      <c r="J194" s="77"/>
      <c r="K194" s="76" t="s">
        <v>57</v>
      </c>
      <c r="L194" s="18" t="s">
        <v>46</v>
      </c>
      <c r="M194" s="77">
        <v>118</v>
      </c>
      <c r="N194" s="18">
        <f>L185</f>
        <v>114725149.92829999</v>
      </c>
      <c r="O194" s="18">
        <f>N194/M194</f>
        <v>972247.03329067794</v>
      </c>
      <c r="P194" s="18"/>
      <c r="Q194" s="77"/>
      <c r="R194" s="77"/>
      <c r="S194" s="77"/>
      <c r="T194" s="77"/>
      <c r="U194" s="77"/>
      <c r="V194" s="77"/>
      <c r="W194" s="77"/>
      <c r="X194" s="77"/>
    </row>
    <row r="195" spans="2:24" ht="13.5" thickBot="1">
      <c r="B195" s="15">
        <v>113</v>
      </c>
      <c r="C195" s="8">
        <v>874</v>
      </c>
      <c r="D195" s="7">
        <f t="shared" si="14"/>
        <v>98762</v>
      </c>
      <c r="E195" s="7">
        <f t="shared" si="15"/>
        <v>12769</v>
      </c>
      <c r="F195" s="7">
        <f t="shared" si="16"/>
        <v>763876</v>
      </c>
      <c r="G195" s="7">
        <f t="shared" si="17"/>
        <v>342.95030000000003</v>
      </c>
      <c r="H195" s="7">
        <f t="shared" si="18"/>
        <v>-531.04970000000003</v>
      </c>
      <c r="I195" s="7">
        <f t="shared" si="19"/>
        <v>282013.78387009003</v>
      </c>
      <c r="J195" s="77"/>
      <c r="K195" s="24" t="s">
        <v>58</v>
      </c>
      <c r="L195" s="19" t="s">
        <v>47</v>
      </c>
      <c r="M195" s="28">
        <v>119</v>
      </c>
      <c r="N195" s="19">
        <f>L187</f>
        <v>285780855.92500001</v>
      </c>
      <c r="O195" s="19"/>
      <c r="P195" s="19"/>
      <c r="Q195" s="77"/>
      <c r="R195" s="77"/>
      <c r="S195" s="77"/>
      <c r="T195" s="77"/>
      <c r="U195" s="77"/>
      <c r="V195" s="77"/>
      <c r="W195" s="77"/>
      <c r="X195" s="77"/>
    </row>
    <row r="196" spans="2:24">
      <c r="B196" s="15">
        <v>116</v>
      </c>
      <c r="C196" s="8">
        <v>663</v>
      </c>
      <c r="D196" s="7">
        <f t="shared" ref="D196:D250" si="20">B196*C196</f>
        <v>76908</v>
      </c>
      <c r="E196" s="7">
        <f t="shared" ref="E196:E250" si="21">B196^2</f>
        <v>13456</v>
      </c>
      <c r="F196" s="7">
        <f t="shared" ref="F196:F250" si="22">C196^2</f>
        <v>439569</v>
      </c>
      <c r="G196" s="7">
        <f t="shared" ref="G196:G250" si="23">ROUND($M$178+$M$175*B196,4)</f>
        <v>355.97</v>
      </c>
      <c r="H196" s="7">
        <f t="shared" ref="H196:H250" si="24">ROUND(G196-C196,4)</f>
        <v>-307.02999999999997</v>
      </c>
      <c r="I196" s="7">
        <f t="shared" ref="I196:I250" si="25">H196^2</f>
        <v>94267.420899999983</v>
      </c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</row>
    <row r="197" spans="2:24">
      <c r="B197" s="15">
        <v>122</v>
      </c>
      <c r="C197" s="8">
        <v>602</v>
      </c>
      <c r="D197" s="7">
        <f t="shared" si="20"/>
        <v>73444</v>
      </c>
      <c r="E197" s="7">
        <f t="shared" si="21"/>
        <v>14884</v>
      </c>
      <c r="F197" s="7">
        <f t="shared" si="22"/>
        <v>362404</v>
      </c>
      <c r="G197" s="7">
        <f t="shared" si="23"/>
        <v>382.00940000000003</v>
      </c>
      <c r="H197" s="7">
        <f t="shared" si="24"/>
        <v>-219.9906</v>
      </c>
      <c r="I197" s="7">
        <f t="shared" si="25"/>
        <v>48395.864088360002</v>
      </c>
      <c r="J197" s="77"/>
      <c r="K197" s="73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</row>
    <row r="198" spans="2:24">
      <c r="B198" s="15">
        <v>128</v>
      </c>
      <c r="C198" s="8">
        <v>694</v>
      </c>
      <c r="D198" s="7">
        <f t="shared" si="20"/>
        <v>88832</v>
      </c>
      <c r="E198" s="7">
        <f t="shared" si="21"/>
        <v>16384</v>
      </c>
      <c r="F198" s="7">
        <f t="shared" si="22"/>
        <v>481636</v>
      </c>
      <c r="G198" s="7">
        <f t="shared" si="23"/>
        <v>408.04880000000003</v>
      </c>
      <c r="H198" s="7">
        <f t="shared" si="24"/>
        <v>-285.95119999999997</v>
      </c>
      <c r="I198" s="7">
        <f t="shared" si="25"/>
        <v>81768.08878143999</v>
      </c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</row>
    <row r="199" spans="2:24">
      <c r="B199" s="15">
        <v>119</v>
      </c>
      <c r="C199" s="8">
        <v>601</v>
      </c>
      <c r="D199" s="7">
        <f t="shared" si="20"/>
        <v>71519</v>
      </c>
      <c r="E199" s="7">
        <f t="shared" si="21"/>
        <v>14161</v>
      </c>
      <c r="F199" s="7">
        <f t="shared" si="22"/>
        <v>361201</v>
      </c>
      <c r="G199" s="7">
        <f t="shared" si="23"/>
        <v>368.98970000000003</v>
      </c>
      <c r="H199" s="7">
        <f t="shared" si="24"/>
        <v>-232.0103</v>
      </c>
      <c r="I199" s="7">
        <f t="shared" si="25"/>
        <v>53828.77930609</v>
      </c>
      <c r="J199" s="77"/>
      <c r="K199" s="14"/>
      <c r="L199" s="14"/>
      <c r="M199" s="14"/>
      <c r="N199" s="14"/>
      <c r="O199" s="14"/>
      <c r="P199" s="77"/>
      <c r="Q199" s="77"/>
      <c r="R199" s="77"/>
      <c r="S199" s="77"/>
      <c r="T199" s="77"/>
      <c r="U199" s="77"/>
      <c r="V199" s="77"/>
      <c r="W199" s="77"/>
      <c r="X199" s="77"/>
    </row>
    <row r="200" spans="2:24">
      <c r="B200" s="15">
        <v>113</v>
      </c>
      <c r="C200" s="8">
        <v>566</v>
      </c>
      <c r="D200" s="7">
        <f t="shared" si="20"/>
        <v>63958</v>
      </c>
      <c r="E200" s="7">
        <f t="shared" si="21"/>
        <v>12769</v>
      </c>
      <c r="F200" s="7">
        <f t="shared" si="22"/>
        <v>320356</v>
      </c>
      <c r="G200" s="7">
        <f t="shared" si="23"/>
        <v>342.95030000000003</v>
      </c>
      <c r="H200" s="7">
        <f t="shared" si="24"/>
        <v>-223.0497</v>
      </c>
      <c r="I200" s="7">
        <f t="shared" si="25"/>
        <v>49751.168670090003</v>
      </c>
      <c r="J200" s="77"/>
      <c r="K200" s="29" t="s">
        <v>80</v>
      </c>
      <c r="L200" s="14">
        <v>0.05</v>
      </c>
      <c r="M200" s="14"/>
      <c r="N200" s="14"/>
      <c r="O200" s="14"/>
      <c r="P200" s="77"/>
      <c r="Q200" s="77"/>
      <c r="R200" s="77"/>
      <c r="S200" s="77"/>
      <c r="T200" s="77"/>
      <c r="U200" s="77"/>
      <c r="V200" s="77"/>
      <c r="W200" s="77"/>
      <c r="X200" s="77"/>
    </row>
    <row r="201" spans="2:24">
      <c r="B201" s="15">
        <v>119</v>
      </c>
      <c r="C201" s="8">
        <v>271</v>
      </c>
      <c r="D201" s="7">
        <f t="shared" si="20"/>
        <v>32249</v>
      </c>
      <c r="E201" s="7">
        <f t="shared" si="21"/>
        <v>14161</v>
      </c>
      <c r="F201" s="7">
        <f t="shared" si="22"/>
        <v>73441</v>
      </c>
      <c r="G201" s="7">
        <f t="shared" si="23"/>
        <v>368.98970000000003</v>
      </c>
      <c r="H201" s="7">
        <f t="shared" si="24"/>
        <v>97.989699999999999</v>
      </c>
      <c r="I201" s="7">
        <f t="shared" si="25"/>
        <v>9601.9813060899996</v>
      </c>
      <c r="J201" s="77"/>
      <c r="K201" s="14"/>
      <c r="L201" s="14"/>
      <c r="M201" s="14"/>
      <c r="N201" s="14"/>
      <c r="O201" s="14"/>
      <c r="P201" s="77"/>
      <c r="Q201" s="77"/>
      <c r="R201" s="77"/>
      <c r="S201" s="77"/>
      <c r="T201" s="77"/>
      <c r="U201" s="77"/>
      <c r="V201" s="77"/>
      <c r="W201" s="77"/>
      <c r="X201" s="77"/>
    </row>
    <row r="202" spans="2:24">
      <c r="B202" s="15">
        <v>118</v>
      </c>
      <c r="C202" s="8">
        <v>408</v>
      </c>
      <c r="D202" s="7">
        <f t="shared" si="20"/>
        <v>48144</v>
      </c>
      <c r="E202" s="7">
        <f t="shared" si="21"/>
        <v>13924</v>
      </c>
      <c r="F202" s="7">
        <f t="shared" si="22"/>
        <v>166464</v>
      </c>
      <c r="G202" s="7">
        <f t="shared" si="23"/>
        <v>364.64980000000003</v>
      </c>
      <c r="H202" s="7">
        <f t="shared" si="24"/>
        <v>-43.350200000000001</v>
      </c>
      <c r="I202" s="7">
        <f t="shared" si="25"/>
        <v>1879.23984004</v>
      </c>
      <c r="J202" s="77"/>
      <c r="K202" s="14"/>
      <c r="L202" s="14"/>
      <c r="M202" s="14"/>
      <c r="N202" s="14"/>
      <c r="O202" s="14"/>
      <c r="P202" s="77"/>
      <c r="Q202" s="77"/>
      <c r="R202" s="77"/>
      <c r="S202" s="77"/>
      <c r="T202" s="77"/>
      <c r="U202" s="77"/>
      <c r="V202" s="77"/>
      <c r="W202" s="77"/>
      <c r="X202" s="77"/>
    </row>
    <row r="203" spans="2:24">
      <c r="B203" s="15">
        <v>116</v>
      </c>
      <c r="C203" s="8">
        <v>684</v>
      </c>
      <c r="D203" s="7">
        <f t="shared" si="20"/>
        <v>79344</v>
      </c>
      <c r="E203" s="7">
        <f t="shared" si="21"/>
        <v>13456</v>
      </c>
      <c r="F203" s="7">
        <f t="shared" si="22"/>
        <v>467856</v>
      </c>
      <c r="G203" s="7">
        <f t="shared" si="23"/>
        <v>355.97</v>
      </c>
      <c r="H203" s="7">
        <f t="shared" si="24"/>
        <v>-328.03</v>
      </c>
      <c r="I203" s="7">
        <f t="shared" si="25"/>
        <v>107603.68089999998</v>
      </c>
      <c r="J203" s="77"/>
      <c r="K203" s="14"/>
      <c r="L203" s="14"/>
      <c r="M203" s="14"/>
      <c r="N203" s="14"/>
      <c r="O203" s="14"/>
      <c r="P203" s="77"/>
      <c r="Q203" s="77"/>
      <c r="R203" s="77"/>
      <c r="S203" s="77"/>
      <c r="T203" s="77"/>
      <c r="U203" s="77"/>
      <c r="V203" s="77"/>
      <c r="W203" s="77"/>
      <c r="X203" s="77"/>
    </row>
    <row r="204" spans="2:24">
      <c r="B204" s="15">
        <v>109</v>
      </c>
      <c r="C204" s="8">
        <v>501</v>
      </c>
      <c r="D204" s="7">
        <f t="shared" si="20"/>
        <v>54609</v>
      </c>
      <c r="E204" s="7">
        <f t="shared" si="21"/>
        <v>11881</v>
      </c>
      <c r="F204" s="7">
        <f t="shared" si="22"/>
        <v>251001</v>
      </c>
      <c r="G204" s="7">
        <f t="shared" si="23"/>
        <v>325.59070000000003</v>
      </c>
      <c r="H204" s="7">
        <f t="shared" si="24"/>
        <v>-175.4093</v>
      </c>
      <c r="I204" s="7">
        <f t="shared" si="25"/>
        <v>30768.422526490001</v>
      </c>
      <c r="J204" s="77"/>
      <c r="K204" s="29" t="s">
        <v>133</v>
      </c>
      <c r="L204" s="14">
        <f>P193</f>
        <v>175.93758741617967</v>
      </c>
      <c r="M204" s="14"/>
      <c r="N204" s="14"/>
      <c r="O204" s="14"/>
      <c r="P204" s="77"/>
      <c r="Q204" s="77"/>
      <c r="R204" s="77"/>
      <c r="S204" s="77"/>
      <c r="T204" s="77"/>
      <c r="U204" s="77"/>
      <c r="V204" s="77"/>
      <c r="W204" s="77"/>
      <c r="X204" s="77"/>
    </row>
    <row r="205" spans="2:24">
      <c r="B205" s="15">
        <v>101</v>
      </c>
      <c r="C205" s="8">
        <v>553</v>
      </c>
      <c r="D205" s="7">
        <f t="shared" si="20"/>
        <v>55853</v>
      </c>
      <c r="E205" s="7">
        <f t="shared" si="21"/>
        <v>10201</v>
      </c>
      <c r="F205" s="7">
        <f t="shared" si="22"/>
        <v>305809</v>
      </c>
      <c r="G205" s="7">
        <f t="shared" si="23"/>
        <v>290.87150000000003</v>
      </c>
      <c r="H205" s="7">
        <f t="shared" si="24"/>
        <v>-262.12849999999997</v>
      </c>
      <c r="I205" s="7">
        <f t="shared" si="25"/>
        <v>68711.350512249992</v>
      </c>
      <c r="J205" s="77"/>
      <c r="K205" s="14"/>
      <c r="L205" s="14"/>
      <c r="M205" s="14"/>
      <c r="N205" s="14"/>
      <c r="O205" s="14"/>
      <c r="P205" s="77"/>
      <c r="Q205" s="77"/>
      <c r="R205" s="77"/>
      <c r="S205" s="77"/>
      <c r="T205" s="77"/>
      <c r="U205" s="77"/>
      <c r="V205" s="77"/>
      <c r="W205" s="77"/>
      <c r="X205" s="77"/>
    </row>
    <row r="206" spans="2:24">
      <c r="B206" s="15">
        <v>103</v>
      </c>
      <c r="C206" s="8">
        <v>649</v>
      </c>
      <c r="D206" s="7">
        <f t="shared" si="20"/>
        <v>66847</v>
      </c>
      <c r="E206" s="7">
        <f t="shared" si="21"/>
        <v>10609</v>
      </c>
      <c r="F206" s="7">
        <f t="shared" si="22"/>
        <v>421201</v>
      </c>
      <c r="G206" s="7">
        <f t="shared" si="23"/>
        <v>299.55130000000003</v>
      </c>
      <c r="H206" s="7">
        <f t="shared" si="24"/>
        <v>-349.44869999999997</v>
      </c>
      <c r="I206" s="7">
        <f t="shared" si="25"/>
        <v>122114.39393168998</v>
      </c>
      <c r="J206" s="77"/>
      <c r="K206" s="14"/>
      <c r="L206" s="14"/>
      <c r="M206" s="14"/>
      <c r="N206" s="14"/>
      <c r="O206" s="14"/>
      <c r="P206" s="77"/>
      <c r="Q206" s="77"/>
      <c r="R206" s="77"/>
      <c r="S206" s="77"/>
      <c r="T206" s="77"/>
      <c r="U206" s="77"/>
      <c r="V206" s="77"/>
      <c r="W206" s="77"/>
      <c r="X206" s="77"/>
    </row>
    <row r="207" spans="2:24">
      <c r="B207" s="15">
        <v>109</v>
      </c>
      <c r="C207" s="8">
        <v>441</v>
      </c>
      <c r="D207" s="7">
        <f t="shared" si="20"/>
        <v>48069</v>
      </c>
      <c r="E207" s="7">
        <f t="shared" si="21"/>
        <v>11881</v>
      </c>
      <c r="F207" s="7">
        <f t="shared" si="22"/>
        <v>194481</v>
      </c>
      <c r="G207" s="7">
        <f t="shared" si="23"/>
        <v>325.59070000000003</v>
      </c>
      <c r="H207" s="7">
        <f t="shared" si="24"/>
        <v>-115.4093</v>
      </c>
      <c r="I207" s="7">
        <f t="shared" si="25"/>
        <v>13319.30652649</v>
      </c>
      <c r="J207" s="77"/>
      <c r="K207" s="14" t="str">
        <f>"f(0,05);("&amp;M193&amp;","&amp;M194&amp;")="</f>
        <v>f(0,05);(1,118)=</v>
      </c>
      <c r="L207" s="14">
        <f>ROUND(_xlfn.F.INV.RT(L200,M193,M194),4)</f>
        <v>3.9215</v>
      </c>
      <c r="M207" s="14"/>
      <c r="N207" s="14"/>
      <c r="O207" s="14"/>
      <c r="P207" s="77"/>
      <c r="Q207" s="77"/>
      <c r="R207" s="77"/>
      <c r="S207" s="77"/>
      <c r="T207" s="77"/>
      <c r="U207" s="77"/>
      <c r="V207" s="77"/>
      <c r="W207" s="77"/>
      <c r="X207" s="77"/>
    </row>
    <row r="208" spans="2:24">
      <c r="B208" s="15">
        <v>112</v>
      </c>
      <c r="C208" s="8">
        <v>220</v>
      </c>
      <c r="D208" s="7">
        <f t="shared" si="20"/>
        <v>24640</v>
      </c>
      <c r="E208" s="7">
        <f t="shared" si="21"/>
        <v>12544</v>
      </c>
      <c r="F208" s="7">
        <f t="shared" si="22"/>
        <v>48400</v>
      </c>
      <c r="G208" s="7">
        <f t="shared" si="23"/>
        <v>338.61040000000003</v>
      </c>
      <c r="H208" s="7">
        <f t="shared" si="24"/>
        <v>118.6104</v>
      </c>
      <c r="I208" s="7">
        <f t="shared" si="25"/>
        <v>14068.426988159999</v>
      </c>
      <c r="J208" s="77"/>
      <c r="K208" s="14"/>
      <c r="L208" s="14"/>
      <c r="M208" s="14"/>
      <c r="N208" s="14"/>
      <c r="O208" s="14"/>
      <c r="P208" s="77"/>
      <c r="Q208" s="77"/>
      <c r="R208" s="77"/>
      <c r="S208" s="77"/>
      <c r="T208" s="77"/>
      <c r="U208" s="77"/>
      <c r="V208" s="77"/>
      <c r="W208" s="77"/>
      <c r="X208" s="77"/>
    </row>
    <row r="209" spans="2:24">
      <c r="B209" s="15">
        <v>113</v>
      </c>
      <c r="C209" s="8">
        <v>424</v>
      </c>
      <c r="D209" s="7">
        <f t="shared" si="20"/>
        <v>47912</v>
      </c>
      <c r="E209" s="7">
        <f t="shared" si="21"/>
        <v>12769</v>
      </c>
      <c r="F209" s="7">
        <f t="shared" si="22"/>
        <v>179776</v>
      </c>
      <c r="G209" s="7">
        <f t="shared" si="23"/>
        <v>342.95030000000003</v>
      </c>
      <c r="H209" s="7">
        <f t="shared" si="24"/>
        <v>-81.049700000000001</v>
      </c>
      <c r="I209" s="7">
        <f t="shared" si="25"/>
        <v>6569.0538700900006</v>
      </c>
      <c r="J209" s="77"/>
      <c r="K209" s="14" t="str">
        <f>IF(L207&lt;=L204, "R: Como  " &amp;ROUND(L207,4) &amp;" &lt; "&amp;ROUND(L204,4)&amp;" o modelo é significativo","R: Como  " &amp;ROUND(L207,4) &amp;" &gt; "&amp;ROUND(L204,4)&amp;" o modelo não é significativo" )</f>
        <v>R: Como  3,9215 &lt; 175,9376 o modelo é significativo</v>
      </c>
      <c r="L209" s="14"/>
      <c r="M209" s="14"/>
      <c r="N209" s="14"/>
      <c r="O209" s="14"/>
      <c r="P209" s="77"/>
      <c r="Q209" s="77"/>
      <c r="R209" s="77"/>
      <c r="S209" s="77"/>
      <c r="T209" s="77"/>
      <c r="U209" s="77"/>
      <c r="V209" s="77"/>
      <c r="W209" s="77"/>
      <c r="X209" s="77"/>
    </row>
    <row r="210" spans="2:24">
      <c r="B210" s="15">
        <v>110</v>
      </c>
      <c r="C210" s="8">
        <v>610</v>
      </c>
      <c r="D210" s="7">
        <f t="shared" si="20"/>
        <v>67100</v>
      </c>
      <c r="E210" s="7">
        <f t="shared" si="21"/>
        <v>12100</v>
      </c>
      <c r="F210" s="7">
        <f t="shared" si="22"/>
        <v>372100</v>
      </c>
      <c r="G210" s="7">
        <f t="shared" si="23"/>
        <v>329.93060000000003</v>
      </c>
      <c r="H210" s="7">
        <f t="shared" si="24"/>
        <v>-280.06939999999997</v>
      </c>
      <c r="I210" s="7">
        <f t="shared" si="25"/>
        <v>78438.868816359987</v>
      </c>
    </row>
    <row r="211" spans="2:24">
      <c r="B211" s="15">
        <v>104</v>
      </c>
      <c r="C211" s="8">
        <v>636</v>
      </c>
      <c r="D211" s="7">
        <f t="shared" si="20"/>
        <v>66144</v>
      </c>
      <c r="E211" s="7">
        <f t="shared" si="21"/>
        <v>10816</v>
      </c>
      <c r="F211" s="7">
        <f t="shared" si="22"/>
        <v>404496</v>
      </c>
      <c r="G211" s="7">
        <f t="shared" si="23"/>
        <v>303.89120000000003</v>
      </c>
      <c r="H211" s="7">
        <f t="shared" si="24"/>
        <v>-332.10879999999997</v>
      </c>
      <c r="I211" s="7">
        <f t="shared" si="25"/>
        <v>110296.25503743999</v>
      </c>
    </row>
    <row r="212" spans="2:24">
      <c r="B212" s="15">
        <v>98</v>
      </c>
      <c r="C212" s="8">
        <v>506</v>
      </c>
      <c r="D212" s="7">
        <f t="shared" si="20"/>
        <v>49588</v>
      </c>
      <c r="E212" s="7">
        <f t="shared" si="21"/>
        <v>9604</v>
      </c>
      <c r="F212" s="7">
        <f t="shared" si="22"/>
        <v>256036</v>
      </c>
      <c r="G212" s="7">
        <f t="shared" si="23"/>
        <v>277.85180000000003</v>
      </c>
      <c r="H212" s="7">
        <f t="shared" si="24"/>
        <v>-228.1482</v>
      </c>
      <c r="I212" s="7">
        <f t="shared" si="25"/>
        <v>52051.601163240004</v>
      </c>
    </row>
    <row r="213" spans="2:24">
      <c r="B213" s="15">
        <v>98</v>
      </c>
      <c r="C213" s="8">
        <v>567</v>
      </c>
      <c r="D213" s="7">
        <f t="shared" si="20"/>
        <v>55566</v>
      </c>
      <c r="E213" s="7">
        <f t="shared" si="21"/>
        <v>9604</v>
      </c>
      <c r="F213" s="7">
        <f t="shared" si="22"/>
        <v>321489</v>
      </c>
      <c r="G213" s="7">
        <f t="shared" si="23"/>
        <v>277.85180000000003</v>
      </c>
      <c r="H213" s="7">
        <f t="shared" si="24"/>
        <v>-289.14819999999997</v>
      </c>
      <c r="I213" s="7">
        <f t="shared" si="25"/>
        <v>83606.681563239981</v>
      </c>
    </row>
    <row r="214" spans="2:24">
      <c r="B214" s="15">
        <v>98</v>
      </c>
      <c r="C214" s="8">
        <v>478</v>
      </c>
      <c r="D214" s="7">
        <f t="shared" si="20"/>
        <v>46844</v>
      </c>
      <c r="E214" s="7">
        <f t="shared" si="21"/>
        <v>9604</v>
      </c>
      <c r="F214" s="7">
        <f t="shared" si="22"/>
        <v>228484</v>
      </c>
      <c r="G214" s="7">
        <f t="shared" si="23"/>
        <v>277.85180000000003</v>
      </c>
      <c r="H214" s="7">
        <f t="shared" si="24"/>
        <v>-200.1482</v>
      </c>
      <c r="I214" s="7">
        <f t="shared" si="25"/>
        <v>40059.301963240003</v>
      </c>
    </row>
    <row r="215" spans="2:24">
      <c r="B215" s="15">
        <v>91</v>
      </c>
      <c r="C215" s="8">
        <v>196</v>
      </c>
      <c r="D215" s="7">
        <f t="shared" si="20"/>
        <v>17836</v>
      </c>
      <c r="E215" s="7">
        <f t="shared" si="21"/>
        <v>8281</v>
      </c>
      <c r="F215" s="7">
        <f t="shared" si="22"/>
        <v>38416</v>
      </c>
      <c r="G215" s="7">
        <f t="shared" si="23"/>
        <v>247.4725</v>
      </c>
      <c r="H215" s="7">
        <f t="shared" si="24"/>
        <v>51.472499999999997</v>
      </c>
      <c r="I215" s="7">
        <f t="shared" si="25"/>
        <v>2649.4182562499996</v>
      </c>
    </row>
    <row r="216" spans="2:24">
      <c r="B216" s="15">
        <v>86</v>
      </c>
      <c r="C216" s="8">
        <v>353</v>
      </c>
      <c r="D216" s="7">
        <f t="shared" si="20"/>
        <v>30358</v>
      </c>
      <c r="E216" s="7">
        <f t="shared" si="21"/>
        <v>7396</v>
      </c>
      <c r="F216" s="7">
        <f t="shared" si="22"/>
        <v>124609</v>
      </c>
      <c r="G216" s="7">
        <f t="shared" si="23"/>
        <v>225.773</v>
      </c>
      <c r="H216" s="7">
        <f t="shared" si="24"/>
        <v>-127.227</v>
      </c>
      <c r="I216" s="7">
        <f t="shared" si="25"/>
        <v>16186.709529000002</v>
      </c>
    </row>
    <row r="217" spans="2:24">
      <c r="B217" s="15">
        <v>88</v>
      </c>
      <c r="C217" s="8">
        <v>572</v>
      </c>
      <c r="D217" s="7">
        <f t="shared" si="20"/>
        <v>50336</v>
      </c>
      <c r="E217" s="7">
        <f t="shared" si="21"/>
        <v>7744</v>
      </c>
      <c r="F217" s="7">
        <f t="shared" si="22"/>
        <v>327184</v>
      </c>
      <c r="G217" s="7">
        <f t="shared" si="23"/>
        <v>234.4528</v>
      </c>
      <c r="H217" s="7">
        <f t="shared" si="24"/>
        <v>-337.54719999999998</v>
      </c>
      <c r="I217" s="7">
        <f t="shared" si="25"/>
        <v>113938.11222783999</v>
      </c>
    </row>
    <row r="218" spans="2:24">
      <c r="B218" s="15">
        <v>89</v>
      </c>
      <c r="C218" s="8">
        <v>470</v>
      </c>
      <c r="D218" s="7">
        <f t="shared" si="20"/>
        <v>41830</v>
      </c>
      <c r="E218" s="7">
        <f t="shared" si="21"/>
        <v>7921</v>
      </c>
      <c r="F218" s="7">
        <f t="shared" si="22"/>
        <v>220900</v>
      </c>
      <c r="G218" s="7">
        <f t="shared" si="23"/>
        <v>238.7927</v>
      </c>
      <c r="H218" s="7">
        <f t="shared" si="24"/>
        <v>-231.2073</v>
      </c>
      <c r="I218" s="7">
        <f t="shared" si="25"/>
        <v>53456.815573290005</v>
      </c>
    </row>
    <row r="219" spans="2:24">
      <c r="B219" s="15">
        <v>89</v>
      </c>
      <c r="C219" s="8">
        <v>460</v>
      </c>
      <c r="D219" s="7">
        <f t="shared" si="20"/>
        <v>40940</v>
      </c>
      <c r="E219" s="7">
        <f t="shared" si="21"/>
        <v>7921</v>
      </c>
      <c r="F219" s="7">
        <f t="shared" si="22"/>
        <v>211600</v>
      </c>
      <c r="G219" s="7">
        <f t="shared" si="23"/>
        <v>238.7927</v>
      </c>
      <c r="H219" s="7">
        <f t="shared" si="24"/>
        <v>-221.2073</v>
      </c>
      <c r="I219" s="7">
        <f t="shared" si="25"/>
        <v>48932.669573290004</v>
      </c>
    </row>
    <row r="220" spans="2:24">
      <c r="B220" s="15">
        <v>84</v>
      </c>
      <c r="C220" s="8">
        <v>454</v>
      </c>
      <c r="D220" s="7">
        <f t="shared" si="20"/>
        <v>38136</v>
      </c>
      <c r="E220" s="7">
        <f t="shared" si="21"/>
        <v>7056</v>
      </c>
      <c r="F220" s="7">
        <f t="shared" si="22"/>
        <v>206116</v>
      </c>
      <c r="G220" s="7">
        <f t="shared" si="23"/>
        <v>217.0932</v>
      </c>
      <c r="H220" s="7">
        <f t="shared" si="24"/>
        <v>-236.9068</v>
      </c>
      <c r="I220" s="7">
        <f t="shared" si="25"/>
        <v>56124.831886240005</v>
      </c>
    </row>
    <row r="221" spans="2:24">
      <c r="B221" s="15">
        <v>85</v>
      </c>
      <c r="C221" s="8">
        <v>330</v>
      </c>
      <c r="D221" s="7">
        <f t="shared" si="20"/>
        <v>28050</v>
      </c>
      <c r="E221" s="7">
        <f t="shared" si="21"/>
        <v>7225</v>
      </c>
      <c r="F221" s="7">
        <f t="shared" si="22"/>
        <v>108900</v>
      </c>
      <c r="G221" s="7">
        <f t="shared" si="23"/>
        <v>221.4331</v>
      </c>
      <c r="H221" s="7">
        <f t="shared" si="24"/>
        <v>-108.5669</v>
      </c>
      <c r="I221" s="7">
        <f t="shared" si="25"/>
        <v>11786.771775610001</v>
      </c>
    </row>
    <row r="222" spans="2:24">
      <c r="B222" s="15">
        <v>90</v>
      </c>
      <c r="C222" s="8">
        <v>180</v>
      </c>
      <c r="D222" s="7">
        <f t="shared" si="20"/>
        <v>16200</v>
      </c>
      <c r="E222" s="7">
        <f t="shared" si="21"/>
        <v>8100</v>
      </c>
      <c r="F222" s="7">
        <f t="shared" si="22"/>
        <v>32400</v>
      </c>
      <c r="G222" s="7">
        <f t="shared" si="23"/>
        <v>243.1326</v>
      </c>
      <c r="H222" s="7">
        <f t="shared" si="24"/>
        <v>63.132599999999996</v>
      </c>
      <c r="I222" s="7">
        <f t="shared" si="25"/>
        <v>3985.7251827599994</v>
      </c>
    </row>
    <row r="223" spans="2:24">
      <c r="B223" s="15">
        <v>87</v>
      </c>
      <c r="C223" s="8">
        <v>258</v>
      </c>
      <c r="D223" s="7">
        <f t="shared" si="20"/>
        <v>22446</v>
      </c>
      <c r="E223" s="7">
        <f t="shared" si="21"/>
        <v>7569</v>
      </c>
      <c r="F223" s="7">
        <f t="shared" si="22"/>
        <v>66564</v>
      </c>
      <c r="G223" s="7">
        <f t="shared" si="23"/>
        <v>230.1129</v>
      </c>
      <c r="H223" s="7">
        <f t="shared" si="24"/>
        <v>-27.8871</v>
      </c>
      <c r="I223" s="7">
        <f t="shared" si="25"/>
        <v>777.69034640999996</v>
      </c>
    </row>
    <row r="224" spans="2:24">
      <c r="B224" s="15">
        <v>83</v>
      </c>
      <c r="C224" s="8">
        <v>387</v>
      </c>
      <c r="D224" s="7">
        <f t="shared" si="20"/>
        <v>32121</v>
      </c>
      <c r="E224" s="7">
        <f t="shared" si="21"/>
        <v>6889</v>
      </c>
      <c r="F224" s="7">
        <f t="shared" si="22"/>
        <v>149769</v>
      </c>
      <c r="G224" s="7">
        <f t="shared" si="23"/>
        <v>212.7533</v>
      </c>
      <c r="H224" s="7">
        <f t="shared" si="24"/>
        <v>-174.2467</v>
      </c>
      <c r="I224" s="7">
        <f t="shared" si="25"/>
        <v>30361.912460890002</v>
      </c>
    </row>
    <row r="225" spans="2:9">
      <c r="B225" s="15">
        <v>77</v>
      </c>
      <c r="C225" s="8">
        <v>373</v>
      </c>
      <c r="D225" s="7">
        <f t="shared" si="20"/>
        <v>28721</v>
      </c>
      <c r="E225" s="7">
        <f t="shared" si="21"/>
        <v>5929</v>
      </c>
      <c r="F225" s="7">
        <f t="shared" si="22"/>
        <v>139129</v>
      </c>
      <c r="G225" s="7">
        <f t="shared" si="23"/>
        <v>186.7139</v>
      </c>
      <c r="H225" s="7">
        <f t="shared" si="24"/>
        <v>-186.2861</v>
      </c>
      <c r="I225" s="7">
        <f t="shared" si="25"/>
        <v>34702.511053210001</v>
      </c>
    </row>
    <row r="226" spans="2:9">
      <c r="B226" s="15">
        <v>75</v>
      </c>
      <c r="C226" s="8">
        <v>377</v>
      </c>
      <c r="D226" s="7">
        <f t="shared" si="20"/>
        <v>28275</v>
      </c>
      <c r="E226" s="7">
        <f t="shared" si="21"/>
        <v>5625</v>
      </c>
      <c r="F226" s="7">
        <f t="shared" si="22"/>
        <v>142129</v>
      </c>
      <c r="G226" s="7">
        <f t="shared" si="23"/>
        <v>178.0341</v>
      </c>
      <c r="H226" s="7">
        <f t="shared" si="24"/>
        <v>-198.9659</v>
      </c>
      <c r="I226" s="7">
        <f t="shared" si="25"/>
        <v>39587.429362809999</v>
      </c>
    </row>
    <row r="227" spans="2:9">
      <c r="B227" s="15">
        <v>74</v>
      </c>
      <c r="C227" s="8">
        <v>406</v>
      </c>
      <c r="D227" s="7">
        <f t="shared" si="20"/>
        <v>30044</v>
      </c>
      <c r="E227" s="7">
        <f t="shared" si="21"/>
        <v>5476</v>
      </c>
      <c r="F227" s="7">
        <f t="shared" si="22"/>
        <v>164836</v>
      </c>
      <c r="G227" s="7">
        <f t="shared" si="23"/>
        <v>173.6942</v>
      </c>
      <c r="H227" s="7">
        <f t="shared" si="24"/>
        <v>-232.3058</v>
      </c>
      <c r="I227" s="7">
        <f t="shared" si="25"/>
        <v>53965.984713640006</v>
      </c>
    </row>
    <row r="228" spans="2:9">
      <c r="B228" s="15">
        <v>74</v>
      </c>
      <c r="C228" s="8">
        <v>324</v>
      </c>
      <c r="D228" s="7">
        <f t="shared" si="20"/>
        <v>23976</v>
      </c>
      <c r="E228" s="7">
        <f t="shared" si="21"/>
        <v>5476</v>
      </c>
      <c r="F228" s="7">
        <f t="shared" si="22"/>
        <v>104976</v>
      </c>
      <c r="G228" s="7">
        <f t="shared" si="23"/>
        <v>173.6942</v>
      </c>
      <c r="H228" s="7">
        <f t="shared" si="24"/>
        <v>-150.3058</v>
      </c>
      <c r="I228" s="7">
        <f t="shared" si="25"/>
        <v>22591.833513640002</v>
      </c>
    </row>
    <row r="229" spans="2:9">
      <c r="B229" s="15">
        <v>73</v>
      </c>
      <c r="C229" s="8">
        <v>158</v>
      </c>
      <c r="D229" s="7">
        <f t="shared" si="20"/>
        <v>11534</v>
      </c>
      <c r="E229" s="7">
        <f t="shared" si="21"/>
        <v>5329</v>
      </c>
      <c r="F229" s="7">
        <f t="shared" si="22"/>
        <v>24964</v>
      </c>
      <c r="G229" s="7">
        <f t="shared" si="23"/>
        <v>169.35429999999999</v>
      </c>
      <c r="H229" s="7">
        <f t="shared" si="24"/>
        <v>11.3543</v>
      </c>
      <c r="I229" s="7">
        <f t="shared" si="25"/>
        <v>128.92012849</v>
      </c>
    </row>
    <row r="230" spans="2:9">
      <c r="B230" s="15">
        <v>71</v>
      </c>
      <c r="C230" s="8">
        <v>268</v>
      </c>
      <c r="D230" s="7">
        <f t="shared" si="20"/>
        <v>19028</v>
      </c>
      <c r="E230" s="7">
        <f t="shared" si="21"/>
        <v>5041</v>
      </c>
      <c r="F230" s="7">
        <f t="shared" si="22"/>
        <v>71824</v>
      </c>
      <c r="G230" s="7">
        <f t="shared" si="23"/>
        <v>160.67449999999999</v>
      </c>
      <c r="H230" s="7">
        <f t="shared" si="24"/>
        <v>-107.32550000000001</v>
      </c>
      <c r="I230" s="7">
        <f t="shared" si="25"/>
        <v>11518.76295025</v>
      </c>
    </row>
    <row r="231" spans="2:9">
      <c r="B231" s="15">
        <v>71</v>
      </c>
      <c r="C231" s="8">
        <v>485</v>
      </c>
      <c r="D231" s="7">
        <f t="shared" si="20"/>
        <v>34435</v>
      </c>
      <c r="E231" s="7">
        <f t="shared" si="21"/>
        <v>5041</v>
      </c>
      <c r="F231" s="7">
        <f t="shared" si="22"/>
        <v>235225</v>
      </c>
      <c r="G231" s="7">
        <f t="shared" si="23"/>
        <v>160.67449999999999</v>
      </c>
      <c r="H231" s="7">
        <f t="shared" si="24"/>
        <v>-324.32549999999998</v>
      </c>
      <c r="I231" s="7">
        <f t="shared" si="25"/>
        <v>105187.02995024998</v>
      </c>
    </row>
    <row r="232" spans="2:9">
      <c r="B232" s="15">
        <v>70</v>
      </c>
      <c r="C232" s="8">
        <v>436</v>
      </c>
      <c r="D232" s="7">
        <f t="shared" si="20"/>
        <v>30520</v>
      </c>
      <c r="E232" s="7">
        <f t="shared" si="21"/>
        <v>4900</v>
      </c>
      <c r="F232" s="7">
        <f t="shared" si="22"/>
        <v>190096</v>
      </c>
      <c r="G232" s="7">
        <f t="shared" si="23"/>
        <v>156.33459999999999</v>
      </c>
      <c r="H232" s="7">
        <f t="shared" si="24"/>
        <v>-279.66539999999998</v>
      </c>
      <c r="I232" s="7">
        <f t="shared" si="25"/>
        <v>78212.735957159981</v>
      </c>
    </row>
    <row r="233" spans="2:9">
      <c r="B233" s="15">
        <v>72</v>
      </c>
      <c r="C233" s="8">
        <v>450</v>
      </c>
      <c r="D233" s="7">
        <f t="shared" si="20"/>
        <v>32400</v>
      </c>
      <c r="E233" s="7">
        <f t="shared" si="21"/>
        <v>5184</v>
      </c>
      <c r="F233" s="7">
        <f t="shared" si="22"/>
        <v>202500</v>
      </c>
      <c r="G233" s="7">
        <f t="shared" si="23"/>
        <v>165.01439999999999</v>
      </c>
      <c r="H233" s="7">
        <f t="shared" si="24"/>
        <v>-284.98559999999998</v>
      </c>
      <c r="I233" s="7">
        <f t="shared" si="25"/>
        <v>81216.792207359991</v>
      </c>
    </row>
    <row r="234" spans="2:9">
      <c r="B234" s="15">
        <v>71</v>
      </c>
      <c r="C234" s="8">
        <v>469</v>
      </c>
      <c r="D234" s="7">
        <f t="shared" si="20"/>
        <v>33299</v>
      </c>
      <c r="E234" s="7">
        <f t="shared" si="21"/>
        <v>5041</v>
      </c>
      <c r="F234" s="7">
        <f t="shared" si="22"/>
        <v>219961</v>
      </c>
      <c r="G234" s="7">
        <f t="shared" si="23"/>
        <v>160.67449999999999</v>
      </c>
      <c r="H234" s="7">
        <f t="shared" si="24"/>
        <v>-308.32549999999998</v>
      </c>
      <c r="I234" s="7">
        <f t="shared" si="25"/>
        <v>95064.613950249986</v>
      </c>
    </row>
    <row r="235" spans="2:9">
      <c r="B235" s="15">
        <v>76</v>
      </c>
      <c r="C235" s="8">
        <v>334</v>
      </c>
      <c r="D235" s="7">
        <f t="shared" si="20"/>
        <v>25384</v>
      </c>
      <c r="E235" s="7">
        <f t="shared" si="21"/>
        <v>5776</v>
      </c>
      <c r="F235" s="7">
        <f t="shared" si="22"/>
        <v>111556</v>
      </c>
      <c r="G235" s="7">
        <f t="shared" si="23"/>
        <v>182.374</v>
      </c>
      <c r="H235" s="7">
        <f t="shared" si="24"/>
        <v>-151.626</v>
      </c>
      <c r="I235" s="7">
        <f t="shared" si="25"/>
        <v>22990.443876000001</v>
      </c>
    </row>
    <row r="236" spans="2:9">
      <c r="B236" s="15">
        <v>72</v>
      </c>
      <c r="C236" s="8">
        <v>199</v>
      </c>
      <c r="D236" s="7">
        <f t="shared" si="20"/>
        <v>14328</v>
      </c>
      <c r="E236" s="7">
        <f t="shared" si="21"/>
        <v>5184</v>
      </c>
      <c r="F236" s="7">
        <f t="shared" si="22"/>
        <v>39601</v>
      </c>
      <c r="G236" s="7">
        <f t="shared" si="23"/>
        <v>165.01439999999999</v>
      </c>
      <c r="H236" s="7">
        <f t="shared" si="24"/>
        <v>-33.985599999999998</v>
      </c>
      <c r="I236" s="7">
        <f t="shared" si="25"/>
        <v>1155.0210073599999</v>
      </c>
    </row>
    <row r="237" spans="2:9">
      <c r="B237" s="15">
        <v>66</v>
      </c>
      <c r="C237" s="8">
        <v>386</v>
      </c>
      <c r="D237" s="7">
        <f t="shared" si="20"/>
        <v>25476</v>
      </c>
      <c r="E237" s="7">
        <f t="shared" si="21"/>
        <v>4356</v>
      </c>
      <c r="F237" s="7">
        <f t="shared" si="22"/>
        <v>148996</v>
      </c>
      <c r="G237" s="7">
        <f t="shared" si="23"/>
        <v>138.97499999999999</v>
      </c>
      <c r="H237" s="7">
        <f t="shared" si="24"/>
        <v>-247.02500000000001</v>
      </c>
      <c r="I237" s="7">
        <f t="shared" si="25"/>
        <v>61021.350625000006</v>
      </c>
    </row>
    <row r="238" spans="2:9">
      <c r="B238" s="15">
        <v>56</v>
      </c>
      <c r="C238" s="8">
        <v>511</v>
      </c>
      <c r="D238" s="7">
        <f t="shared" si="20"/>
        <v>28616</v>
      </c>
      <c r="E238" s="7">
        <f t="shared" si="21"/>
        <v>3136</v>
      </c>
      <c r="F238" s="7">
        <f t="shared" si="22"/>
        <v>261121</v>
      </c>
      <c r="G238" s="7">
        <f t="shared" si="23"/>
        <v>95.575999999999993</v>
      </c>
      <c r="H238" s="7">
        <f t="shared" si="24"/>
        <v>-415.42399999999998</v>
      </c>
      <c r="I238" s="7">
        <f t="shared" si="25"/>
        <v>172577.09977599999</v>
      </c>
    </row>
    <row r="239" spans="2:9">
      <c r="B239" s="15">
        <v>58</v>
      </c>
      <c r="C239" s="8">
        <v>451</v>
      </c>
      <c r="D239" s="7">
        <f t="shared" si="20"/>
        <v>26158</v>
      </c>
      <c r="E239" s="7">
        <f t="shared" si="21"/>
        <v>3364</v>
      </c>
      <c r="F239" s="7">
        <f t="shared" si="22"/>
        <v>203401</v>
      </c>
      <c r="G239" s="7">
        <f t="shared" si="23"/>
        <v>104.25579999999999</v>
      </c>
      <c r="H239" s="7">
        <f t="shared" si="24"/>
        <v>-346.74419999999998</v>
      </c>
      <c r="I239" s="7">
        <f t="shared" si="25"/>
        <v>120231.54023363999</v>
      </c>
    </row>
    <row r="240" spans="2:9">
      <c r="B240" s="15">
        <v>55</v>
      </c>
      <c r="C240" s="8">
        <v>559</v>
      </c>
      <c r="D240" s="7">
        <f t="shared" si="20"/>
        <v>30745</v>
      </c>
      <c r="E240" s="7">
        <f t="shared" si="21"/>
        <v>3025</v>
      </c>
      <c r="F240" s="7">
        <f t="shared" si="22"/>
        <v>312481</v>
      </c>
      <c r="G240" s="7">
        <f t="shared" si="23"/>
        <v>91.236099999999993</v>
      </c>
      <c r="H240" s="7">
        <f t="shared" si="24"/>
        <v>-467.76389999999998</v>
      </c>
      <c r="I240" s="7">
        <f t="shared" si="25"/>
        <v>218803.06614320999</v>
      </c>
    </row>
    <row r="241" spans="1:20">
      <c r="B241" s="15">
        <v>59</v>
      </c>
      <c r="C241" s="8">
        <v>523</v>
      </c>
      <c r="D241" s="7">
        <f t="shared" si="20"/>
        <v>30857</v>
      </c>
      <c r="E241" s="7">
        <f t="shared" si="21"/>
        <v>3481</v>
      </c>
      <c r="F241" s="7">
        <f t="shared" si="22"/>
        <v>273529</v>
      </c>
      <c r="G241" s="7">
        <f t="shared" si="23"/>
        <v>108.59569999999999</v>
      </c>
      <c r="H241" s="7">
        <f t="shared" si="24"/>
        <v>-414.40429999999998</v>
      </c>
      <c r="I241" s="7">
        <f t="shared" si="25"/>
        <v>171730.92385848999</v>
      </c>
    </row>
    <row r="242" spans="1:20">
      <c r="B242" s="15">
        <v>58</v>
      </c>
      <c r="C242" s="8">
        <v>413</v>
      </c>
      <c r="D242" s="7">
        <f t="shared" si="20"/>
        <v>23954</v>
      </c>
      <c r="E242" s="7">
        <f t="shared" si="21"/>
        <v>3364</v>
      </c>
      <c r="F242" s="7">
        <f t="shared" si="22"/>
        <v>170569</v>
      </c>
      <c r="G242" s="7">
        <f t="shared" si="23"/>
        <v>104.25579999999999</v>
      </c>
      <c r="H242" s="7">
        <f t="shared" si="24"/>
        <v>-308.74419999999998</v>
      </c>
      <c r="I242" s="7">
        <f t="shared" si="25"/>
        <v>95322.981033639982</v>
      </c>
    </row>
    <row r="243" spans="1:20">
      <c r="B243" s="15">
        <v>57</v>
      </c>
      <c r="C243" s="8">
        <v>241</v>
      </c>
      <c r="D243" s="7">
        <f t="shared" si="20"/>
        <v>13737</v>
      </c>
      <c r="E243" s="7">
        <f t="shared" si="21"/>
        <v>3249</v>
      </c>
      <c r="F243" s="7">
        <f t="shared" si="22"/>
        <v>58081</v>
      </c>
      <c r="G243" s="7">
        <f t="shared" si="23"/>
        <v>99.915899999999993</v>
      </c>
      <c r="H243" s="7">
        <f t="shared" si="24"/>
        <v>-141.08410000000001</v>
      </c>
      <c r="I243" s="7">
        <f t="shared" si="25"/>
        <v>19904.723272810003</v>
      </c>
    </row>
    <row r="244" spans="1:20">
      <c r="B244" s="15">
        <v>52</v>
      </c>
      <c r="C244" s="8">
        <v>375</v>
      </c>
      <c r="D244" s="7">
        <f t="shared" si="20"/>
        <v>19500</v>
      </c>
      <c r="E244" s="7">
        <f t="shared" si="21"/>
        <v>2704</v>
      </c>
      <c r="F244" s="7">
        <f t="shared" si="22"/>
        <v>140625</v>
      </c>
      <c r="G244" s="7">
        <f t="shared" si="23"/>
        <v>78.216399999999993</v>
      </c>
      <c r="H244" s="7">
        <f t="shared" si="24"/>
        <v>-296.78359999999998</v>
      </c>
      <c r="I244" s="7">
        <f t="shared" si="25"/>
        <v>88080.505228959984</v>
      </c>
    </row>
    <row r="245" spans="1:20">
      <c r="B245" s="15">
        <v>53</v>
      </c>
      <c r="C245" s="8">
        <v>594</v>
      </c>
      <c r="D245" s="7">
        <f t="shared" si="20"/>
        <v>31482</v>
      </c>
      <c r="E245" s="7">
        <f t="shared" si="21"/>
        <v>2809</v>
      </c>
      <c r="F245" s="7">
        <f t="shared" si="22"/>
        <v>352836</v>
      </c>
      <c r="G245" s="7">
        <f t="shared" si="23"/>
        <v>82.556299999999993</v>
      </c>
      <c r="H245" s="7">
        <f t="shared" si="24"/>
        <v>-511.44369999999998</v>
      </c>
      <c r="I245" s="7">
        <f t="shared" si="25"/>
        <v>261574.65826968997</v>
      </c>
    </row>
    <row r="246" spans="1:20">
      <c r="B246" s="15">
        <v>53</v>
      </c>
      <c r="C246" s="8">
        <v>572</v>
      </c>
      <c r="D246" s="7">
        <f t="shared" si="20"/>
        <v>30316</v>
      </c>
      <c r="E246" s="7">
        <f t="shared" si="21"/>
        <v>2809</v>
      </c>
      <c r="F246" s="7">
        <f t="shared" si="22"/>
        <v>327184</v>
      </c>
      <c r="G246" s="7">
        <f t="shared" si="23"/>
        <v>82.556299999999993</v>
      </c>
      <c r="H246" s="7">
        <f t="shared" si="24"/>
        <v>-489.44369999999998</v>
      </c>
      <c r="I246" s="7">
        <f t="shared" si="25"/>
        <v>239555.13546968997</v>
      </c>
    </row>
    <row r="247" spans="1:20">
      <c r="B247" s="15">
        <v>52</v>
      </c>
      <c r="C247" s="8">
        <v>598</v>
      </c>
      <c r="D247" s="7">
        <f t="shared" si="20"/>
        <v>31096</v>
      </c>
      <c r="E247" s="7">
        <f t="shared" si="21"/>
        <v>2704</v>
      </c>
      <c r="F247" s="7">
        <f t="shared" si="22"/>
        <v>357604</v>
      </c>
      <c r="G247" s="7">
        <f t="shared" si="23"/>
        <v>78.216399999999993</v>
      </c>
      <c r="H247" s="7">
        <f t="shared" si="24"/>
        <v>-519.78359999999998</v>
      </c>
      <c r="I247" s="7">
        <f t="shared" si="25"/>
        <v>270174.99082895997</v>
      </c>
    </row>
    <row r="248" spans="1:20">
      <c r="B248" s="15">
        <v>49</v>
      </c>
      <c r="C248" s="8">
        <v>609</v>
      </c>
      <c r="D248" s="7">
        <f t="shared" si="20"/>
        <v>29841</v>
      </c>
      <c r="E248" s="7">
        <f t="shared" si="21"/>
        <v>2401</v>
      </c>
      <c r="F248" s="7">
        <f t="shared" si="22"/>
        <v>370881</v>
      </c>
      <c r="G248" s="7">
        <f t="shared" si="23"/>
        <v>65.196700000000007</v>
      </c>
      <c r="H248" s="7">
        <f t="shared" si="24"/>
        <v>-543.80330000000004</v>
      </c>
      <c r="I248" s="7">
        <f t="shared" si="25"/>
        <v>295722.02909089002</v>
      </c>
    </row>
    <row r="249" spans="1:20">
      <c r="B249" s="15">
        <v>54</v>
      </c>
      <c r="C249" s="8">
        <v>445</v>
      </c>
      <c r="D249" s="7">
        <f t="shared" si="20"/>
        <v>24030</v>
      </c>
      <c r="E249" s="7">
        <f t="shared" si="21"/>
        <v>2916</v>
      </c>
      <c r="F249" s="7">
        <f t="shared" si="22"/>
        <v>198025</v>
      </c>
      <c r="G249" s="7">
        <f t="shared" si="23"/>
        <v>86.896199999999993</v>
      </c>
      <c r="H249" s="7">
        <f t="shared" si="24"/>
        <v>-358.10379999999998</v>
      </c>
      <c r="I249" s="7">
        <f t="shared" si="25"/>
        <v>128238.33157443999</v>
      </c>
    </row>
    <row r="250" spans="1:20">
      <c r="B250" s="15">
        <v>52</v>
      </c>
      <c r="C250" s="9">
        <v>435</v>
      </c>
      <c r="D250" s="4">
        <f t="shared" si="20"/>
        <v>22620</v>
      </c>
      <c r="E250" s="7">
        <f t="shared" si="21"/>
        <v>2704</v>
      </c>
      <c r="F250" s="7">
        <f t="shared" si="22"/>
        <v>189225</v>
      </c>
      <c r="G250" s="7">
        <f t="shared" si="23"/>
        <v>78.216399999999993</v>
      </c>
      <c r="H250" s="7">
        <f t="shared" si="24"/>
        <v>-356.78359999999998</v>
      </c>
      <c r="I250" s="7">
        <f t="shared" si="25"/>
        <v>127294.53722895999</v>
      </c>
    </row>
    <row r="251" spans="1:20">
      <c r="A251" s="4" t="s">
        <v>18</v>
      </c>
      <c r="B251" s="4">
        <f t="shared" ref="B251" si="26">SUM(B131:B250)</f>
        <v>33704</v>
      </c>
      <c r="C251" s="4">
        <f t="shared" ref="C251:I251" si="27">SUM(C131:C250)</f>
        <v>128577</v>
      </c>
      <c r="D251" s="4">
        <f t="shared" si="27"/>
        <v>75527663</v>
      </c>
      <c r="E251" s="4">
        <f t="shared" si="27"/>
        <v>18548310</v>
      </c>
      <c r="F251" s="4">
        <f t="shared" si="27"/>
        <v>423547897</v>
      </c>
      <c r="G251" s="4">
        <f t="shared" si="27"/>
        <v>128576.98160000003</v>
      </c>
      <c r="H251" s="4">
        <f t="shared" si="27"/>
        <v>-1.8400000006636219E-2</v>
      </c>
      <c r="I251" s="4">
        <f t="shared" si="27"/>
        <v>114726063.63980502</v>
      </c>
    </row>
    <row r="252" spans="1:20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</row>
    <row r="253" spans="1:20">
      <c r="B253" s="15"/>
      <c r="H253" s="15"/>
    </row>
    <row r="254" spans="1:20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</row>
    <row r="255" spans="1:20">
      <c r="B255" s="3"/>
      <c r="C255" s="3"/>
      <c r="D255" s="3"/>
      <c r="E255" s="3"/>
      <c r="F255" s="3"/>
      <c r="G255" s="3"/>
      <c r="H255" s="15"/>
    </row>
    <row r="256" spans="1:20">
      <c r="B256" s="2" t="s">
        <v>9</v>
      </c>
      <c r="C256" s="2" t="s">
        <v>10</v>
      </c>
      <c r="D256" s="2" t="s">
        <v>11</v>
      </c>
      <c r="E256" s="2" t="s">
        <v>12</v>
      </c>
      <c r="F256" s="2" t="s">
        <v>13</v>
      </c>
      <c r="G256" s="2"/>
      <c r="H256" s="4"/>
      <c r="I256" s="4"/>
    </row>
    <row r="257" spans="2:14">
      <c r="B257" s="4" t="s">
        <v>5</v>
      </c>
      <c r="C257" s="4" t="s">
        <v>1</v>
      </c>
      <c r="D257" s="4"/>
      <c r="E257" s="2"/>
      <c r="F257" s="4"/>
      <c r="G257" s="4"/>
      <c r="H257" s="4"/>
      <c r="I257" s="4"/>
      <c r="K257" s="80" t="s">
        <v>15</v>
      </c>
      <c r="L257" s="80"/>
      <c r="M257" t="s">
        <v>16</v>
      </c>
    </row>
    <row r="258" spans="2:14">
      <c r="B258" s="15">
        <v>6869</v>
      </c>
      <c r="C258" s="7">
        <v>5805</v>
      </c>
      <c r="D258" s="7">
        <f>B258*C258</f>
        <v>39874545</v>
      </c>
      <c r="E258" s="7">
        <f>B258^2</f>
        <v>47183161</v>
      </c>
      <c r="F258" s="7">
        <f>C258^2</f>
        <v>33698025</v>
      </c>
      <c r="G258" s="7">
        <f>ROUND($M$305+$M$302*B258,4)</f>
        <v>4751.9507000000003</v>
      </c>
      <c r="H258" s="7">
        <f>ROUND(G258-C258,4)</f>
        <v>-1053.0492999999999</v>
      </c>
      <c r="I258" s="7">
        <f>H258^2</f>
        <v>1108912.8282304897</v>
      </c>
      <c r="K258" s="80" t="s">
        <v>14</v>
      </c>
      <c r="L258" s="80"/>
      <c r="M258" s="80" t="s">
        <v>24</v>
      </c>
      <c r="N258" s="80"/>
    </row>
    <row r="259" spans="2:14">
      <c r="B259" s="15">
        <v>6775</v>
      </c>
      <c r="C259" s="8">
        <v>5540</v>
      </c>
      <c r="D259" s="7">
        <f t="shared" ref="D259:D322" si="28">B259*C259</f>
        <v>37533500</v>
      </c>
      <c r="E259" s="7">
        <f t="shared" ref="E259:E322" si="29">B259^2</f>
        <v>45900625</v>
      </c>
      <c r="F259" s="7">
        <f t="shared" ref="F259:F322" si="30">C259^2</f>
        <v>30691600</v>
      </c>
      <c r="G259" s="7">
        <f t="shared" ref="G259:G322" si="31">ROUND($M$305+$M$302*B259,4)</f>
        <v>4687.1283000000003</v>
      </c>
      <c r="H259" s="7">
        <f t="shared" ref="H259:H322" si="32">ROUND(G259-C259,4)</f>
        <v>-852.87170000000003</v>
      </c>
      <c r="I259" s="7">
        <f t="shared" ref="I259:I322" si="33">H259^2</f>
        <v>727390.13666089007</v>
      </c>
    </row>
    <row r="260" spans="2:14">
      <c r="B260" s="15">
        <v>6684</v>
      </c>
      <c r="C260" s="8">
        <v>9083</v>
      </c>
      <c r="D260" s="7">
        <f t="shared" si="28"/>
        <v>60710772</v>
      </c>
      <c r="E260" s="7">
        <f t="shared" si="29"/>
        <v>44675856</v>
      </c>
      <c r="F260" s="7">
        <f t="shared" si="30"/>
        <v>82500889</v>
      </c>
      <c r="G260" s="7">
        <f t="shared" si="31"/>
        <v>4624.3747000000003</v>
      </c>
      <c r="H260" s="7">
        <f t="shared" si="32"/>
        <v>-4458.6252999999997</v>
      </c>
      <c r="I260" s="7">
        <f t="shared" si="33"/>
        <v>19879339.565800086</v>
      </c>
    </row>
    <row r="261" spans="2:14">
      <c r="B261" s="15">
        <v>6496</v>
      </c>
      <c r="C261" s="8">
        <v>7914</v>
      </c>
      <c r="D261" s="7">
        <f t="shared" si="28"/>
        <v>51409344</v>
      </c>
      <c r="E261" s="7">
        <f t="shared" si="29"/>
        <v>42198016</v>
      </c>
      <c r="F261" s="7">
        <f t="shared" si="30"/>
        <v>62631396</v>
      </c>
      <c r="G261" s="7">
        <f t="shared" si="31"/>
        <v>4494.7299000000003</v>
      </c>
      <c r="H261" s="7">
        <f t="shared" si="32"/>
        <v>-3419.2701000000002</v>
      </c>
      <c r="I261" s="7">
        <f t="shared" si="33"/>
        <v>11691408.016754011</v>
      </c>
      <c r="K261" s="80"/>
      <c r="L261" s="80"/>
    </row>
    <row r="262" spans="2:14">
      <c r="B262" s="15">
        <v>6412</v>
      </c>
      <c r="C262" s="8">
        <v>6916</v>
      </c>
      <c r="D262" s="7">
        <f t="shared" si="28"/>
        <v>44345392</v>
      </c>
      <c r="E262" s="7">
        <f t="shared" si="29"/>
        <v>41113744</v>
      </c>
      <c r="F262" s="7">
        <f t="shared" si="30"/>
        <v>47831056</v>
      </c>
      <c r="G262" s="7">
        <f t="shared" si="31"/>
        <v>4436.8035</v>
      </c>
      <c r="H262" s="7">
        <f t="shared" si="32"/>
        <v>-2479.1965</v>
      </c>
      <c r="I262" s="7">
        <f t="shared" si="33"/>
        <v>6146415.2856122497</v>
      </c>
    </row>
    <row r="263" spans="2:14">
      <c r="B263" s="15">
        <v>6158</v>
      </c>
      <c r="C263" s="8">
        <v>6132</v>
      </c>
      <c r="D263" s="7">
        <f t="shared" si="28"/>
        <v>37760856</v>
      </c>
      <c r="E263" s="7">
        <f t="shared" si="29"/>
        <v>37920964</v>
      </c>
      <c r="F263" s="7">
        <f t="shared" si="30"/>
        <v>37601424</v>
      </c>
      <c r="G263" s="7">
        <f t="shared" si="31"/>
        <v>4261.6450999999997</v>
      </c>
      <c r="H263" s="7">
        <f t="shared" si="32"/>
        <v>-1870.3549</v>
      </c>
      <c r="I263" s="7">
        <f t="shared" si="33"/>
        <v>3498227.4519540099</v>
      </c>
    </row>
    <row r="264" spans="2:14">
      <c r="B264" s="15">
        <v>6248</v>
      </c>
      <c r="C264" s="8">
        <v>3508</v>
      </c>
      <c r="D264" s="7">
        <f t="shared" si="28"/>
        <v>21917984</v>
      </c>
      <c r="E264" s="7">
        <f t="shared" si="29"/>
        <v>39037504</v>
      </c>
      <c r="F264" s="7">
        <f t="shared" si="30"/>
        <v>12306064</v>
      </c>
      <c r="G264" s="7">
        <f t="shared" si="31"/>
        <v>4323.7091</v>
      </c>
      <c r="H264" s="7">
        <f t="shared" si="32"/>
        <v>815.70910000000003</v>
      </c>
      <c r="I264" s="7">
        <f t="shared" si="33"/>
        <v>665381.33582281007</v>
      </c>
    </row>
    <row r="265" spans="2:14">
      <c r="B265" s="15">
        <v>6344</v>
      </c>
      <c r="C265" s="8">
        <v>2505</v>
      </c>
      <c r="D265" s="7">
        <f t="shared" si="28"/>
        <v>15891720</v>
      </c>
      <c r="E265" s="7">
        <f t="shared" si="29"/>
        <v>40246336</v>
      </c>
      <c r="F265" s="7">
        <f t="shared" si="30"/>
        <v>6275025</v>
      </c>
      <c r="G265" s="7">
        <f t="shared" si="31"/>
        <v>4389.9107000000004</v>
      </c>
      <c r="H265" s="7">
        <f t="shared" si="32"/>
        <v>1884.9106999999999</v>
      </c>
      <c r="I265" s="7">
        <f t="shared" si="33"/>
        <v>3552888.3469744897</v>
      </c>
    </row>
    <row r="266" spans="2:14">
      <c r="B266" s="15">
        <v>6070</v>
      </c>
      <c r="C266" s="8">
        <v>2583</v>
      </c>
      <c r="D266" s="7">
        <f t="shared" si="28"/>
        <v>15678810</v>
      </c>
      <c r="E266" s="7">
        <f t="shared" si="29"/>
        <v>36844900</v>
      </c>
      <c r="F266" s="7">
        <f t="shared" si="30"/>
        <v>6671889</v>
      </c>
      <c r="G266" s="7">
        <f t="shared" si="31"/>
        <v>4200.9602999999997</v>
      </c>
      <c r="H266" s="7">
        <f t="shared" si="32"/>
        <v>1617.9603</v>
      </c>
      <c r="I266" s="7">
        <f t="shared" si="33"/>
        <v>2617795.5323760901</v>
      </c>
    </row>
    <row r="267" spans="2:14">
      <c r="B267" s="15">
        <v>5829</v>
      </c>
      <c r="C267" s="8">
        <v>4387</v>
      </c>
      <c r="D267" s="7">
        <f t="shared" si="28"/>
        <v>25571823</v>
      </c>
      <c r="E267" s="7">
        <f t="shared" si="29"/>
        <v>33977241</v>
      </c>
      <c r="F267" s="7">
        <f t="shared" si="30"/>
        <v>19245769</v>
      </c>
      <c r="G267" s="7">
        <f t="shared" si="31"/>
        <v>4034.7667000000001</v>
      </c>
      <c r="H267" s="7">
        <f t="shared" si="32"/>
        <v>-352.23329999999999</v>
      </c>
      <c r="I267" s="7">
        <f t="shared" si="33"/>
        <v>124068.29762889</v>
      </c>
    </row>
    <row r="268" spans="2:14">
      <c r="B268" s="15">
        <v>5570</v>
      </c>
      <c r="C268" s="8">
        <v>3480</v>
      </c>
      <c r="D268" s="7">
        <f t="shared" si="28"/>
        <v>19383600</v>
      </c>
      <c r="E268" s="7">
        <f t="shared" si="29"/>
        <v>31024900</v>
      </c>
      <c r="F268" s="7">
        <f t="shared" si="30"/>
        <v>12110400</v>
      </c>
      <c r="G268" s="7">
        <f t="shared" si="31"/>
        <v>3856.1603</v>
      </c>
      <c r="H268" s="7">
        <f t="shared" si="32"/>
        <v>376.16030000000001</v>
      </c>
      <c r="I268" s="7">
        <f t="shared" si="33"/>
        <v>141496.57129609</v>
      </c>
    </row>
    <row r="269" spans="2:14">
      <c r="B269" s="15">
        <v>5230</v>
      </c>
      <c r="C269" s="8">
        <v>2854</v>
      </c>
      <c r="D269" s="7">
        <f t="shared" si="28"/>
        <v>14926420</v>
      </c>
      <c r="E269" s="7">
        <f t="shared" si="29"/>
        <v>27352900</v>
      </c>
      <c r="F269" s="7">
        <f t="shared" si="30"/>
        <v>8145316</v>
      </c>
      <c r="G269" s="7">
        <f t="shared" si="31"/>
        <v>3621.6963000000001</v>
      </c>
      <c r="H269" s="7">
        <f t="shared" si="32"/>
        <v>767.69629999999995</v>
      </c>
      <c r="I269" s="7">
        <f t="shared" si="33"/>
        <v>589357.60903368995</v>
      </c>
    </row>
    <row r="270" spans="2:14">
      <c r="B270" s="15">
        <v>4850</v>
      </c>
      <c r="C270" s="8">
        <v>2856</v>
      </c>
      <c r="D270" s="7">
        <f t="shared" si="28"/>
        <v>13851600</v>
      </c>
      <c r="E270" s="7">
        <f t="shared" si="29"/>
        <v>23522500</v>
      </c>
      <c r="F270" s="7">
        <f t="shared" si="30"/>
        <v>8156736</v>
      </c>
      <c r="G270" s="7">
        <f t="shared" si="31"/>
        <v>3359.6482999999998</v>
      </c>
      <c r="H270" s="7">
        <f t="shared" si="32"/>
        <v>503.64830000000001</v>
      </c>
      <c r="I270" s="7">
        <f t="shared" si="33"/>
        <v>253661.61009289001</v>
      </c>
    </row>
    <row r="271" spans="2:14">
      <c r="B271" s="15">
        <v>4826</v>
      </c>
      <c r="C271" s="8">
        <v>1677</v>
      </c>
      <c r="D271" s="7">
        <f t="shared" si="28"/>
        <v>8093202</v>
      </c>
      <c r="E271" s="7">
        <f t="shared" si="29"/>
        <v>23290276</v>
      </c>
      <c r="F271" s="7">
        <f t="shared" si="30"/>
        <v>2812329</v>
      </c>
      <c r="G271" s="7">
        <f t="shared" si="31"/>
        <v>3343.0979000000002</v>
      </c>
      <c r="H271" s="7">
        <f t="shared" si="32"/>
        <v>1666.0979</v>
      </c>
      <c r="I271" s="7">
        <f t="shared" si="33"/>
        <v>2775882.2123844097</v>
      </c>
    </row>
    <row r="272" spans="2:14">
      <c r="B272" s="15">
        <v>4832</v>
      </c>
      <c r="C272" s="8">
        <v>1303</v>
      </c>
      <c r="D272" s="7">
        <f t="shared" si="28"/>
        <v>6296096</v>
      </c>
      <c r="E272" s="7">
        <f t="shared" si="29"/>
        <v>23348224</v>
      </c>
      <c r="F272" s="7">
        <f t="shared" si="30"/>
        <v>1697809</v>
      </c>
      <c r="G272" s="7">
        <f t="shared" si="31"/>
        <v>3347.2354999999998</v>
      </c>
      <c r="H272" s="7">
        <f t="shared" si="32"/>
        <v>2044.2355</v>
      </c>
      <c r="I272" s="7">
        <f t="shared" si="33"/>
        <v>4178898.7794602499</v>
      </c>
    </row>
    <row r="273" spans="2:15">
      <c r="B273" s="15">
        <v>4482</v>
      </c>
      <c r="C273" s="8">
        <v>1502</v>
      </c>
      <c r="D273" s="7">
        <f t="shared" si="28"/>
        <v>6731964</v>
      </c>
      <c r="E273" s="7">
        <f t="shared" si="29"/>
        <v>20088324</v>
      </c>
      <c r="F273" s="7">
        <f t="shared" si="30"/>
        <v>2256004</v>
      </c>
      <c r="G273" s="7">
        <f t="shared" si="31"/>
        <v>3105.8755000000001</v>
      </c>
      <c r="H273" s="7">
        <f t="shared" si="32"/>
        <v>1603.8755000000001</v>
      </c>
      <c r="I273" s="7">
        <f t="shared" si="33"/>
        <v>2572416.6195002506</v>
      </c>
    </row>
    <row r="274" spans="2:15">
      <c r="B274" s="15">
        <v>4137</v>
      </c>
      <c r="C274" s="8">
        <v>2324</v>
      </c>
      <c r="D274" s="7">
        <f t="shared" si="28"/>
        <v>9614388</v>
      </c>
      <c r="E274" s="7">
        <f t="shared" si="29"/>
        <v>17114769</v>
      </c>
      <c r="F274" s="7">
        <f t="shared" si="30"/>
        <v>5400976</v>
      </c>
      <c r="G274" s="7">
        <f t="shared" si="31"/>
        <v>2867.9634999999998</v>
      </c>
      <c r="H274" s="7">
        <f t="shared" si="32"/>
        <v>543.96349999999995</v>
      </c>
      <c r="I274" s="7">
        <f t="shared" si="33"/>
        <v>295896.28933224996</v>
      </c>
    </row>
    <row r="275" spans="2:15">
      <c r="B275" s="15">
        <v>3819</v>
      </c>
      <c r="C275" s="8">
        <v>1944</v>
      </c>
      <c r="D275" s="7">
        <f t="shared" si="28"/>
        <v>7424136</v>
      </c>
      <c r="E275" s="7">
        <f t="shared" si="29"/>
        <v>14584761</v>
      </c>
      <c r="F275" s="7">
        <f t="shared" si="30"/>
        <v>3779136</v>
      </c>
      <c r="G275" s="7">
        <f t="shared" si="31"/>
        <v>2648.6707000000001</v>
      </c>
      <c r="H275" s="7">
        <f t="shared" si="32"/>
        <v>704.67070000000001</v>
      </c>
      <c r="I275" s="7">
        <f t="shared" si="33"/>
        <v>496560.79543848999</v>
      </c>
    </row>
    <row r="276" spans="2:15">
      <c r="B276" s="15">
        <v>3584</v>
      </c>
      <c r="C276" s="8">
        <v>1940</v>
      </c>
      <c r="D276" s="7">
        <f t="shared" si="28"/>
        <v>6952960</v>
      </c>
      <c r="E276" s="7">
        <f t="shared" si="29"/>
        <v>12845056</v>
      </c>
      <c r="F276" s="7">
        <f t="shared" si="30"/>
        <v>3763600</v>
      </c>
      <c r="G276" s="7">
        <f t="shared" si="31"/>
        <v>2486.6147000000001</v>
      </c>
      <c r="H276" s="7">
        <f t="shared" si="32"/>
        <v>546.61469999999997</v>
      </c>
      <c r="I276" s="7">
        <f t="shared" si="33"/>
        <v>298787.63025608996</v>
      </c>
    </row>
    <row r="277" spans="2:15">
      <c r="B277" s="15">
        <v>3284</v>
      </c>
      <c r="C277" s="8">
        <v>1570</v>
      </c>
      <c r="D277" s="7">
        <f t="shared" si="28"/>
        <v>5155880</v>
      </c>
      <c r="E277" s="7">
        <f t="shared" si="29"/>
        <v>10784656</v>
      </c>
      <c r="F277" s="7">
        <f t="shared" si="30"/>
        <v>2464900</v>
      </c>
      <c r="G277" s="7">
        <f t="shared" si="31"/>
        <v>2279.7347</v>
      </c>
      <c r="H277" s="7">
        <f t="shared" si="32"/>
        <v>709.73469999999998</v>
      </c>
      <c r="I277" s="7">
        <f t="shared" si="33"/>
        <v>503723.34438408999</v>
      </c>
    </row>
    <row r="278" spans="2:15">
      <c r="B278" s="15">
        <v>3316</v>
      </c>
      <c r="C278" s="8">
        <v>1186</v>
      </c>
      <c r="D278" s="7">
        <f t="shared" si="28"/>
        <v>3932776</v>
      </c>
      <c r="E278" s="7">
        <f t="shared" si="29"/>
        <v>10995856</v>
      </c>
      <c r="F278" s="7">
        <f t="shared" si="30"/>
        <v>1406596</v>
      </c>
      <c r="G278" s="7">
        <f t="shared" si="31"/>
        <v>2301.8018999999999</v>
      </c>
      <c r="H278" s="7">
        <f t="shared" si="32"/>
        <v>1115.8018999999999</v>
      </c>
      <c r="I278" s="7">
        <f t="shared" si="33"/>
        <v>1245013.8800436098</v>
      </c>
      <c r="K278" t="s">
        <v>19</v>
      </c>
      <c r="L278" s="11">
        <f>COUNT(B258,B259:B377)</f>
        <v>120</v>
      </c>
    </row>
    <row r="279" spans="2:15">
      <c r="B279" s="15">
        <v>3322</v>
      </c>
      <c r="C279" s="8">
        <v>549</v>
      </c>
      <c r="D279" s="7">
        <f t="shared" si="28"/>
        <v>1823778</v>
      </c>
      <c r="E279" s="7">
        <f t="shared" si="29"/>
        <v>11035684</v>
      </c>
      <c r="F279" s="7">
        <f t="shared" si="30"/>
        <v>301401</v>
      </c>
      <c r="G279" s="7">
        <f t="shared" si="31"/>
        <v>2305.9395</v>
      </c>
      <c r="H279" s="7">
        <f t="shared" si="32"/>
        <v>1756.9395</v>
      </c>
      <c r="I279" s="7">
        <f t="shared" si="33"/>
        <v>3086836.4066602499</v>
      </c>
      <c r="K279" t="s">
        <v>20</v>
      </c>
      <c r="L279">
        <f>ROUND(AVERAGE(B258:B377),4)</f>
        <v>1531.8833</v>
      </c>
    </row>
    <row r="280" spans="2:15">
      <c r="B280" s="15">
        <v>3012</v>
      </c>
      <c r="C280" s="8">
        <v>1032</v>
      </c>
      <c r="D280" s="7">
        <f t="shared" si="28"/>
        <v>3108384</v>
      </c>
      <c r="E280" s="7">
        <f t="shared" si="29"/>
        <v>9072144</v>
      </c>
      <c r="F280" s="7">
        <f t="shared" si="30"/>
        <v>1065024</v>
      </c>
      <c r="G280" s="7">
        <f t="shared" si="31"/>
        <v>2092.1635000000001</v>
      </c>
      <c r="H280" s="7">
        <f t="shared" si="32"/>
        <v>1060.1635000000001</v>
      </c>
      <c r="I280" s="7">
        <f t="shared" si="33"/>
        <v>1123946.6467322502</v>
      </c>
      <c r="K280" t="s">
        <v>21</v>
      </c>
      <c r="L280">
        <f>ROUND(AVERAGE(C258:C377),4)</f>
        <v>1071.4749999999999</v>
      </c>
    </row>
    <row r="281" spans="2:15">
      <c r="B281" s="15">
        <v>2767</v>
      </c>
      <c r="C281" s="8">
        <v>1480</v>
      </c>
      <c r="D281" s="7">
        <f t="shared" si="28"/>
        <v>4095160</v>
      </c>
      <c r="E281" s="7">
        <f t="shared" si="29"/>
        <v>7656289</v>
      </c>
      <c r="F281" s="7">
        <f t="shared" si="30"/>
        <v>2190400</v>
      </c>
      <c r="G281" s="7">
        <f t="shared" si="31"/>
        <v>1923.2114999999999</v>
      </c>
      <c r="H281" s="7">
        <f t="shared" si="32"/>
        <v>443.2115</v>
      </c>
      <c r="I281" s="7">
        <f t="shared" si="33"/>
        <v>196436.43373225001</v>
      </c>
    </row>
    <row r="282" spans="2:15">
      <c r="B282" s="15">
        <v>2613</v>
      </c>
      <c r="C282" s="8">
        <v>1160</v>
      </c>
      <c r="D282" s="7">
        <f t="shared" si="28"/>
        <v>3031080</v>
      </c>
      <c r="E282" s="7">
        <f t="shared" si="29"/>
        <v>6827769</v>
      </c>
      <c r="F282" s="7">
        <f t="shared" si="30"/>
        <v>1345600</v>
      </c>
      <c r="G282" s="7">
        <f t="shared" si="31"/>
        <v>1817.0130999999999</v>
      </c>
      <c r="H282" s="7">
        <f t="shared" si="32"/>
        <v>657.01310000000001</v>
      </c>
      <c r="I282" s="7">
        <f t="shared" si="33"/>
        <v>431666.21357160999</v>
      </c>
    </row>
    <row r="283" spans="2:15">
      <c r="B283" s="15">
        <v>2404</v>
      </c>
      <c r="C283" s="8">
        <v>1027</v>
      </c>
      <c r="D283" s="7">
        <f t="shared" si="28"/>
        <v>2468908</v>
      </c>
      <c r="E283" s="7">
        <f t="shared" si="29"/>
        <v>5779216</v>
      </c>
      <c r="F283" s="7">
        <f t="shared" si="30"/>
        <v>1054729</v>
      </c>
      <c r="G283" s="7">
        <f t="shared" si="31"/>
        <v>1672.8867</v>
      </c>
      <c r="H283" s="7">
        <f t="shared" si="32"/>
        <v>645.88670000000002</v>
      </c>
      <c r="I283" s="7">
        <f t="shared" si="33"/>
        <v>417169.62923689</v>
      </c>
      <c r="N283" t="s">
        <v>22</v>
      </c>
      <c r="O283">
        <f>D378-(L278*L279*L280)</f>
        <v>303620351.93590003</v>
      </c>
    </row>
    <row r="284" spans="2:15">
      <c r="B284" s="15">
        <v>2180</v>
      </c>
      <c r="C284" s="8">
        <v>1071</v>
      </c>
      <c r="D284" s="7">
        <f t="shared" si="28"/>
        <v>2334780</v>
      </c>
      <c r="E284" s="7">
        <f t="shared" si="29"/>
        <v>4752400</v>
      </c>
      <c r="F284" s="7">
        <f t="shared" si="30"/>
        <v>1147041</v>
      </c>
      <c r="G284" s="7">
        <f t="shared" si="31"/>
        <v>1518.4163000000001</v>
      </c>
      <c r="H284" s="7">
        <f t="shared" si="32"/>
        <v>447.41629999999998</v>
      </c>
      <c r="I284" s="7">
        <f t="shared" si="33"/>
        <v>200181.34550568997</v>
      </c>
    </row>
    <row r="285" spans="2:15">
      <c r="B285" s="15">
        <v>2165</v>
      </c>
      <c r="C285" s="8">
        <v>718</v>
      </c>
      <c r="D285" s="7">
        <f t="shared" si="28"/>
        <v>1554470</v>
      </c>
      <c r="E285" s="7">
        <f t="shared" si="29"/>
        <v>4687225</v>
      </c>
      <c r="F285" s="7">
        <f t="shared" si="30"/>
        <v>515524</v>
      </c>
      <c r="G285" s="7">
        <f t="shared" si="31"/>
        <v>1508.0723</v>
      </c>
      <c r="H285" s="7">
        <f t="shared" si="32"/>
        <v>790.07230000000004</v>
      </c>
      <c r="I285" s="7">
        <f t="shared" si="33"/>
        <v>624214.23922729003</v>
      </c>
    </row>
    <row r="286" spans="2:15">
      <c r="B286" s="15">
        <v>2167</v>
      </c>
      <c r="C286" s="8">
        <v>394</v>
      </c>
      <c r="D286" s="7">
        <f t="shared" si="28"/>
        <v>853798</v>
      </c>
      <c r="E286" s="7">
        <f t="shared" si="29"/>
        <v>4695889</v>
      </c>
      <c r="F286" s="7">
        <f t="shared" si="30"/>
        <v>155236</v>
      </c>
      <c r="G286" s="7">
        <f t="shared" si="31"/>
        <v>1509.4514999999999</v>
      </c>
      <c r="H286" s="7">
        <f t="shared" si="32"/>
        <v>1115.4514999999999</v>
      </c>
      <c r="I286" s="7">
        <f t="shared" si="33"/>
        <v>1244232.0488522497</v>
      </c>
    </row>
    <row r="287" spans="2:15">
      <c r="B287" s="15">
        <v>1997</v>
      </c>
      <c r="C287" s="8">
        <v>691</v>
      </c>
      <c r="D287" s="7">
        <f t="shared" si="28"/>
        <v>1379927</v>
      </c>
      <c r="E287" s="7">
        <f t="shared" si="29"/>
        <v>3988009</v>
      </c>
      <c r="F287" s="7">
        <f t="shared" si="30"/>
        <v>477481</v>
      </c>
      <c r="G287" s="7">
        <f t="shared" si="31"/>
        <v>1392.2194999999999</v>
      </c>
      <c r="H287" s="7">
        <f t="shared" si="32"/>
        <v>701.21950000000004</v>
      </c>
      <c r="I287" s="7">
        <f t="shared" si="33"/>
        <v>491708.78718025004</v>
      </c>
      <c r="N287" t="s">
        <v>22</v>
      </c>
      <c r="O287">
        <f>E378-(L278*(L279^2))</f>
        <v>440292950.62173325</v>
      </c>
    </row>
    <row r="288" spans="2:15">
      <c r="B288" s="15">
        <v>1827</v>
      </c>
      <c r="C288" s="8">
        <v>979</v>
      </c>
      <c r="D288" s="7">
        <f t="shared" si="28"/>
        <v>1788633</v>
      </c>
      <c r="E288" s="7">
        <f t="shared" si="29"/>
        <v>3337929</v>
      </c>
      <c r="F288" s="7">
        <f t="shared" si="30"/>
        <v>958441</v>
      </c>
      <c r="G288" s="7">
        <f t="shared" si="31"/>
        <v>1274.9875</v>
      </c>
      <c r="H288" s="7">
        <f t="shared" si="32"/>
        <v>295.98750000000001</v>
      </c>
      <c r="I288" s="7">
        <f t="shared" si="33"/>
        <v>87608.600156250002</v>
      </c>
    </row>
    <row r="289" spans="2:18">
      <c r="B289" s="15">
        <v>1708</v>
      </c>
      <c r="C289" s="8">
        <v>830</v>
      </c>
      <c r="D289" s="7">
        <f t="shared" si="28"/>
        <v>1417640</v>
      </c>
      <c r="E289" s="7">
        <f t="shared" si="29"/>
        <v>2917264</v>
      </c>
      <c r="F289" s="7">
        <f t="shared" si="30"/>
        <v>688900</v>
      </c>
      <c r="G289" s="7">
        <f t="shared" si="31"/>
        <v>1192.9250999999999</v>
      </c>
      <c r="H289" s="7">
        <f t="shared" si="32"/>
        <v>362.92509999999999</v>
      </c>
      <c r="I289" s="7">
        <f t="shared" si="33"/>
        <v>131714.62821000998</v>
      </c>
    </row>
    <row r="290" spans="2:18">
      <c r="B290" s="15">
        <v>1583</v>
      </c>
      <c r="C290" s="8">
        <v>949</v>
      </c>
      <c r="D290" s="7">
        <f t="shared" si="28"/>
        <v>1502267</v>
      </c>
      <c r="E290" s="7">
        <f t="shared" si="29"/>
        <v>2505889</v>
      </c>
      <c r="F290" s="7">
        <f t="shared" si="30"/>
        <v>900601</v>
      </c>
      <c r="G290" s="7">
        <f t="shared" si="31"/>
        <v>1106.7251000000001</v>
      </c>
      <c r="H290" s="7">
        <f t="shared" si="32"/>
        <v>157.7251</v>
      </c>
      <c r="I290" s="7">
        <f t="shared" si="33"/>
        <v>24877.207170009999</v>
      </c>
      <c r="N290" t="s">
        <v>22</v>
      </c>
      <c r="O290">
        <f>ROUND((F378-(L278*(L280^2))),4)</f>
        <v>285780855.92500001</v>
      </c>
    </row>
    <row r="291" spans="2:18">
      <c r="B291" s="15">
        <v>1416</v>
      </c>
      <c r="C291" s="8">
        <v>1007</v>
      </c>
      <c r="D291" s="7">
        <f t="shared" si="28"/>
        <v>1425912</v>
      </c>
      <c r="E291" s="7">
        <f t="shared" si="29"/>
        <v>2005056</v>
      </c>
      <c r="F291" s="7">
        <f t="shared" si="30"/>
        <v>1014049</v>
      </c>
      <c r="G291" s="7">
        <f t="shared" si="31"/>
        <v>991.56190000000004</v>
      </c>
      <c r="H291" s="7">
        <f t="shared" si="32"/>
        <v>-15.4381</v>
      </c>
      <c r="I291" s="7">
        <f t="shared" si="33"/>
        <v>238.33493161000001</v>
      </c>
    </row>
    <row r="292" spans="2:18">
      <c r="B292" s="15">
        <v>1414</v>
      </c>
      <c r="C292" s="8">
        <v>682</v>
      </c>
      <c r="D292" s="7">
        <f t="shared" si="28"/>
        <v>964348</v>
      </c>
      <c r="E292" s="7">
        <f t="shared" si="29"/>
        <v>1999396</v>
      </c>
      <c r="F292" s="7">
        <f t="shared" si="30"/>
        <v>465124</v>
      </c>
      <c r="G292" s="7">
        <f t="shared" si="31"/>
        <v>990.18269999999995</v>
      </c>
      <c r="H292" s="7">
        <f t="shared" si="32"/>
        <v>308.18270000000001</v>
      </c>
      <c r="I292" s="7">
        <f t="shared" si="33"/>
        <v>94976.576579290006</v>
      </c>
    </row>
    <row r="293" spans="2:18">
      <c r="B293" s="15">
        <v>1403</v>
      </c>
      <c r="C293" s="8">
        <v>365</v>
      </c>
      <c r="D293" s="7">
        <f t="shared" si="28"/>
        <v>512095</v>
      </c>
      <c r="E293" s="7">
        <f t="shared" si="29"/>
        <v>1968409</v>
      </c>
      <c r="F293" s="7">
        <f t="shared" si="30"/>
        <v>133225</v>
      </c>
      <c r="G293" s="7">
        <f t="shared" si="31"/>
        <v>982.59709999999995</v>
      </c>
      <c r="H293" s="7">
        <f t="shared" si="32"/>
        <v>617.59709999999995</v>
      </c>
      <c r="I293" s="7">
        <f t="shared" si="33"/>
        <v>381426.17792840995</v>
      </c>
      <c r="O293" s="15"/>
      <c r="P293" s="15"/>
      <c r="Q293" s="15"/>
      <c r="R293" s="15"/>
    </row>
    <row r="294" spans="2:18">
      <c r="B294" s="15">
        <v>1278</v>
      </c>
      <c r="C294" s="8">
        <v>847</v>
      </c>
      <c r="D294" s="7">
        <f t="shared" si="28"/>
        <v>1082466</v>
      </c>
      <c r="E294" s="7">
        <f t="shared" si="29"/>
        <v>1633284</v>
      </c>
      <c r="F294" s="7">
        <f t="shared" si="30"/>
        <v>717409</v>
      </c>
      <c r="G294" s="7">
        <f t="shared" si="31"/>
        <v>896.39710000000002</v>
      </c>
      <c r="H294" s="7">
        <f t="shared" si="32"/>
        <v>49.397100000000002</v>
      </c>
      <c r="I294" s="7">
        <f t="shared" si="33"/>
        <v>2440.0734884100002</v>
      </c>
      <c r="M294" t="s">
        <v>22</v>
      </c>
      <c r="N294">
        <f>O283/(SQRT(O287)*SQRT(O290))</f>
        <v>0.85594024542496694</v>
      </c>
      <c r="O294" s="15"/>
      <c r="P294" s="15"/>
      <c r="Q294" s="15">
        <f>N294^2</f>
        <v>0.73263370373815262</v>
      </c>
      <c r="R294" s="15"/>
    </row>
    <row r="295" spans="2:18">
      <c r="B295" s="15">
        <v>1201</v>
      </c>
      <c r="C295" s="8">
        <v>642</v>
      </c>
      <c r="D295" s="7">
        <f t="shared" si="28"/>
        <v>771042</v>
      </c>
      <c r="E295" s="7">
        <f t="shared" si="29"/>
        <v>1442401</v>
      </c>
      <c r="F295" s="7">
        <f t="shared" si="30"/>
        <v>412164</v>
      </c>
      <c r="G295" s="7">
        <f t="shared" si="31"/>
        <v>843.29790000000003</v>
      </c>
      <c r="H295" s="7">
        <f t="shared" si="32"/>
        <v>201.2979</v>
      </c>
      <c r="I295" s="7">
        <f t="shared" si="33"/>
        <v>40520.84454441</v>
      </c>
      <c r="O295" s="15"/>
      <c r="P295" s="15"/>
      <c r="Q295" s="15"/>
      <c r="R295" s="15"/>
    </row>
    <row r="296" spans="2:18">
      <c r="B296" s="15">
        <v>1102</v>
      </c>
      <c r="C296" s="8">
        <v>627</v>
      </c>
      <c r="D296" s="7">
        <f t="shared" si="28"/>
        <v>690954</v>
      </c>
      <c r="E296" s="7">
        <f t="shared" si="29"/>
        <v>1214404</v>
      </c>
      <c r="F296" s="7">
        <f t="shared" si="30"/>
        <v>393129</v>
      </c>
      <c r="G296" s="7">
        <f t="shared" si="31"/>
        <v>775.02750000000003</v>
      </c>
      <c r="H296" s="7">
        <f t="shared" si="32"/>
        <v>148.0275</v>
      </c>
      <c r="I296" s="7">
        <f t="shared" si="33"/>
        <v>21912.140756250003</v>
      </c>
    </row>
    <row r="297" spans="2:18">
      <c r="B297" s="15">
        <v>1046</v>
      </c>
      <c r="C297" s="8">
        <v>577</v>
      </c>
      <c r="D297" s="7">
        <f t="shared" si="28"/>
        <v>603542</v>
      </c>
      <c r="E297" s="7">
        <f t="shared" si="29"/>
        <v>1094116</v>
      </c>
      <c r="F297" s="7">
        <f t="shared" si="30"/>
        <v>332929</v>
      </c>
      <c r="G297" s="7">
        <f t="shared" si="31"/>
        <v>736.40989999999999</v>
      </c>
      <c r="H297" s="7">
        <f t="shared" si="32"/>
        <v>159.40989999999999</v>
      </c>
      <c r="I297" s="7">
        <f t="shared" si="33"/>
        <v>25411.516218009998</v>
      </c>
    </row>
    <row r="298" spans="2:18">
      <c r="B298" s="15">
        <v>980</v>
      </c>
      <c r="C298" s="8">
        <v>564</v>
      </c>
      <c r="D298" s="7">
        <f t="shared" si="28"/>
        <v>552720</v>
      </c>
      <c r="E298" s="7">
        <f t="shared" si="29"/>
        <v>960400</v>
      </c>
      <c r="F298" s="7">
        <f t="shared" si="30"/>
        <v>318096</v>
      </c>
      <c r="G298" s="7">
        <f t="shared" si="31"/>
        <v>690.8963</v>
      </c>
      <c r="H298" s="7">
        <f t="shared" si="32"/>
        <v>126.8963</v>
      </c>
      <c r="I298" s="7">
        <f t="shared" si="33"/>
        <v>16102.67095369</v>
      </c>
    </row>
    <row r="299" spans="2:18">
      <c r="B299" s="15">
        <v>976</v>
      </c>
      <c r="C299" s="8">
        <v>541</v>
      </c>
      <c r="D299" s="7">
        <f t="shared" si="28"/>
        <v>528016</v>
      </c>
      <c r="E299" s="7">
        <f t="shared" si="29"/>
        <v>952576</v>
      </c>
      <c r="F299" s="7">
        <f t="shared" si="30"/>
        <v>292681</v>
      </c>
      <c r="G299" s="7">
        <f t="shared" si="31"/>
        <v>688.13789999999995</v>
      </c>
      <c r="H299" s="7">
        <f t="shared" si="32"/>
        <v>147.1379</v>
      </c>
      <c r="I299" s="7">
        <f t="shared" si="33"/>
        <v>21649.561616409999</v>
      </c>
    </row>
    <row r="300" spans="2:18">
      <c r="B300" s="15">
        <v>996</v>
      </c>
      <c r="C300" s="8">
        <v>256</v>
      </c>
      <c r="D300" s="7">
        <f t="shared" si="28"/>
        <v>254976</v>
      </c>
      <c r="E300" s="7">
        <f t="shared" si="29"/>
        <v>992016</v>
      </c>
      <c r="F300" s="7">
        <f t="shared" si="30"/>
        <v>65536</v>
      </c>
      <c r="G300" s="7">
        <f t="shared" si="31"/>
        <v>701.92989999999998</v>
      </c>
      <c r="H300" s="7">
        <f t="shared" si="32"/>
        <v>445.92989999999998</v>
      </c>
      <c r="I300" s="7">
        <f t="shared" si="33"/>
        <v>198853.47571400998</v>
      </c>
    </row>
    <row r="301" spans="2:18">
      <c r="B301" s="15">
        <v>955</v>
      </c>
      <c r="C301" s="8">
        <v>384</v>
      </c>
      <c r="D301" s="7">
        <f t="shared" si="28"/>
        <v>366720</v>
      </c>
      <c r="E301" s="7">
        <f t="shared" si="29"/>
        <v>912025</v>
      </c>
      <c r="F301" s="7">
        <f t="shared" si="30"/>
        <v>147456</v>
      </c>
      <c r="G301" s="7">
        <f t="shared" si="31"/>
        <v>673.65629999999999</v>
      </c>
      <c r="H301" s="7">
        <f t="shared" si="32"/>
        <v>289.65629999999999</v>
      </c>
      <c r="I301" s="7">
        <f t="shared" si="33"/>
        <v>83900.772129689998</v>
      </c>
    </row>
    <row r="302" spans="2:18">
      <c r="B302" s="15">
        <v>856</v>
      </c>
      <c r="C302" s="8">
        <v>673</v>
      </c>
      <c r="D302" s="7">
        <f t="shared" si="28"/>
        <v>576088</v>
      </c>
      <c r="E302" s="7">
        <f t="shared" si="29"/>
        <v>732736</v>
      </c>
      <c r="F302" s="7">
        <f t="shared" si="30"/>
        <v>452929</v>
      </c>
      <c r="G302" s="7">
        <f t="shared" si="31"/>
        <v>605.38589999999999</v>
      </c>
      <c r="H302" s="7">
        <f t="shared" si="32"/>
        <v>-67.614099999999993</v>
      </c>
      <c r="I302" s="7">
        <f t="shared" si="33"/>
        <v>4571.6665188099987</v>
      </c>
      <c r="L302" t="s">
        <v>22</v>
      </c>
      <c r="M302">
        <f>ROUND((O283/O287),4)</f>
        <v>0.68959999999999999</v>
      </c>
    </row>
    <row r="303" spans="2:18">
      <c r="B303" s="15">
        <v>828</v>
      </c>
      <c r="C303" s="8">
        <v>485</v>
      </c>
      <c r="D303" s="7">
        <f t="shared" si="28"/>
        <v>401580</v>
      </c>
      <c r="E303" s="7">
        <f t="shared" si="29"/>
        <v>685584</v>
      </c>
      <c r="F303" s="7">
        <f t="shared" si="30"/>
        <v>235225</v>
      </c>
      <c r="G303" s="7">
        <f t="shared" si="31"/>
        <v>586.07709999999997</v>
      </c>
      <c r="H303" s="7">
        <f t="shared" si="32"/>
        <v>101.0771</v>
      </c>
      <c r="I303" s="7">
        <f t="shared" si="33"/>
        <v>10216.58014441</v>
      </c>
    </row>
    <row r="304" spans="2:18">
      <c r="B304" s="15">
        <v>789</v>
      </c>
      <c r="C304" s="8">
        <v>568</v>
      </c>
      <c r="D304" s="7">
        <f t="shared" si="28"/>
        <v>448152</v>
      </c>
      <c r="E304" s="7">
        <f t="shared" si="29"/>
        <v>622521</v>
      </c>
      <c r="F304" s="7">
        <f t="shared" si="30"/>
        <v>322624</v>
      </c>
      <c r="G304" s="7">
        <f t="shared" si="31"/>
        <v>559.18269999999995</v>
      </c>
      <c r="H304" s="7">
        <f t="shared" si="32"/>
        <v>-8.8172999999999995</v>
      </c>
      <c r="I304" s="7">
        <f t="shared" si="33"/>
        <v>77.744779289999997</v>
      </c>
    </row>
    <row r="305" spans="2:24">
      <c r="B305" s="15">
        <v>744</v>
      </c>
      <c r="C305" s="8">
        <v>457</v>
      </c>
      <c r="D305" s="7">
        <f t="shared" si="28"/>
        <v>340008</v>
      </c>
      <c r="E305" s="7">
        <f t="shared" si="29"/>
        <v>553536</v>
      </c>
      <c r="F305" s="7">
        <f t="shared" si="30"/>
        <v>208849</v>
      </c>
      <c r="G305" s="7">
        <f t="shared" si="31"/>
        <v>528.15070000000003</v>
      </c>
      <c r="H305" s="7">
        <f t="shared" si="32"/>
        <v>71.150700000000001</v>
      </c>
      <c r="I305" s="7">
        <f t="shared" si="33"/>
        <v>5062.4221104899998</v>
      </c>
      <c r="L305" t="s">
        <v>22</v>
      </c>
      <c r="M305">
        <f>ROUND((L280-(M302*L279)),4)</f>
        <v>15.0883</v>
      </c>
    </row>
    <row r="306" spans="2:24">
      <c r="B306" s="15">
        <v>765</v>
      </c>
      <c r="C306" s="8">
        <v>450</v>
      </c>
      <c r="D306" s="7">
        <f t="shared" si="28"/>
        <v>344250</v>
      </c>
      <c r="E306" s="7">
        <f t="shared" si="29"/>
        <v>585225</v>
      </c>
      <c r="F306" s="7">
        <f t="shared" si="30"/>
        <v>202500</v>
      </c>
      <c r="G306" s="7">
        <f t="shared" si="31"/>
        <v>542.63229999999999</v>
      </c>
      <c r="H306" s="7">
        <f t="shared" si="32"/>
        <v>92.632300000000001</v>
      </c>
      <c r="I306" s="7">
        <f t="shared" si="33"/>
        <v>8580.7430032899993</v>
      </c>
    </row>
    <row r="307" spans="2:24">
      <c r="B307" s="15">
        <v>771</v>
      </c>
      <c r="C307" s="8">
        <v>248</v>
      </c>
      <c r="D307" s="7">
        <f t="shared" si="28"/>
        <v>191208</v>
      </c>
      <c r="E307" s="7">
        <f t="shared" si="29"/>
        <v>594441</v>
      </c>
      <c r="F307" s="7">
        <f t="shared" si="30"/>
        <v>61504</v>
      </c>
      <c r="G307" s="7">
        <f t="shared" si="31"/>
        <v>546.76990000000001</v>
      </c>
      <c r="H307" s="7">
        <f t="shared" si="32"/>
        <v>298.76990000000001</v>
      </c>
      <c r="I307" s="7">
        <f t="shared" si="33"/>
        <v>89263.453146009997</v>
      </c>
    </row>
    <row r="308" spans="2:24">
      <c r="B308" s="15">
        <v>743</v>
      </c>
      <c r="C308" s="8">
        <v>434</v>
      </c>
      <c r="D308" s="7">
        <f t="shared" si="28"/>
        <v>322462</v>
      </c>
      <c r="E308" s="7">
        <f t="shared" si="29"/>
        <v>552049</v>
      </c>
      <c r="F308" s="7">
        <f t="shared" si="30"/>
        <v>188356</v>
      </c>
      <c r="G308" s="7">
        <f t="shared" si="31"/>
        <v>527.46109999999999</v>
      </c>
      <c r="H308" s="7">
        <f t="shared" si="32"/>
        <v>93.461100000000002</v>
      </c>
      <c r="I308" s="7">
        <f t="shared" si="33"/>
        <v>8734.9772132100006</v>
      </c>
    </row>
    <row r="309" spans="2:24">
      <c r="B309" s="15">
        <v>712</v>
      </c>
      <c r="C309" s="8">
        <v>575</v>
      </c>
      <c r="D309" s="7">
        <f t="shared" si="28"/>
        <v>409400</v>
      </c>
      <c r="E309" s="7">
        <f t="shared" si="29"/>
        <v>506944</v>
      </c>
      <c r="F309" s="7">
        <f t="shared" si="30"/>
        <v>330625</v>
      </c>
      <c r="G309" s="7">
        <f t="shared" si="31"/>
        <v>506.08350000000002</v>
      </c>
      <c r="H309" s="7">
        <f t="shared" si="32"/>
        <v>-68.916499999999999</v>
      </c>
      <c r="I309" s="7">
        <f t="shared" si="33"/>
        <v>4749.4839722500001</v>
      </c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</row>
    <row r="310" spans="2:24">
      <c r="B310" s="15">
        <v>695</v>
      </c>
      <c r="C310" s="8">
        <v>423</v>
      </c>
      <c r="D310" s="7">
        <f t="shared" si="28"/>
        <v>293985</v>
      </c>
      <c r="E310" s="7">
        <f t="shared" si="29"/>
        <v>483025</v>
      </c>
      <c r="F310" s="7">
        <f t="shared" si="30"/>
        <v>178929</v>
      </c>
      <c r="G310" s="7">
        <f t="shared" si="31"/>
        <v>494.3603</v>
      </c>
      <c r="H310" s="7">
        <f t="shared" si="32"/>
        <v>71.360299999999995</v>
      </c>
      <c r="I310" s="7">
        <f t="shared" si="33"/>
        <v>5092.2924160899993</v>
      </c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</row>
    <row r="311" spans="2:24">
      <c r="B311" s="15">
        <v>669</v>
      </c>
      <c r="C311" s="8">
        <v>488</v>
      </c>
      <c r="D311" s="7">
        <f t="shared" si="28"/>
        <v>326472</v>
      </c>
      <c r="E311" s="7">
        <f t="shared" si="29"/>
        <v>447561</v>
      </c>
      <c r="F311" s="7">
        <f t="shared" si="30"/>
        <v>238144</v>
      </c>
      <c r="G311" s="7">
        <f t="shared" si="31"/>
        <v>476.4307</v>
      </c>
      <c r="H311" s="7">
        <f t="shared" si="32"/>
        <v>-11.5693</v>
      </c>
      <c r="I311" s="7">
        <f t="shared" si="33"/>
        <v>133.84870248999999</v>
      </c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</row>
    <row r="312" spans="2:24">
      <c r="B312" s="15">
        <v>618</v>
      </c>
      <c r="C312" s="8">
        <v>344</v>
      </c>
      <c r="D312" s="7">
        <f t="shared" si="28"/>
        <v>212592</v>
      </c>
      <c r="E312" s="7">
        <f t="shared" si="29"/>
        <v>381924</v>
      </c>
      <c r="F312" s="7">
        <f t="shared" si="30"/>
        <v>118336</v>
      </c>
      <c r="G312" s="7">
        <f t="shared" si="31"/>
        <v>441.2611</v>
      </c>
      <c r="H312" s="7">
        <f t="shared" si="32"/>
        <v>97.261099999999999</v>
      </c>
      <c r="I312" s="7">
        <f t="shared" si="33"/>
        <v>9459.7215732099994</v>
      </c>
      <c r="J312" s="77"/>
      <c r="K312" s="38" t="s">
        <v>41</v>
      </c>
      <c r="L312" s="33">
        <f>ROUND(O290-N312*O283,4)</f>
        <v>76404261.230000004</v>
      </c>
      <c r="M312" s="38"/>
      <c r="N312" s="33">
        <f>M302</f>
        <v>0.68959999999999999</v>
      </c>
      <c r="O312" s="77"/>
      <c r="P312" s="77"/>
      <c r="Q312" s="77"/>
      <c r="R312" s="77"/>
      <c r="S312" s="77"/>
      <c r="T312" s="77"/>
      <c r="U312" s="77"/>
      <c r="V312" s="77"/>
      <c r="W312" s="77"/>
      <c r="X312" s="77"/>
    </row>
    <row r="313" spans="2:24">
      <c r="B313" s="15">
        <v>633</v>
      </c>
      <c r="C313" s="8">
        <v>365</v>
      </c>
      <c r="D313" s="7">
        <f t="shared" si="28"/>
        <v>231045</v>
      </c>
      <c r="E313" s="7">
        <f t="shared" si="29"/>
        <v>400689</v>
      </c>
      <c r="F313" s="7">
        <f t="shared" si="30"/>
        <v>133225</v>
      </c>
      <c r="G313" s="7">
        <f t="shared" si="31"/>
        <v>451.60509999999999</v>
      </c>
      <c r="H313" s="7">
        <f t="shared" si="32"/>
        <v>86.605099999999993</v>
      </c>
      <c r="I313" s="7">
        <f t="shared" si="33"/>
        <v>7500.443346009999</v>
      </c>
      <c r="J313" s="77"/>
      <c r="K313" s="36" t="s">
        <v>42</v>
      </c>
      <c r="L313" s="26">
        <f>ROUND((O283^2)/O287,4)</f>
        <v>209372686.93380001</v>
      </c>
      <c r="M313" s="77"/>
      <c r="N313" s="26"/>
      <c r="O313" s="77"/>
      <c r="P313" s="77"/>
      <c r="Q313" s="77"/>
      <c r="R313" s="77"/>
      <c r="S313" s="77"/>
      <c r="T313" s="77"/>
      <c r="U313" s="77"/>
      <c r="V313" s="77"/>
      <c r="W313" s="77"/>
      <c r="X313" s="77"/>
    </row>
    <row r="314" spans="2:24">
      <c r="B314" s="15">
        <v>623</v>
      </c>
      <c r="C314" s="8">
        <v>309</v>
      </c>
      <c r="D314" s="7">
        <f t="shared" si="28"/>
        <v>192507</v>
      </c>
      <c r="E314" s="7">
        <f t="shared" si="29"/>
        <v>388129</v>
      </c>
      <c r="F314" s="7">
        <f t="shared" si="30"/>
        <v>95481</v>
      </c>
      <c r="G314" s="7">
        <f t="shared" si="31"/>
        <v>444.70909999999998</v>
      </c>
      <c r="H314" s="7">
        <f t="shared" si="32"/>
        <v>135.70910000000001</v>
      </c>
      <c r="I314" s="7">
        <f t="shared" si="33"/>
        <v>18416.95982281</v>
      </c>
      <c r="J314" s="77"/>
      <c r="K314" s="36" t="s">
        <v>43</v>
      </c>
      <c r="L314" s="26">
        <f>O290</f>
        <v>285780855.92500001</v>
      </c>
      <c r="M314" s="77"/>
      <c r="N314" s="26">
        <f>M305</f>
        <v>15.0883</v>
      </c>
      <c r="O314" s="77"/>
      <c r="P314" s="77"/>
      <c r="Q314" s="77"/>
      <c r="R314" s="77"/>
      <c r="S314" s="77"/>
      <c r="T314" s="77"/>
      <c r="U314" s="77"/>
      <c r="V314" s="77"/>
      <c r="W314" s="77"/>
      <c r="X314" s="77"/>
    </row>
    <row r="315" spans="2:24">
      <c r="B315" s="15">
        <v>584</v>
      </c>
      <c r="C315" s="8">
        <v>388</v>
      </c>
      <c r="D315" s="7">
        <f t="shared" si="28"/>
        <v>226592</v>
      </c>
      <c r="E315" s="7">
        <f t="shared" si="29"/>
        <v>341056</v>
      </c>
      <c r="F315" s="7">
        <f t="shared" si="30"/>
        <v>150544</v>
      </c>
      <c r="G315" s="7">
        <f t="shared" si="31"/>
        <v>417.81470000000002</v>
      </c>
      <c r="H315" s="7">
        <f t="shared" si="32"/>
        <v>29.814699999999998</v>
      </c>
      <c r="I315" s="7">
        <f t="shared" si="33"/>
        <v>888.91633608999996</v>
      </c>
      <c r="J315" s="77"/>
      <c r="K315" s="36" t="s">
        <v>59</v>
      </c>
      <c r="L315" s="26">
        <f>ROUND(SQRT(L312/(L278-2)),4)</f>
        <v>804.67</v>
      </c>
      <c r="M315" s="77"/>
      <c r="N315" s="26"/>
      <c r="O315" s="77"/>
      <c r="P315" s="77"/>
      <c r="Q315" s="77"/>
      <c r="R315" s="77"/>
      <c r="S315" s="77"/>
      <c r="T315" s="77"/>
      <c r="U315" s="77"/>
      <c r="V315" s="77"/>
      <c r="W315" s="77"/>
      <c r="X315" s="77"/>
    </row>
    <row r="316" spans="2:24" ht="13.5" thickBot="1">
      <c r="B316" s="15">
        <v>558</v>
      </c>
      <c r="C316" s="8">
        <v>618</v>
      </c>
      <c r="D316" s="7">
        <f t="shared" si="28"/>
        <v>344844</v>
      </c>
      <c r="E316" s="7">
        <f t="shared" si="29"/>
        <v>311364</v>
      </c>
      <c r="F316" s="7">
        <f t="shared" si="30"/>
        <v>381924</v>
      </c>
      <c r="G316" s="7">
        <f t="shared" si="31"/>
        <v>399.88510000000002</v>
      </c>
      <c r="H316" s="7">
        <f t="shared" si="32"/>
        <v>-218.11490000000001</v>
      </c>
      <c r="I316" s="7">
        <f t="shared" si="33"/>
        <v>47574.109602010001</v>
      </c>
      <c r="J316" s="77"/>
      <c r="K316" s="37"/>
      <c r="L316" s="27"/>
      <c r="M316" s="37"/>
      <c r="N316" s="27">
        <f>ROUND(N312*SQRT(O287/O290),4)</f>
        <v>0.85599999999999998</v>
      </c>
      <c r="O316" s="77"/>
      <c r="P316" s="77"/>
      <c r="Q316" s="77"/>
      <c r="R316" s="77"/>
      <c r="S316" s="77"/>
      <c r="T316" s="77"/>
      <c r="U316" s="77"/>
      <c r="V316" s="77"/>
      <c r="W316" s="77"/>
      <c r="X316" s="77"/>
    </row>
    <row r="317" spans="2:24">
      <c r="B317" s="15">
        <v>538</v>
      </c>
      <c r="C317" s="8">
        <v>592</v>
      </c>
      <c r="D317" s="7">
        <f t="shared" si="28"/>
        <v>318496</v>
      </c>
      <c r="E317" s="7">
        <f t="shared" si="29"/>
        <v>289444</v>
      </c>
      <c r="F317" s="7">
        <f t="shared" si="30"/>
        <v>350464</v>
      </c>
      <c r="G317" s="7">
        <f t="shared" si="31"/>
        <v>386.09309999999999</v>
      </c>
      <c r="H317" s="7">
        <f t="shared" si="32"/>
        <v>-205.90690000000001</v>
      </c>
      <c r="I317" s="7">
        <f t="shared" si="33"/>
        <v>42397.651467610005</v>
      </c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</row>
    <row r="318" spans="2:24" ht="13.5" thickBot="1">
      <c r="B318" s="15">
        <v>513</v>
      </c>
      <c r="C318" s="8">
        <v>548</v>
      </c>
      <c r="D318" s="7">
        <f t="shared" si="28"/>
        <v>281124</v>
      </c>
      <c r="E318" s="7">
        <f t="shared" si="29"/>
        <v>263169</v>
      </c>
      <c r="F318" s="7">
        <f t="shared" si="30"/>
        <v>300304</v>
      </c>
      <c r="G318" s="7">
        <f t="shared" si="31"/>
        <v>368.85309999999998</v>
      </c>
      <c r="H318" s="7">
        <f t="shared" si="32"/>
        <v>-179.14689999999999</v>
      </c>
      <c r="I318" s="7">
        <f t="shared" si="33"/>
        <v>32093.611779609997</v>
      </c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</row>
    <row r="319" spans="2:24">
      <c r="B319" s="15">
        <v>512</v>
      </c>
      <c r="C319" s="8">
        <v>280</v>
      </c>
      <c r="D319" s="7">
        <f t="shared" si="28"/>
        <v>143360</v>
      </c>
      <c r="E319" s="7">
        <f t="shared" si="29"/>
        <v>262144</v>
      </c>
      <c r="F319" s="7">
        <f t="shared" si="30"/>
        <v>78400</v>
      </c>
      <c r="G319" s="7">
        <f t="shared" si="31"/>
        <v>368.1635</v>
      </c>
      <c r="H319" s="7">
        <f t="shared" si="32"/>
        <v>88.163499999999999</v>
      </c>
      <c r="I319" s="7">
        <f t="shared" si="33"/>
        <v>7772.8027322500002</v>
      </c>
      <c r="J319" s="77"/>
      <c r="K319" s="20"/>
      <c r="L319" s="20" t="s">
        <v>55</v>
      </c>
      <c r="M319" s="20" t="s">
        <v>48</v>
      </c>
      <c r="N319" s="20" t="s">
        <v>49</v>
      </c>
      <c r="O319" s="20" t="s">
        <v>50</v>
      </c>
      <c r="P319" s="20" t="s">
        <v>51</v>
      </c>
      <c r="Q319" s="77"/>
      <c r="R319" s="77"/>
      <c r="S319" s="77"/>
      <c r="T319" s="77"/>
      <c r="U319" s="77"/>
      <c r="V319" s="77"/>
      <c r="W319" s="77"/>
      <c r="X319" s="77"/>
    </row>
    <row r="320" spans="2:24">
      <c r="B320" s="15">
        <v>517</v>
      </c>
      <c r="C320" s="8">
        <v>193</v>
      </c>
      <c r="D320" s="7">
        <f t="shared" si="28"/>
        <v>99781</v>
      </c>
      <c r="E320" s="7">
        <f t="shared" si="29"/>
        <v>267289</v>
      </c>
      <c r="F320" s="7">
        <f t="shared" si="30"/>
        <v>37249</v>
      </c>
      <c r="G320" s="7">
        <f t="shared" si="31"/>
        <v>371.61149999999998</v>
      </c>
      <c r="H320" s="7">
        <f t="shared" si="32"/>
        <v>178.61150000000001</v>
      </c>
      <c r="I320" s="7">
        <f t="shared" si="33"/>
        <v>31902.067932250004</v>
      </c>
      <c r="J320" s="77"/>
      <c r="K320" s="76" t="s">
        <v>56</v>
      </c>
      <c r="L320" s="18" t="s">
        <v>45</v>
      </c>
      <c r="M320" s="18">
        <v>1</v>
      </c>
      <c r="N320" s="18">
        <f>L313</f>
        <v>209372686.93380001</v>
      </c>
      <c r="O320" s="18">
        <f>N320/M320</f>
        <v>209372686.93380001</v>
      </c>
      <c r="P320" s="18">
        <f>O320/O321</f>
        <v>323.358627653187</v>
      </c>
      <c r="Q320" s="77"/>
      <c r="R320" s="77"/>
      <c r="S320" s="77"/>
      <c r="T320" s="77"/>
      <c r="U320" s="77"/>
      <c r="V320" s="77"/>
      <c r="W320" s="77"/>
      <c r="X320" s="77"/>
    </row>
    <row r="321" spans="2:24">
      <c r="B321" s="15">
        <v>536</v>
      </c>
      <c r="C321" s="8">
        <v>159</v>
      </c>
      <c r="D321" s="7">
        <f t="shared" si="28"/>
        <v>85224</v>
      </c>
      <c r="E321" s="7">
        <f t="shared" si="29"/>
        <v>287296</v>
      </c>
      <c r="F321" s="7">
        <f t="shared" si="30"/>
        <v>25281</v>
      </c>
      <c r="G321" s="7">
        <f t="shared" si="31"/>
        <v>384.71390000000002</v>
      </c>
      <c r="H321" s="7">
        <f t="shared" si="32"/>
        <v>225.7139</v>
      </c>
      <c r="I321" s="7">
        <f t="shared" si="33"/>
        <v>50946.764653209997</v>
      </c>
      <c r="J321" s="77"/>
      <c r="K321" s="76" t="s">
        <v>57</v>
      </c>
      <c r="L321" s="18" t="s">
        <v>46</v>
      </c>
      <c r="M321" s="77">
        <v>118</v>
      </c>
      <c r="N321" s="18">
        <f>L312</f>
        <v>76404261.230000004</v>
      </c>
      <c r="O321" s="18">
        <f>N321/M321</f>
        <v>647493.73923728813</v>
      </c>
      <c r="P321" s="18"/>
      <c r="Q321" s="77"/>
      <c r="R321" s="77"/>
      <c r="S321" s="77"/>
      <c r="T321" s="77"/>
      <c r="U321" s="77"/>
      <c r="V321" s="77"/>
      <c r="W321" s="77"/>
      <c r="X321" s="77"/>
    </row>
    <row r="322" spans="2:24" ht="13.5" thickBot="1">
      <c r="B322" s="15">
        <v>504</v>
      </c>
      <c r="C322" s="8">
        <v>874</v>
      </c>
      <c r="D322" s="7">
        <f t="shared" si="28"/>
        <v>440496</v>
      </c>
      <c r="E322" s="7">
        <f t="shared" si="29"/>
        <v>254016</v>
      </c>
      <c r="F322" s="7">
        <f t="shared" si="30"/>
        <v>763876</v>
      </c>
      <c r="G322" s="7">
        <f t="shared" si="31"/>
        <v>362.64670000000001</v>
      </c>
      <c r="H322" s="7">
        <f t="shared" si="32"/>
        <v>-511.35329999999999</v>
      </c>
      <c r="I322" s="7">
        <f t="shared" si="33"/>
        <v>261482.19742088998</v>
      </c>
      <c r="J322" s="77"/>
      <c r="K322" s="24" t="s">
        <v>58</v>
      </c>
      <c r="L322" s="19" t="s">
        <v>47</v>
      </c>
      <c r="M322" s="28">
        <v>119</v>
      </c>
      <c r="N322" s="19">
        <f>L314</f>
        <v>285780855.92500001</v>
      </c>
      <c r="O322" s="19"/>
      <c r="P322" s="19"/>
      <c r="Q322" s="77"/>
      <c r="R322" s="77"/>
      <c r="S322" s="77"/>
      <c r="T322" s="77"/>
      <c r="U322" s="77"/>
      <c r="V322" s="77"/>
      <c r="W322" s="77"/>
      <c r="X322" s="77"/>
    </row>
    <row r="323" spans="2:24">
      <c r="B323" s="15">
        <v>488</v>
      </c>
      <c r="C323" s="8">
        <v>663</v>
      </c>
      <c r="D323" s="7">
        <f t="shared" ref="D323:D377" si="34">B323*C323</f>
        <v>323544</v>
      </c>
      <c r="E323" s="7">
        <f t="shared" ref="E323:E377" si="35">B323^2</f>
        <v>238144</v>
      </c>
      <c r="F323" s="7">
        <f t="shared" ref="F323:F377" si="36">C323^2</f>
        <v>439569</v>
      </c>
      <c r="G323" s="7">
        <f t="shared" ref="G323:G377" si="37">ROUND($M$305+$M$302*B323,4)</f>
        <v>351.61309999999997</v>
      </c>
      <c r="H323" s="7">
        <f t="shared" ref="H323:H377" si="38">ROUND(G323-C323,4)</f>
        <v>-311.38690000000003</v>
      </c>
      <c r="I323" s="7">
        <f t="shared" ref="I323:I377" si="39">H323^2</f>
        <v>96961.801491610022</v>
      </c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</row>
    <row r="324" spans="2:24">
      <c r="B324" s="15">
        <v>495</v>
      </c>
      <c r="C324" s="8">
        <v>602</v>
      </c>
      <c r="D324" s="7">
        <f t="shared" si="34"/>
        <v>297990</v>
      </c>
      <c r="E324" s="7">
        <f t="shared" si="35"/>
        <v>245025</v>
      </c>
      <c r="F324" s="7">
        <f t="shared" si="36"/>
        <v>362404</v>
      </c>
      <c r="G324" s="7">
        <f t="shared" si="37"/>
        <v>356.44029999999998</v>
      </c>
      <c r="H324" s="7">
        <f t="shared" si="38"/>
        <v>-245.55969999999999</v>
      </c>
      <c r="I324" s="7">
        <f t="shared" si="39"/>
        <v>60299.566264089997</v>
      </c>
      <c r="J324" s="77"/>
      <c r="K324" s="73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</row>
    <row r="325" spans="2:24">
      <c r="B325" s="15">
        <v>486</v>
      </c>
      <c r="C325" s="8">
        <v>694</v>
      </c>
      <c r="D325" s="7">
        <f t="shared" si="34"/>
        <v>337284</v>
      </c>
      <c r="E325" s="7">
        <f t="shared" si="35"/>
        <v>236196</v>
      </c>
      <c r="F325" s="7">
        <f t="shared" si="36"/>
        <v>481636</v>
      </c>
      <c r="G325" s="7">
        <f t="shared" si="37"/>
        <v>350.23390000000001</v>
      </c>
      <c r="H325" s="7">
        <f t="shared" si="38"/>
        <v>-343.76609999999999</v>
      </c>
      <c r="I325" s="7">
        <f t="shared" si="39"/>
        <v>118175.13150921</v>
      </c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</row>
    <row r="326" spans="2:24">
      <c r="B326" s="15">
        <v>466</v>
      </c>
      <c r="C326" s="8">
        <v>601</v>
      </c>
      <c r="D326" s="7">
        <f t="shared" si="34"/>
        <v>280066</v>
      </c>
      <c r="E326" s="7">
        <f t="shared" si="35"/>
        <v>217156</v>
      </c>
      <c r="F326" s="7">
        <f t="shared" si="36"/>
        <v>361201</v>
      </c>
      <c r="G326" s="7">
        <f t="shared" si="37"/>
        <v>336.44189999999998</v>
      </c>
      <c r="H326" s="7">
        <f t="shared" si="38"/>
        <v>-264.55810000000002</v>
      </c>
      <c r="I326" s="7">
        <f t="shared" si="39"/>
        <v>69990.988275610012</v>
      </c>
      <c r="J326" s="77"/>
      <c r="K326" s="14"/>
      <c r="L326" s="14"/>
      <c r="M326" s="14"/>
      <c r="N326" s="14"/>
      <c r="O326" s="14"/>
      <c r="P326" s="77"/>
      <c r="Q326" s="77"/>
      <c r="R326" s="77"/>
      <c r="S326" s="77"/>
      <c r="T326" s="77"/>
      <c r="U326" s="77"/>
      <c r="V326" s="77"/>
      <c r="W326" s="77"/>
      <c r="X326" s="77"/>
    </row>
    <row r="327" spans="2:24">
      <c r="B327" s="15">
        <v>466</v>
      </c>
      <c r="C327" s="8">
        <v>566</v>
      </c>
      <c r="D327" s="7">
        <f t="shared" si="34"/>
        <v>263756</v>
      </c>
      <c r="E327" s="7">
        <f t="shared" si="35"/>
        <v>217156</v>
      </c>
      <c r="F327" s="7">
        <f t="shared" si="36"/>
        <v>320356</v>
      </c>
      <c r="G327" s="7">
        <f t="shared" si="37"/>
        <v>336.44189999999998</v>
      </c>
      <c r="H327" s="7">
        <f t="shared" si="38"/>
        <v>-229.5581</v>
      </c>
      <c r="I327" s="7">
        <f t="shared" si="39"/>
        <v>52696.921275609995</v>
      </c>
      <c r="J327" s="77"/>
      <c r="K327" s="29" t="s">
        <v>80</v>
      </c>
      <c r="L327" s="14">
        <v>0.05</v>
      </c>
      <c r="M327" s="14"/>
      <c r="N327" s="14"/>
      <c r="O327" s="14"/>
      <c r="P327" s="77"/>
      <c r="Q327" s="77"/>
      <c r="R327" s="77"/>
      <c r="S327" s="77"/>
      <c r="T327" s="77"/>
      <c r="U327" s="77"/>
      <c r="V327" s="77"/>
      <c r="W327" s="77"/>
      <c r="X327" s="77"/>
    </row>
    <row r="328" spans="2:24">
      <c r="B328" s="15">
        <v>479</v>
      </c>
      <c r="C328" s="8">
        <v>271</v>
      </c>
      <c r="D328" s="7">
        <f t="shared" si="34"/>
        <v>129809</v>
      </c>
      <c r="E328" s="7">
        <f t="shared" si="35"/>
        <v>229441</v>
      </c>
      <c r="F328" s="7">
        <f t="shared" si="36"/>
        <v>73441</v>
      </c>
      <c r="G328" s="7">
        <f t="shared" si="37"/>
        <v>345.4067</v>
      </c>
      <c r="H328" s="7">
        <f t="shared" si="38"/>
        <v>74.406700000000001</v>
      </c>
      <c r="I328" s="7">
        <f t="shared" si="39"/>
        <v>5536.3570048900001</v>
      </c>
      <c r="J328" s="77"/>
      <c r="K328" s="14"/>
      <c r="L328" s="14"/>
      <c r="M328" s="14"/>
      <c r="N328" s="14"/>
      <c r="O328" s="14"/>
      <c r="P328" s="77"/>
      <c r="Q328" s="77"/>
      <c r="R328" s="77"/>
      <c r="S328" s="77"/>
      <c r="T328" s="77"/>
      <c r="U328" s="77"/>
      <c r="V328" s="77"/>
      <c r="W328" s="77"/>
      <c r="X328" s="77"/>
    </row>
    <row r="329" spans="2:24">
      <c r="B329" s="15">
        <v>459</v>
      </c>
      <c r="C329" s="8">
        <v>408</v>
      </c>
      <c r="D329" s="7">
        <f t="shared" si="34"/>
        <v>187272</v>
      </c>
      <c r="E329" s="7">
        <f t="shared" si="35"/>
        <v>210681</v>
      </c>
      <c r="F329" s="7">
        <f t="shared" si="36"/>
        <v>166464</v>
      </c>
      <c r="G329" s="7">
        <f t="shared" si="37"/>
        <v>331.61470000000003</v>
      </c>
      <c r="H329" s="7">
        <f t="shared" si="38"/>
        <v>-76.385300000000001</v>
      </c>
      <c r="I329" s="7">
        <f t="shared" si="39"/>
        <v>5834.7140560899998</v>
      </c>
      <c r="J329" s="77"/>
      <c r="K329" s="14"/>
      <c r="L329" s="14"/>
      <c r="M329" s="14"/>
      <c r="N329" s="14"/>
      <c r="O329" s="14"/>
      <c r="P329" s="77"/>
      <c r="Q329" s="77"/>
      <c r="R329" s="77"/>
      <c r="S329" s="77"/>
      <c r="T329" s="77"/>
      <c r="U329" s="77"/>
      <c r="V329" s="77"/>
      <c r="W329" s="77"/>
      <c r="X329" s="77"/>
    </row>
    <row r="330" spans="2:24">
      <c r="B330" s="15">
        <v>447</v>
      </c>
      <c r="C330" s="8">
        <v>684</v>
      </c>
      <c r="D330" s="7">
        <f t="shared" si="34"/>
        <v>305748</v>
      </c>
      <c r="E330" s="7">
        <f t="shared" si="35"/>
        <v>199809</v>
      </c>
      <c r="F330" s="7">
        <f t="shared" si="36"/>
        <v>467856</v>
      </c>
      <c r="G330" s="7">
        <f t="shared" si="37"/>
        <v>323.33949999999999</v>
      </c>
      <c r="H330" s="7">
        <f t="shared" si="38"/>
        <v>-360.66050000000001</v>
      </c>
      <c r="I330" s="7">
        <f t="shared" si="39"/>
        <v>130075.99626025002</v>
      </c>
      <c r="J330" s="77"/>
      <c r="K330" s="14"/>
      <c r="L330" s="14"/>
      <c r="M330" s="14"/>
      <c r="N330" s="14"/>
      <c r="O330" s="14"/>
      <c r="P330" s="77"/>
      <c r="Q330" s="77"/>
      <c r="R330" s="77"/>
      <c r="S330" s="77"/>
      <c r="T330" s="77"/>
      <c r="U330" s="77"/>
      <c r="V330" s="77"/>
      <c r="W330" s="77"/>
      <c r="X330" s="77"/>
    </row>
    <row r="331" spans="2:24">
      <c r="B331" s="15">
        <v>423</v>
      </c>
      <c r="C331" s="8">
        <v>501</v>
      </c>
      <c r="D331" s="7">
        <f t="shared" si="34"/>
        <v>211923</v>
      </c>
      <c r="E331" s="7">
        <f t="shared" si="35"/>
        <v>178929</v>
      </c>
      <c r="F331" s="7">
        <f t="shared" si="36"/>
        <v>251001</v>
      </c>
      <c r="G331" s="7">
        <f t="shared" si="37"/>
        <v>306.78910000000002</v>
      </c>
      <c r="H331" s="7">
        <f t="shared" si="38"/>
        <v>-194.21090000000001</v>
      </c>
      <c r="I331" s="7">
        <f t="shared" si="39"/>
        <v>37717.873678810007</v>
      </c>
      <c r="J331" s="77"/>
      <c r="K331" s="29" t="s">
        <v>133</v>
      </c>
      <c r="L331" s="14">
        <f>P320</f>
        <v>323.358627653187</v>
      </c>
      <c r="M331" s="14"/>
      <c r="N331" s="14"/>
      <c r="O331" s="14"/>
      <c r="P331" s="77"/>
      <c r="Q331" s="77"/>
      <c r="R331" s="77"/>
      <c r="S331" s="77"/>
      <c r="T331" s="77"/>
      <c r="U331" s="77"/>
      <c r="V331" s="77"/>
      <c r="W331" s="77"/>
      <c r="X331" s="77"/>
    </row>
    <row r="332" spans="2:24">
      <c r="B332" s="15">
        <v>429</v>
      </c>
      <c r="C332" s="8">
        <v>553</v>
      </c>
      <c r="D332" s="7">
        <f t="shared" si="34"/>
        <v>237237</v>
      </c>
      <c r="E332" s="7">
        <f t="shared" si="35"/>
        <v>184041</v>
      </c>
      <c r="F332" s="7">
        <f t="shared" si="36"/>
        <v>305809</v>
      </c>
      <c r="G332" s="7">
        <f t="shared" si="37"/>
        <v>310.92669999999998</v>
      </c>
      <c r="H332" s="7">
        <f t="shared" si="38"/>
        <v>-242.07329999999999</v>
      </c>
      <c r="I332" s="7">
        <f t="shared" si="39"/>
        <v>58599.482572889996</v>
      </c>
      <c r="J332" s="77"/>
      <c r="K332" s="14"/>
      <c r="L332" s="14"/>
      <c r="M332" s="14"/>
      <c r="N332" s="14"/>
      <c r="O332" s="14"/>
      <c r="P332" s="77"/>
      <c r="Q332" s="77"/>
      <c r="R332" s="77"/>
      <c r="S332" s="77"/>
      <c r="T332" s="77"/>
      <c r="U332" s="77"/>
      <c r="V332" s="77"/>
      <c r="W332" s="77"/>
      <c r="X332" s="77"/>
    </row>
    <row r="333" spans="2:24">
      <c r="B333" s="15">
        <v>415</v>
      </c>
      <c r="C333" s="8">
        <v>649</v>
      </c>
      <c r="D333" s="7">
        <f t="shared" si="34"/>
        <v>269335</v>
      </c>
      <c r="E333" s="7">
        <f t="shared" si="35"/>
        <v>172225</v>
      </c>
      <c r="F333" s="7">
        <f t="shared" si="36"/>
        <v>421201</v>
      </c>
      <c r="G333" s="7">
        <f t="shared" si="37"/>
        <v>301.27229999999997</v>
      </c>
      <c r="H333" s="7">
        <f t="shared" si="38"/>
        <v>-347.72770000000003</v>
      </c>
      <c r="I333" s="7">
        <f t="shared" si="39"/>
        <v>120914.55334729001</v>
      </c>
      <c r="J333" s="77"/>
      <c r="K333" s="14"/>
      <c r="L333" s="14"/>
      <c r="M333" s="14"/>
      <c r="N333" s="14"/>
      <c r="O333" s="14"/>
      <c r="P333" s="77"/>
      <c r="Q333" s="77"/>
      <c r="R333" s="77"/>
      <c r="S333" s="77"/>
      <c r="T333" s="77"/>
      <c r="U333" s="77"/>
      <c r="V333" s="77"/>
      <c r="W333" s="77"/>
      <c r="X333" s="77"/>
    </row>
    <row r="334" spans="2:24">
      <c r="B334" s="15">
        <v>428</v>
      </c>
      <c r="C334" s="8">
        <v>441</v>
      </c>
      <c r="D334" s="7">
        <f t="shared" si="34"/>
        <v>188748</v>
      </c>
      <c r="E334" s="7">
        <f t="shared" si="35"/>
        <v>183184</v>
      </c>
      <c r="F334" s="7">
        <f t="shared" si="36"/>
        <v>194481</v>
      </c>
      <c r="G334" s="7">
        <f t="shared" si="37"/>
        <v>310.2371</v>
      </c>
      <c r="H334" s="7">
        <f t="shared" si="38"/>
        <v>-130.7629</v>
      </c>
      <c r="I334" s="7">
        <f t="shared" si="39"/>
        <v>17098.93601641</v>
      </c>
      <c r="J334" s="77"/>
      <c r="K334" s="14" t="str">
        <f>"f(0,05);("&amp;M320&amp;","&amp;M321&amp;")="</f>
        <v>f(0,05);(1,118)=</v>
      </c>
      <c r="L334" s="14">
        <f>ROUND(_xlfn.F.INV.RT(L327,M320,M321),4)</f>
        <v>3.9215</v>
      </c>
      <c r="M334" s="14"/>
      <c r="N334" s="14"/>
      <c r="O334" s="14"/>
      <c r="P334" s="77"/>
      <c r="Q334" s="77"/>
      <c r="R334" s="77"/>
      <c r="S334" s="77"/>
      <c r="T334" s="77"/>
      <c r="U334" s="77"/>
      <c r="V334" s="77"/>
      <c r="W334" s="77"/>
      <c r="X334" s="77"/>
    </row>
    <row r="335" spans="2:24">
      <c r="B335" s="15">
        <v>454</v>
      </c>
      <c r="C335" s="8">
        <v>220</v>
      </c>
      <c r="D335" s="7">
        <f t="shared" si="34"/>
        <v>99880</v>
      </c>
      <c r="E335" s="7">
        <f t="shared" si="35"/>
        <v>206116</v>
      </c>
      <c r="F335" s="7">
        <f t="shared" si="36"/>
        <v>48400</v>
      </c>
      <c r="G335" s="7">
        <f t="shared" si="37"/>
        <v>328.16669999999999</v>
      </c>
      <c r="H335" s="7">
        <f t="shared" si="38"/>
        <v>108.16670000000001</v>
      </c>
      <c r="I335" s="7">
        <f t="shared" si="39"/>
        <v>11700.034988890002</v>
      </c>
      <c r="J335" s="77"/>
      <c r="K335" s="14"/>
      <c r="L335" s="14"/>
      <c r="M335" s="14"/>
      <c r="N335" s="14"/>
      <c r="O335" s="14"/>
      <c r="P335" s="77"/>
      <c r="Q335" s="77"/>
      <c r="R335" s="77"/>
      <c r="S335" s="77"/>
      <c r="T335" s="77"/>
      <c r="U335" s="77"/>
      <c r="V335" s="77"/>
      <c r="W335" s="77"/>
      <c r="X335" s="77"/>
    </row>
    <row r="336" spans="2:24">
      <c r="B336" s="15">
        <v>429</v>
      </c>
      <c r="C336" s="8">
        <v>424</v>
      </c>
      <c r="D336" s="7">
        <f t="shared" si="34"/>
        <v>181896</v>
      </c>
      <c r="E336" s="7">
        <f t="shared" si="35"/>
        <v>184041</v>
      </c>
      <c r="F336" s="7">
        <f t="shared" si="36"/>
        <v>179776</v>
      </c>
      <c r="G336" s="7">
        <f t="shared" si="37"/>
        <v>310.92669999999998</v>
      </c>
      <c r="H336" s="7">
        <f t="shared" si="38"/>
        <v>-113.0733</v>
      </c>
      <c r="I336" s="7">
        <f t="shared" si="39"/>
        <v>12785.571172890001</v>
      </c>
      <c r="J336" s="77"/>
      <c r="K336" s="14" t="str">
        <f>IF(L334&lt;=L331, "R: Como  " &amp;ROUND(L334,4) &amp;" &lt; "&amp;ROUND(L331,4)&amp;" o modelo é significativo","R: Como  " &amp;ROUND(L334,4) &amp;" &gt; "&amp;ROUND(L331,4)&amp;" o modelo não é significativo" )</f>
        <v>R: Como  3,9215 &lt; 323,3586 o modelo é significativo</v>
      </c>
      <c r="L336" s="14"/>
      <c r="M336" s="14"/>
      <c r="N336" s="14"/>
      <c r="O336" s="14"/>
      <c r="P336" s="77"/>
      <c r="Q336" s="77"/>
      <c r="R336" s="77"/>
      <c r="S336" s="77"/>
      <c r="T336" s="77"/>
      <c r="U336" s="77"/>
      <c r="V336" s="77"/>
      <c r="W336" s="77"/>
      <c r="X336" s="77"/>
    </row>
    <row r="337" spans="2:9">
      <c r="B337" s="15">
        <v>397</v>
      </c>
      <c r="C337" s="8">
        <v>610</v>
      </c>
      <c r="D337" s="7">
        <f t="shared" si="34"/>
        <v>242170</v>
      </c>
      <c r="E337" s="7">
        <f t="shared" si="35"/>
        <v>157609</v>
      </c>
      <c r="F337" s="7">
        <f t="shared" si="36"/>
        <v>372100</v>
      </c>
      <c r="G337" s="7">
        <f t="shared" si="37"/>
        <v>288.85950000000003</v>
      </c>
      <c r="H337" s="7">
        <f t="shared" si="38"/>
        <v>-321.14049999999997</v>
      </c>
      <c r="I337" s="7">
        <f t="shared" si="39"/>
        <v>103131.22074024998</v>
      </c>
    </row>
    <row r="338" spans="2:9">
      <c r="B338" s="15">
        <v>395</v>
      </c>
      <c r="C338" s="8">
        <v>636</v>
      </c>
      <c r="D338" s="7">
        <f t="shared" si="34"/>
        <v>251220</v>
      </c>
      <c r="E338" s="7">
        <f t="shared" si="35"/>
        <v>156025</v>
      </c>
      <c r="F338" s="7">
        <f t="shared" si="36"/>
        <v>404496</v>
      </c>
      <c r="G338" s="7">
        <f t="shared" si="37"/>
        <v>287.4803</v>
      </c>
      <c r="H338" s="7">
        <f t="shared" si="38"/>
        <v>-348.5197</v>
      </c>
      <c r="I338" s="7">
        <f t="shared" si="39"/>
        <v>121465.98128809</v>
      </c>
    </row>
    <row r="339" spans="2:9">
      <c r="B339" s="15">
        <v>384</v>
      </c>
      <c r="C339" s="8">
        <v>506</v>
      </c>
      <c r="D339" s="7">
        <f t="shared" si="34"/>
        <v>194304</v>
      </c>
      <c r="E339" s="7">
        <f t="shared" si="35"/>
        <v>147456</v>
      </c>
      <c r="F339" s="7">
        <f t="shared" si="36"/>
        <v>256036</v>
      </c>
      <c r="G339" s="7">
        <f t="shared" si="37"/>
        <v>279.8947</v>
      </c>
      <c r="H339" s="7">
        <f t="shared" si="38"/>
        <v>-226.1053</v>
      </c>
      <c r="I339" s="7">
        <f t="shared" si="39"/>
        <v>51123.606688090003</v>
      </c>
    </row>
    <row r="340" spans="2:9">
      <c r="B340" s="15">
        <v>342</v>
      </c>
      <c r="C340" s="8">
        <v>567</v>
      </c>
      <c r="D340" s="7">
        <f t="shared" si="34"/>
        <v>193914</v>
      </c>
      <c r="E340" s="7">
        <f t="shared" si="35"/>
        <v>116964</v>
      </c>
      <c r="F340" s="7">
        <f t="shared" si="36"/>
        <v>321489</v>
      </c>
      <c r="G340" s="7">
        <f t="shared" si="37"/>
        <v>250.9315</v>
      </c>
      <c r="H340" s="7">
        <f t="shared" si="38"/>
        <v>-316.06849999999997</v>
      </c>
      <c r="I340" s="7">
        <f t="shared" si="39"/>
        <v>99899.296692249976</v>
      </c>
    </row>
    <row r="341" spans="2:9">
      <c r="B341" s="15">
        <v>348</v>
      </c>
      <c r="C341" s="8">
        <v>478</v>
      </c>
      <c r="D341" s="7">
        <f t="shared" si="34"/>
        <v>166344</v>
      </c>
      <c r="E341" s="7">
        <f t="shared" si="35"/>
        <v>121104</v>
      </c>
      <c r="F341" s="7">
        <f t="shared" si="36"/>
        <v>228484</v>
      </c>
      <c r="G341" s="7">
        <f t="shared" si="37"/>
        <v>255.06909999999999</v>
      </c>
      <c r="H341" s="7">
        <f t="shared" si="38"/>
        <v>-222.93090000000001</v>
      </c>
      <c r="I341" s="7">
        <f t="shared" si="39"/>
        <v>49698.186174810005</v>
      </c>
    </row>
    <row r="342" spans="2:9">
      <c r="B342" s="15">
        <v>365</v>
      </c>
      <c r="C342" s="8">
        <v>196</v>
      </c>
      <c r="D342" s="7">
        <f t="shared" si="34"/>
        <v>71540</v>
      </c>
      <c r="E342" s="7">
        <f t="shared" si="35"/>
        <v>133225</v>
      </c>
      <c r="F342" s="7">
        <f t="shared" si="36"/>
        <v>38416</v>
      </c>
      <c r="G342" s="7">
        <f t="shared" si="37"/>
        <v>266.79230000000001</v>
      </c>
      <c r="H342" s="7">
        <f t="shared" si="38"/>
        <v>70.792299999999997</v>
      </c>
      <c r="I342" s="7">
        <f t="shared" si="39"/>
        <v>5011.5497392899997</v>
      </c>
    </row>
    <row r="343" spans="2:9">
      <c r="B343" s="15">
        <v>346</v>
      </c>
      <c r="C343" s="8">
        <v>353</v>
      </c>
      <c r="D343" s="7">
        <f t="shared" si="34"/>
        <v>122138</v>
      </c>
      <c r="E343" s="7">
        <f t="shared" si="35"/>
        <v>119716</v>
      </c>
      <c r="F343" s="7">
        <f t="shared" si="36"/>
        <v>124609</v>
      </c>
      <c r="G343" s="7">
        <f t="shared" si="37"/>
        <v>253.68989999999999</v>
      </c>
      <c r="H343" s="7">
        <f t="shared" si="38"/>
        <v>-99.310100000000006</v>
      </c>
      <c r="I343" s="7">
        <f t="shared" si="39"/>
        <v>9862.4959620100017</v>
      </c>
    </row>
    <row r="344" spans="2:9">
      <c r="B344" s="15">
        <v>332</v>
      </c>
      <c r="C344" s="8">
        <v>572</v>
      </c>
      <c r="D344" s="7">
        <f t="shared" si="34"/>
        <v>189904</v>
      </c>
      <c r="E344" s="7">
        <f t="shared" si="35"/>
        <v>110224</v>
      </c>
      <c r="F344" s="7">
        <f t="shared" si="36"/>
        <v>327184</v>
      </c>
      <c r="G344" s="7">
        <f t="shared" si="37"/>
        <v>244.03550000000001</v>
      </c>
      <c r="H344" s="7">
        <f t="shared" si="38"/>
        <v>-327.96449999999999</v>
      </c>
      <c r="I344" s="7">
        <f t="shared" si="39"/>
        <v>107560.71326024999</v>
      </c>
    </row>
    <row r="345" spans="2:9">
      <c r="B345" s="15">
        <v>324</v>
      </c>
      <c r="C345" s="8">
        <v>470</v>
      </c>
      <c r="D345" s="7">
        <f t="shared" si="34"/>
        <v>152280</v>
      </c>
      <c r="E345" s="7">
        <f t="shared" si="35"/>
        <v>104976</v>
      </c>
      <c r="F345" s="7">
        <f t="shared" si="36"/>
        <v>220900</v>
      </c>
      <c r="G345" s="7">
        <f t="shared" si="37"/>
        <v>238.5187</v>
      </c>
      <c r="H345" s="7">
        <f t="shared" si="38"/>
        <v>-231.4813</v>
      </c>
      <c r="I345" s="7">
        <f t="shared" si="39"/>
        <v>53583.592249690002</v>
      </c>
    </row>
    <row r="346" spans="2:9">
      <c r="B346" s="15">
        <v>324</v>
      </c>
      <c r="C346" s="8">
        <v>460</v>
      </c>
      <c r="D346" s="7">
        <f t="shared" si="34"/>
        <v>149040</v>
      </c>
      <c r="E346" s="7">
        <f t="shared" si="35"/>
        <v>104976</v>
      </c>
      <c r="F346" s="7">
        <f t="shared" si="36"/>
        <v>211600</v>
      </c>
      <c r="G346" s="7">
        <f t="shared" si="37"/>
        <v>238.5187</v>
      </c>
      <c r="H346" s="7">
        <f t="shared" si="38"/>
        <v>-221.4813</v>
      </c>
      <c r="I346" s="7">
        <f t="shared" si="39"/>
        <v>49053.966249690005</v>
      </c>
    </row>
    <row r="347" spans="2:9">
      <c r="B347" s="15">
        <v>302</v>
      </c>
      <c r="C347" s="8">
        <v>454</v>
      </c>
      <c r="D347" s="7">
        <f t="shared" si="34"/>
        <v>137108</v>
      </c>
      <c r="E347" s="7">
        <f t="shared" si="35"/>
        <v>91204</v>
      </c>
      <c r="F347" s="7">
        <f t="shared" si="36"/>
        <v>206116</v>
      </c>
      <c r="G347" s="7">
        <f t="shared" si="37"/>
        <v>223.3475</v>
      </c>
      <c r="H347" s="7">
        <f t="shared" si="38"/>
        <v>-230.6525</v>
      </c>
      <c r="I347" s="7">
        <f t="shared" si="39"/>
        <v>53200.57575625</v>
      </c>
    </row>
    <row r="348" spans="2:9">
      <c r="B348" s="15">
        <v>311</v>
      </c>
      <c r="C348" s="8">
        <v>330</v>
      </c>
      <c r="D348" s="7">
        <f t="shared" si="34"/>
        <v>102630</v>
      </c>
      <c r="E348" s="7">
        <f t="shared" si="35"/>
        <v>96721</v>
      </c>
      <c r="F348" s="7">
        <f t="shared" si="36"/>
        <v>108900</v>
      </c>
      <c r="G348" s="7">
        <f t="shared" si="37"/>
        <v>229.5539</v>
      </c>
      <c r="H348" s="7">
        <f t="shared" si="38"/>
        <v>-100.4461</v>
      </c>
      <c r="I348" s="7">
        <f t="shared" si="39"/>
        <v>10089.41900521</v>
      </c>
    </row>
    <row r="349" spans="2:9">
      <c r="B349" s="15">
        <v>322</v>
      </c>
      <c r="C349" s="8">
        <v>180</v>
      </c>
      <c r="D349" s="7">
        <f t="shared" si="34"/>
        <v>57960</v>
      </c>
      <c r="E349" s="7">
        <f t="shared" si="35"/>
        <v>103684</v>
      </c>
      <c r="F349" s="7">
        <f t="shared" si="36"/>
        <v>32400</v>
      </c>
      <c r="G349" s="7">
        <f t="shared" si="37"/>
        <v>237.1395</v>
      </c>
      <c r="H349" s="7">
        <f t="shared" si="38"/>
        <v>57.139499999999998</v>
      </c>
      <c r="I349" s="7">
        <f t="shared" si="39"/>
        <v>3264.9224602499999</v>
      </c>
    </row>
    <row r="350" spans="2:9">
      <c r="B350" s="15">
        <v>296</v>
      </c>
      <c r="C350" s="8">
        <v>258</v>
      </c>
      <c r="D350" s="7">
        <f t="shared" si="34"/>
        <v>76368</v>
      </c>
      <c r="E350" s="7">
        <f t="shared" si="35"/>
        <v>87616</v>
      </c>
      <c r="F350" s="7">
        <f t="shared" si="36"/>
        <v>66564</v>
      </c>
      <c r="G350" s="7">
        <f t="shared" si="37"/>
        <v>219.2099</v>
      </c>
      <c r="H350" s="7">
        <f t="shared" si="38"/>
        <v>-38.790100000000002</v>
      </c>
      <c r="I350" s="7">
        <f t="shared" si="39"/>
        <v>1504.6718580100003</v>
      </c>
    </row>
    <row r="351" spans="2:9">
      <c r="B351" s="15">
        <v>297</v>
      </c>
      <c r="C351" s="8">
        <v>387</v>
      </c>
      <c r="D351" s="7">
        <f t="shared" si="34"/>
        <v>114939</v>
      </c>
      <c r="E351" s="7">
        <f t="shared" si="35"/>
        <v>88209</v>
      </c>
      <c r="F351" s="7">
        <f t="shared" si="36"/>
        <v>149769</v>
      </c>
      <c r="G351" s="7">
        <f t="shared" si="37"/>
        <v>219.89949999999999</v>
      </c>
      <c r="H351" s="7">
        <f t="shared" si="38"/>
        <v>-167.10050000000001</v>
      </c>
      <c r="I351" s="7">
        <f t="shared" si="39"/>
        <v>27922.577100250004</v>
      </c>
    </row>
    <row r="352" spans="2:9">
      <c r="B352" s="15">
        <v>283</v>
      </c>
      <c r="C352" s="8">
        <v>373</v>
      </c>
      <c r="D352" s="7">
        <f t="shared" si="34"/>
        <v>105559</v>
      </c>
      <c r="E352" s="7">
        <f t="shared" si="35"/>
        <v>80089</v>
      </c>
      <c r="F352" s="7">
        <f t="shared" si="36"/>
        <v>139129</v>
      </c>
      <c r="G352" s="7">
        <f t="shared" si="37"/>
        <v>210.24510000000001</v>
      </c>
      <c r="H352" s="7">
        <f t="shared" si="38"/>
        <v>-162.75489999999999</v>
      </c>
      <c r="I352" s="7">
        <f t="shared" si="39"/>
        <v>26489.157474009997</v>
      </c>
    </row>
    <row r="353" spans="2:9">
      <c r="B353" s="15">
        <v>280</v>
      </c>
      <c r="C353" s="8">
        <v>377</v>
      </c>
      <c r="D353" s="7">
        <f t="shared" si="34"/>
        <v>105560</v>
      </c>
      <c r="E353" s="7">
        <f t="shared" si="35"/>
        <v>78400</v>
      </c>
      <c r="F353" s="7">
        <f t="shared" si="36"/>
        <v>142129</v>
      </c>
      <c r="G353" s="7">
        <f t="shared" si="37"/>
        <v>208.1763</v>
      </c>
      <c r="H353" s="7">
        <f t="shared" si="38"/>
        <v>-168.8237</v>
      </c>
      <c r="I353" s="7">
        <f t="shared" si="39"/>
        <v>28501.441681690001</v>
      </c>
    </row>
    <row r="354" spans="2:9">
      <c r="B354" s="15">
        <v>260</v>
      </c>
      <c r="C354" s="8">
        <v>406</v>
      </c>
      <c r="D354" s="7">
        <f t="shared" si="34"/>
        <v>105560</v>
      </c>
      <c r="E354" s="7">
        <f t="shared" si="35"/>
        <v>67600</v>
      </c>
      <c r="F354" s="7">
        <f t="shared" si="36"/>
        <v>164836</v>
      </c>
      <c r="G354" s="7">
        <f t="shared" si="37"/>
        <v>194.3843</v>
      </c>
      <c r="H354" s="7">
        <f t="shared" si="38"/>
        <v>-211.6157</v>
      </c>
      <c r="I354" s="7">
        <f t="shared" si="39"/>
        <v>44781.204486490002</v>
      </c>
    </row>
    <row r="355" spans="2:9">
      <c r="B355" s="15">
        <v>268</v>
      </c>
      <c r="C355" s="8">
        <v>324</v>
      </c>
      <c r="D355" s="7">
        <f t="shared" si="34"/>
        <v>86832</v>
      </c>
      <c r="E355" s="7">
        <f t="shared" si="35"/>
        <v>71824</v>
      </c>
      <c r="F355" s="7">
        <f t="shared" si="36"/>
        <v>104976</v>
      </c>
      <c r="G355" s="7">
        <f t="shared" si="37"/>
        <v>199.90110000000001</v>
      </c>
      <c r="H355" s="7">
        <f t="shared" si="38"/>
        <v>-124.0989</v>
      </c>
      <c r="I355" s="7">
        <f t="shared" si="39"/>
        <v>15400.53698121</v>
      </c>
    </row>
    <row r="356" spans="2:9">
      <c r="B356" s="15">
        <v>277</v>
      </c>
      <c r="C356" s="8">
        <v>158</v>
      </c>
      <c r="D356" s="7">
        <f t="shared" si="34"/>
        <v>43766</v>
      </c>
      <c r="E356" s="7">
        <f t="shared" si="35"/>
        <v>76729</v>
      </c>
      <c r="F356" s="7">
        <f t="shared" si="36"/>
        <v>24964</v>
      </c>
      <c r="G356" s="7">
        <f t="shared" si="37"/>
        <v>206.10749999999999</v>
      </c>
      <c r="H356" s="7">
        <f t="shared" si="38"/>
        <v>48.107500000000002</v>
      </c>
      <c r="I356" s="7">
        <f t="shared" si="39"/>
        <v>2314.3315562500002</v>
      </c>
    </row>
    <row r="357" spans="2:9">
      <c r="B357" s="15">
        <v>257</v>
      </c>
      <c r="C357" s="8">
        <v>268</v>
      </c>
      <c r="D357" s="7">
        <f t="shared" si="34"/>
        <v>68876</v>
      </c>
      <c r="E357" s="7">
        <f t="shared" si="35"/>
        <v>66049</v>
      </c>
      <c r="F357" s="7">
        <f t="shared" si="36"/>
        <v>71824</v>
      </c>
      <c r="G357" s="7">
        <f t="shared" si="37"/>
        <v>192.31549999999999</v>
      </c>
      <c r="H357" s="7">
        <f t="shared" si="38"/>
        <v>-75.6845</v>
      </c>
      <c r="I357" s="7">
        <f t="shared" si="39"/>
        <v>5728.1435402500001</v>
      </c>
    </row>
    <row r="358" spans="2:9">
      <c r="B358" s="15">
        <v>248</v>
      </c>
      <c r="C358" s="8">
        <v>485</v>
      </c>
      <c r="D358" s="7">
        <f t="shared" si="34"/>
        <v>120280</v>
      </c>
      <c r="E358" s="7">
        <f t="shared" si="35"/>
        <v>61504</v>
      </c>
      <c r="F358" s="7">
        <f t="shared" si="36"/>
        <v>235225</v>
      </c>
      <c r="G358" s="7">
        <f t="shared" si="37"/>
        <v>186.10910000000001</v>
      </c>
      <c r="H358" s="7">
        <f t="shared" si="38"/>
        <v>-298.89089999999999</v>
      </c>
      <c r="I358" s="7">
        <f t="shared" si="39"/>
        <v>89335.770102809998</v>
      </c>
    </row>
    <row r="359" spans="2:9">
      <c r="B359" s="15">
        <v>244</v>
      </c>
      <c r="C359" s="8">
        <v>436</v>
      </c>
      <c r="D359" s="7">
        <f t="shared" si="34"/>
        <v>106384</v>
      </c>
      <c r="E359" s="7">
        <f t="shared" si="35"/>
        <v>59536</v>
      </c>
      <c r="F359" s="7">
        <f t="shared" si="36"/>
        <v>190096</v>
      </c>
      <c r="G359" s="7">
        <f t="shared" si="37"/>
        <v>183.35069999999999</v>
      </c>
      <c r="H359" s="7">
        <f t="shared" si="38"/>
        <v>-252.64930000000001</v>
      </c>
      <c r="I359" s="7">
        <f t="shared" si="39"/>
        <v>63831.668790490003</v>
      </c>
    </row>
    <row r="360" spans="2:9">
      <c r="B360" s="15">
        <v>236</v>
      </c>
      <c r="C360" s="8">
        <v>450</v>
      </c>
      <c r="D360" s="7">
        <f t="shared" si="34"/>
        <v>106200</v>
      </c>
      <c r="E360" s="7">
        <f t="shared" si="35"/>
        <v>55696</v>
      </c>
      <c r="F360" s="7">
        <f t="shared" si="36"/>
        <v>202500</v>
      </c>
      <c r="G360" s="7">
        <f t="shared" si="37"/>
        <v>177.8339</v>
      </c>
      <c r="H360" s="7">
        <f t="shared" si="38"/>
        <v>-272.16609999999997</v>
      </c>
      <c r="I360" s="7">
        <f t="shared" si="39"/>
        <v>74074.385989209986</v>
      </c>
    </row>
    <row r="361" spans="2:9">
      <c r="B361" s="15">
        <v>223</v>
      </c>
      <c r="C361" s="8">
        <v>469</v>
      </c>
      <c r="D361" s="7">
        <f t="shared" si="34"/>
        <v>104587</v>
      </c>
      <c r="E361" s="7">
        <f t="shared" si="35"/>
        <v>49729</v>
      </c>
      <c r="F361" s="7">
        <f t="shared" si="36"/>
        <v>219961</v>
      </c>
      <c r="G361" s="7">
        <f t="shared" si="37"/>
        <v>168.8691</v>
      </c>
      <c r="H361" s="7">
        <f t="shared" si="38"/>
        <v>-300.1309</v>
      </c>
      <c r="I361" s="7">
        <f t="shared" si="39"/>
        <v>90078.557134809991</v>
      </c>
    </row>
    <row r="362" spans="2:9">
      <c r="B362" s="15">
        <v>245</v>
      </c>
      <c r="C362" s="8">
        <v>334</v>
      </c>
      <c r="D362" s="7">
        <f t="shared" si="34"/>
        <v>81830</v>
      </c>
      <c r="E362" s="7">
        <f t="shared" si="35"/>
        <v>60025</v>
      </c>
      <c r="F362" s="7">
        <f t="shared" si="36"/>
        <v>111556</v>
      </c>
      <c r="G362" s="7">
        <f t="shared" si="37"/>
        <v>184.0403</v>
      </c>
      <c r="H362" s="7">
        <f t="shared" si="38"/>
        <v>-149.9597</v>
      </c>
      <c r="I362" s="7">
        <f t="shared" si="39"/>
        <v>22487.91162409</v>
      </c>
    </row>
    <row r="363" spans="2:9">
      <c r="B363" s="15">
        <v>246</v>
      </c>
      <c r="C363" s="8">
        <v>199</v>
      </c>
      <c r="D363" s="7">
        <f t="shared" si="34"/>
        <v>48954</v>
      </c>
      <c r="E363" s="7">
        <f t="shared" si="35"/>
        <v>60516</v>
      </c>
      <c r="F363" s="7">
        <f t="shared" si="36"/>
        <v>39601</v>
      </c>
      <c r="G363" s="7">
        <f t="shared" si="37"/>
        <v>184.72989999999999</v>
      </c>
      <c r="H363" s="7">
        <f t="shared" si="38"/>
        <v>-14.270099999999999</v>
      </c>
      <c r="I363" s="7">
        <f t="shared" si="39"/>
        <v>203.63575400999997</v>
      </c>
    </row>
    <row r="364" spans="2:9">
      <c r="B364" s="15">
        <v>233</v>
      </c>
      <c r="C364" s="8">
        <v>386</v>
      </c>
      <c r="D364" s="7">
        <f t="shared" si="34"/>
        <v>89938</v>
      </c>
      <c r="E364" s="7">
        <f t="shared" si="35"/>
        <v>54289</v>
      </c>
      <c r="F364" s="7">
        <f t="shared" si="36"/>
        <v>148996</v>
      </c>
      <c r="G364" s="7">
        <f t="shared" si="37"/>
        <v>175.76509999999999</v>
      </c>
      <c r="H364" s="7">
        <f t="shared" si="38"/>
        <v>-210.23490000000001</v>
      </c>
      <c r="I364" s="7">
        <f t="shared" si="39"/>
        <v>44198.713178010003</v>
      </c>
    </row>
    <row r="365" spans="2:9">
      <c r="B365" s="15">
        <v>211</v>
      </c>
      <c r="C365" s="8">
        <v>511</v>
      </c>
      <c r="D365" s="7">
        <f t="shared" si="34"/>
        <v>107821</v>
      </c>
      <c r="E365" s="7">
        <f t="shared" si="35"/>
        <v>44521</v>
      </c>
      <c r="F365" s="7">
        <f t="shared" si="36"/>
        <v>261121</v>
      </c>
      <c r="G365" s="7">
        <f t="shared" si="37"/>
        <v>160.59389999999999</v>
      </c>
      <c r="H365" s="7">
        <f t="shared" si="38"/>
        <v>-350.40609999999998</v>
      </c>
      <c r="I365" s="7">
        <f t="shared" si="39"/>
        <v>122784.43491720999</v>
      </c>
    </row>
    <row r="366" spans="2:9">
      <c r="B366" s="15">
        <v>208</v>
      </c>
      <c r="C366" s="8">
        <v>451</v>
      </c>
      <c r="D366" s="7">
        <f t="shared" si="34"/>
        <v>93808</v>
      </c>
      <c r="E366" s="7">
        <f t="shared" si="35"/>
        <v>43264</v>
      </c>
      <c r="F366" s="7">
        <f t="shared" si="36"/>
        <v>203401</v>
      </c>
      <c r="G366" s="7">
        <f t="shared" si="37"/>
        <v>158.52510000000001</v>
      </c>
      <c r="H366" s="7">
        <f t="shared" si="38"/>
        <v>-292.47489999999999</v>
      </c>
      <c r="I366" s="7">
        <f t="shared" si="39"/>
        <v>85541.567130009993</v>
      </c>
    </row>
    <row r="367" spans="2:9">
      <c r="B367" s="15">
        <v>207</v>
      </c>
      <c r="C367" s="8">
        <v>559</v>
      </c>
      <c r="D367" s="7">
        <f t="shared" si="34"/>
        <v>115713</v>
      </c>
      <c r="E367" s="7">
        <f t="shared" si="35"/>
        <v>42849</v>
      </c>
      <c r="F367" s="7">
        <f t="shared" si="36"/>
        <v>312481</v>
      </c>
      <c r="G367" s="7">
        <f t="shared" si="37"/>
        <v>157.8355</v>
      </c>
      <c r="H367" s="7">
        <f t="shared" si="38"/>
        <v>-401.16449999999998</v>
      </c>
      <c r="I367" s="7">
        <f t="shared" si="39"/>
        <v>160932.95606024997</v>
      </c>
    </row>
    <row r="368" spans="2:9">
      <c r="B368" s="15">
        <v>210</v>
      </c>
      <c r="C368" s="8">
        <v>523</v>
      </c>
      <c r="D368" s="7">
        <f t="shared" si="34"/>
        <v>109830</v>
      </c>
      <c r="E368" s="7">
        <f t="shared" si="35"/>
        <v>44100</v>
      </c>
      <c r="F368" s="7">
        <f t="shared" si="36"/>
        <v>273529</v>
      </c>
      <c r="G368" s="7">
        <f t="shared" si="37"/>
        <v>159.90430000000001</v>
      </c>
      <c r="H368" s="7">
        <f t="shared" si="38"/>
        <v>-363.09570000000002</v>
      </c>
      <c r="I368" s="7">
        <f t="shared" si="39"/>
        <v>131838.48735849001</v>
      </c>
    </row>
    <row r="369" spans="1:20">
      <c r="B369" s="15">
        <v>220</v>
      </c>
      <c r="C369" s="8">
        <v>413</v>
      </c>
      <c r="D369" s="7">
        <f t="shared" si="34"/>
        <v>90860</v>
      </c>
      <c r="E369" s="7">
        <f t="shared" si="35"/>
        <v>48400</v>
      </c>
      <c r="F369" s="7">
        <f t="shared" si="36"/>
        <v>170569</v>
      </c>
      <c r="G369" s="7">
        <f t="shared" si="37"/>
        <v>166.80029999999999</v>
      </c>
      <c r="H369" s="7">
        <f t="shared" si="38"/>
        <v>-246.19970000000001</v>
      </c>
      <c r="I369" s="7">
        <f t="shared" si="39"/>
        <v>60614.292280090005</v>
      </c>
    </row>
    <row r="370" spans="1:20">
      <c r="B370" s="15">
        <v>239</v>
      </c>
      <c r="C370" s="8">
        <v>241</v>
      </c>
      <c r="D370" s="7">
        <f t="shared" si="34"/>
        <v>57599</v>
      </c>
      <c r="E370" s="7">
        <f t="shared" si="35"/>
        <v>57121</v>
      </c>
      <c r="F370" s="7">
        <f t="shared" si="36"/>
        <v>58081</v>
      </c>
      <c r="G370" s="7">
        <f t="shared" si="37"/>
        <v>179.90270000000001</v>
      </c>
      <c r="H370" s="7">
        <f t="shared" si="38"/>
        <v>-61.097299999999997</v>
      </c>
      <c r="I370" s="7">
        <f t="shared" si="39"/>
        <v>3732.8800672899997</v>
      </c>
    </row>
    <row r="371" spans="1:20">
      <c r="B371" s="15">
        <v>237</v>
      </c>
      <c r="C371" s="8">
        <v>375</v>
      </c>
      <c r="D371" s="7">
        <f t="shared" si="34"/>
        <v>88875</v>
      </c>
      <c r="E371" s="7">
        <f t="shared" si="35"/>
        <v>56169</v>
      </c>
      <c r="F371" s="7">
        <f t="shared" si="36"/>
        <v>140625</v>
      </c>
      <c r="G371" s="7">
        <f t="shared" si="37"/>
        <v>178.52350000000001</v>
      </c>
      <c r="H371" s="7">
        <f t="shared" si="38"/>
        <v>-196.47649999999999</v>
      </c>
      <c r="I371" s="7">
        <f t="shared" si="39"/>
        <v>38603.015052249997</v>
      </c>
    </row>
    <row r="372" spans="1:20">
      <c r="B372" s="15">
        <v>233</v>
      </c>
      <c r="C372" s="8">
        <v>594</v>
      </c>
      <c r="D372" s="7">
        <f t="shared" si="34"/>
        <v>138402</v>
      </c>
      <c r="E372" s="7">
        <f t="shared" si="35"/>
        <v>54289</v>
      </c>
      <c r="F372" s="7">
        <f t="shared" si="36"/>
        <v>352836</v>
      </c>
      <c r="G372" s="7">
        <f t="shared" si="37"/>
        <v>175.76509999999999</v>
      </c>
      <c r="H372" s="7">
        <f t="shared" si="38"/>
        <v>-418.23489999999998</v>
      </c>
      <c r="I372" s="7">
        <f t="shared" si="39"/>
        <v>174920.43157800997</v>
      </c>
    </row>
    <row r="373" spans="1:20">
      <c r="B373" s="15">
        <v>233</v>
      </c>
      <c r="C373" s="8">
        <v>572</v>
      </c>
      <c r="D373" s="7">
        <f t="shared" si="34"/>
        <v>133276</v>
      </c>
      <c r="E373" s="7">
        <f t="shared" si="35"/>
        <v>54289</v>
      </c>
      <c r="F373" s="7">
        <f t="shared" si="36"/>
        <v>327184</v>
      </c>
      <c r="G373" s="7">
        <f t="shared" si="37"/>
        <v>175.76509999999999</v>
      </c>
      <c r="H373" s="7">
        <f t="shared" si="38"/>
        <v>-396.23489999999998</v>
      </c>
      <c r="I373" s="7">
        <f t="shared" si="39"/>
        <v>157002.09597800998</v>
      </c>
    </row>
    <row r="374" spans="1:20">
      <c r="B374" s="15">
        <v>246</v>
      </c>
      <c r="C374" s="8">
        <v>598</v>
      </c>
      <c r="D374" s="7">
        <f t="shared" si="34"/>
        <v>147108</v>
      </c>
      <c r="E374" s="7">
        <f t="shared" si="35"/>
        <v>60516</v>
      </c>
      <c r="F374" s="7">
        <f t="shared" si="36"/>
        <v>357604</v>
      </c>
      <c r="G374" s="7">
        <f t="shared" si="37"/>
        <v>184.72989999999999</v>
      </c>
      <c r="H374" s="7">
        <f t="shared" si="38"/>
        <v>-413.27010000000001</v>
      </c>
      <c r="I374" s="7">
        <f t="shared" si="39"/>
        <v>170792.17555401</v>
      </c>
    </row>
    <row r="375" spans="1:20">
      <c r="B375" s="15">
        <v>244</v>
      </c>
      <c r="C375" s="8">
        <v>609</v>
      </c>
      <c r="D375" s="7">
        <f t="shared" si="34"/>
        <v>148596</v>
      </c>
      <c r="E375" s="7">
        <f t="shared" si="35"/>
        <v>59536</v>
      </c>
      <c r="F375" s="7">
        <f t="shared" si="36"/>
        <v>370881</v>
      </c>
      <c r="G375" s="7">
        <f t="shared" si="37"/>
        <v>183.35069999999999</v>
      </c>
      <c r="H375" s="7">
        <f t="shared" si="38"/>
        <v>-425.64929999999998</v>
      </c>
      <c r="I375" s="7">
        <f t="shared" si="39"/>
        <v>181177.32659048997</v>
      </c>
    </row>
    <row r="376" spans="1:20">
      <c r="B376" s="15">
        <v>271</v>
      </c>
      <c r="C376" s="8">
        <v>445</v>
      </c>
      <c r="D376" s="7">
        <f t="shared" si="34"/>
        <v>120595</v>
      </c>
      <c r="E376" s="7">
        <f t="shared" si="35"/>
        <v>73441</v>
      </c>
      <c r="F376" s="7">
        <f t="shared" si="36"/>
        <v>198025</v>
      </c>
      <c r="G376" s="7">
        <f t="shared" si="37"/>
        <v>201.9699</v>
      </c>
      <c r="H376" s="7">
        <f t="shared" si="38"/>
        <v>-243.0301</v>
      </c>
      <c r="I376" s="7">
        <f t="shared" si="39"/>
        <v>59063.629506010002</v>
      </c>
    </row>
    <row r="377" spans="1:20">
      <c r="B377" s="15">
        <v>283</v>
      </c>
      <c r="C377" s="9">
        <v>435</v>
      </c>
      <c r="D377" s="4">
        <f t="shared" si="34"/>
        <v>123105</v>
      </c>
      <c r="E377" s="7">
        <f t="shared" si="35"/>
        <v>80089</v>
      </c>
      <c r="F377" s="7">
        <f t="shared" si="36"/>
        <v>189225</v>
      </c>
      <c r="G377" s="7">
        <f t="shared" si="37"/>
        <v>210.24510000000001</v>
      </c>
      <c r="H377" s="7">
        <f t="shared" si="38"/>
        <v>-224.75489999999999</v>
      </c>
      <c r="I377" s="7">
        <f t="shared" si="39"/>
        <v>50514.76507401</v>
      </c>
    </row>
    <row r="378" spans="1:20">
      <c r="A378" s="4" t="s">
        <v>18</v>
      </c>
      <c r="B378" s="4">
        <f t="shared" ref="B378" si="40">SUM(B258:B377)</f>
        <v>183826</v>
      </c>
      <c r="C378" s="4">
        <f t="shared" ref="C378:I378" si="41">SUM(C258:C377)</f>
        <v>128577</v>
      </c>
      <c r="D378" s="4">
        <f t="shared" si="41"/>
        <v>500585311</v>
      </c>
      <c r="E378" s="4">
        <f t="shared" si="41"/>
        <v>721892924</v>
      </c>
      <c r="F378" s="4">
        <f t="shared" si="41"/>
        <v>423547897</v>
      </c>
      <c r="G378" s="4">
        <f t="shared" si="41"/>
        <v>128577.00560000003</v>
      </c>
      <c r="H378" s="4">
        <f t="shared" ref="H378" si="42">SUM(H258:H377)</f>
        <v>5.600000001919625E-3</v>
      </c>
      <c r="I378" s="4">
        <f t="shared" si="41"/>
        <v>76408169.147381932</v>
      </c>
    </row>
    <row r="379" spans="1:20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</row>
    <row r="380" spans="1:20">
      <c r="B380" s="15"/>
      <c r="H380" s="15"/>
    </row>
    <row r="381" spans="1:20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</row>
    <row r="382" spans="1:20">
      <c r="B382" s="3"/>
      <c r="C382" s="3"/>
      <c r="D382" s="3"/>
      <c r="E382" s="3"/>
      <c r="F382" s="3"/>
      <c r="G382" s="3"/>
      <c r="H382" s="15"/>
    </row>
    <row r="383" spans="1:20">
      <c r="B383" s="2" t="s">
        <v>9</v>
      </c>
      <c r="C383" s="2" t="s">
        <v>10</v>
      </c>
      <c r="D383" s="2" t="s">
        <v>11</v>
      </c>
      <c r="E383" s="2" t="s">
        <v>12</v>
      </c>
      <c r="F383" s="2" t="s">
        <v>13</v>
      </c>
      <c r="G383" s="2"/>
      <c r="H383" s="4"/>
      <c r="I383" s="4"/>
    </row>
    <row r="384" spans="1:20">
      <c r="B384" s="4" t="s">
        <v>6</v>
      </c>
      <c r="C384" s="4" t="s">
        <v>1</v>
      </c>
      <c r="D384" s="4"/>
      <c r="E384" s="2"/>
      <c r="F384" s="4"/>
      <c r="G384" s="4"/>
      <c r="H384" s="4"/>
      <c r="I384" s="4"/>
      <c r="K384" s="80" t="s">
        <v>15</v>
      </c>
      <c r="L384" s="80"/>
      <c r="M384" t="s">
        <v>16</v>
      </c>
    </row>
    <row r="385" spans="2:14">
      <c r="B385" s="15">
        <v>47369</v>
      </c>
      <c r="C385" s="7">
        <v>5805</v>
      </c>
      <c r="D385" s="7">
        <f>B385*C385</f>
        <v>274977045</v>
      </c>
      <c r="E385" s="7">
        <f>B385^2</f>
        <v>2243822161</v>
      </c>
      <c r="F385" s="7">
        <f>C385^2</f>
        <v>33698025</v>
      </c>
      <c r="G385" s="7">
        <f>ROUND($M$432+$M$429*B385,4)</f>
        <v>1119.7021999999999</v>
      </c>
      <c r="H385" s="7">
        <f>ROUND(G385-C385,4)</f>
        <v>-4685.2978000000003</v>
      </c>
      <c r="I385" s="7">
        <f>H385^2</f>
        <v>21952015.474684842</v>
      </c>
      <c r="K385" s="80" t="s">
        <v>14</v>
      </c>
      <c r="L385" s="80"/>
      <c r="M385" s="80" t="s">
        <v>25</v>
      </c>
      <c r="N385" s="80"/>
    </row>
    <row r="386" spans="2:14">
      <c r="B386" s="15">
        <v>57995</v>
      </c>
      <c r="C386" s="8">
        <v>5540</v>
      </c>
      <c r="D386" s="7">
        <f t="shared" ref="D386:D449" si="43">B386*C386</f>
        <v>321292300</v>
      </c>
      <c r="E386" s="7">
        <f t="shared" ref="E386:E449" si="44">B386^2</f>
        <v>3363420025</v>
      </c>
      <c r="F386" s="7">
        <f t="shared" ref="F386:F449" si="45">C386^2</f>
        <v>30691600</v>
      </c>
      <c r="G386" s="7">
        <f t="shared" ref="G386:G449" si="46">ROUND($M$432+$M$429*B386,4)</f>
        <v>1171.7696000000001</v>
      </c>
      <c r="H386" s="7">
        <f t="shared" ref="H386:H449" si="47">ROUND(G386-C386,4)</f>
        <v>-4368.2304000000004</v>
      </c>
      <c r="I386" s="7">
        <f t="shared" ref="I386:I449" si="48">H386^2</f>
        <v>19081436.827484164</v>
      </c>
    </row>
    <row r="387" spans="2:14">
      <c r="B387" s="15">
        <v>53401</v>
      </c>
      <c r="C387" s="8">
        <v>9083</v>
      </c>
      <c r="D387" s="7">
        <f t="shared" si="43"/>
        <v>485041283</v>
      </c>
      <c r="E387" s="7">
        <f t="shared" si="44"/>
        <v>2851666801</v>
      </c>
      <c r="F387" s="7">
        <f t="shared" si="45"/>
        <v>82500889</v>
      </c>
      <c r="G387" s="7">
        <f t="shared" si="46"/>
        <v>1149.259</v>
      </c>
      <c r="H387" s="7">
        <f t="shared" si="47"/>
        <v>-7933.741</v>
      </c>
      <c r="I387" s="7">
        <f t="shared" si="48"/>
        <v>62944246.255080998</v>
      </c>
    </row>
    <row r="388" spans="2:14">
      <c r="B388" s="15">
        <v>50384</v>
      </c>
      <c r="C388" s="8">
        <v>7914</v>
      </c>
      <c r="D388" s="7">
        <f t="shared" si="43"/>
        <v>398738976</v>
      </c>
      <c r="E388" s="7">
        <f t="shared" si="44"/>
        <v>2538547456</v>
      </c>
      <c r="F388" s="7">
        <f t="shared" si="45"/>
        <v>62631396</v>
      </c>
      <c r="G388" s="7">
        <f t="shared" si="46"/>
        <v>1134.4757</v>
      </c>
      <c r="H388" s="7">
        <f t="shared" si="47"/>
        <v>-6779.5243</v>
      </c>
      <c r="I388" s="7">
        <f t="shared" si="48"/>
        <v>45961949.734290488</v>
      </c>
      <c r="K388" s="80"/>
      <c r="L388" s="80"/>
    </row>
    <row r="389" spans="2:14">
      <c r="B389" s="15">
        <v>49625</v>
      </c>
      <c r="C389" s="8">
        <v>6916</v>
      </c>
      <c r="D389" s="7">
        <f t="shared" si="43"/>
        <v>343206500</v>
      </c>
      <c r="E389" s="7">
        <f t="shared" si="44"/>
        <v>2462640625</v>
      </c>
      <c r="F389" s="7">
        <f t="shared" si="45"/>
        <v>47831056</v>
      </c>
      <c r="G389" s="7">
        <f t="shared" si="46"/>
        <v>1130.7565999999999</v>
      </c>
      <c r="H389" s="7">
        <f t="shared" si="47"/>
        <v>-5785.2434000000003</v>
      </c>
      <c r="I389" s="7">
        <f t="shared" si="48"/>
        <v>33469041.197243564</v>
      </c>
    </row>
    <row r="390" spans="2:14">
      <c r="B390" s="15">
        <v>30356</v>
      </c>
      <c r="C390" s="8">
        <v>6132</v>
      </c>
      <c r="D390" s="7">
        <f t="shared" si="43"/>
        <v>186142992</v>
      </c>
      <c r="E390" s="7">
        <f t="shared" si="44"/>
        <v>921486736</v>
      </c>
      <c r="F390" s="7">
        <f t="shared" si="45"/>
        <v>37601424</v>
      </c>
      <c r="G390" s="7">
        <f t="shared" si="46"/>
        <v>1036.3385000000001</v>
      </c>
      <c r="H390" s="7">
        <f t="shared" si="47"/>
        <v>-5095.6615000000002</v>
      </c>
      <c r="I390" s="7">
        <f t="shared" si="48"/>
        <v>25965766.122582253</v>
      </c>
    </row>
    <row r="391" spans="2:14">
      <c r="B391" s="15">
        <v>15085</v>
      </c>
      <c r="C391" s="8">
        <v>3508</v>
      </c>
      <c r="D391" s="7">
        <f t="shared" si="43"/>
        <v>52918180</v>
      </c>
      <c r="E391" s="7">
        <f t="shared" si="44"/>
        <v>227557225</v>
      </c>
      <c r="F391" s="7">
        <f t="shared" si="45"/>
        <v>12306064</v>
      </c>
      <c r="G391" s="7">
        <f t="shared" si="46"/>
        <v>961.51059999999995</v>
      </c>
      <c r="H391" s="7">
        <f t="shared" si="47"/>
        <v>-2546.4893999999999</v>
      </c>
      <c r="I391" s="7">
        <f t="shared" si="48"/>
        <v>6484608.2643123595</v>
      </c>
    </row>
    <row r="392" spans="2:14">
      <c r="B392" s="15">
        <v>34923</v>
      </c>
      <c r="C392" s="8">
        <v>2505</v>
      </c>
      <c r="D392" s="7">
        <f t="shared" si="43"/>
        <v>87482115</v>
      </c>
      <c r="E392" s="7">
        <f t="shared" si="44"/>
        <v>1219615929</v>
      </c>
      <c r="F392" s="7">
        <f t="shared" si="45"/>
        <v>6275025</v>
      </c>
      <c r="G392" s="7">
        <f t="shared" si="46"/>
        <v>1058.7167999999999</v>
      </c>
      <c r="H392" s="7">
        <f t="shared" si="47"/>
        <v>-1446.2832000000001</v>
      </c>
      <c r="I392" s="7">
        <f t="shared" si="48"/>
        <v>2091735.0946022402</v>
      </c>
    </row>
    <row r="393" spans="2:14">
      <c r="B393" s="15">
        <v>38694</v>
      </c>
      <c r="C393" s="8">
        <v>2583</v>
      </c>
      <c r="D393" s="7">
        <f t="shared" si="43"/>
        <v>99946602</v>
      </c>
      <c r="E393" s="7">
        <f t="shared" si="44"/>
        <v>1497225636</v>
      </c>
      <c r="F393" s="7">
        <f t="shared" si="45"/>
        <v>6671889</v>
      </c>
      <c r="G393" s="7">
        <f t="shared" si="46"/>
        <v>1077.1947</v>
      </c>
      <c r="H393" s="7">
        <f t="shared" si="47"/>
        <v>-1505.8053</v>
      </c>
      <c r="I393" s="7">
        <f t="shared" si="48"/>
        <v>2267449.6015080898</v>
      </c>
    </row>
    <row r="394" spans="2:14">
      <c r="B394" s="15">
        <v>37621</v>
      </c>
      <c r="C394" s="8">
        <v>4387</v>
      </c>
      <c r="D394" s="7">
        <f t="shared" si="43"/>
        <v>165043327</v>
      </c>
      <c r="E394" s="7">
        <f t="shared" si="44"/>
        <v>1415339641</v>
      </c>
      <c r="F394" s="7">
        <f t="shared" si="45"/>
        <v>19245769</v>
      </c>
      <c r="G394" s="7">
        <f t="shared" si="46"/>
        <v>1071.9369999999999</v>
      </c>
      <c r="H394" s="7">
        <f t="shared" si="47"/>
        <v>-3315.0630000000001</v>
      </c>
      <c r="I394" s="7">
        <f t="shared" si="48"/>
        <v>10989642.693969</v>
      </c>
    </row>
    <row r="395" spans="2:14">
      <c r="B395" s="15">
        <v>37347</v>
      </c>
      <c r="C395" s="8">
        <v>3480</v>
      </c>
      <c r="D395" s="7">
        <f t="shared" si="43"/>
        <v>129967560</v>
      </c>
      <c r="E395" s="7">
        <f t="shared" si="44"/>
        <v>1394798409</v>
      </c>
      <c r="F395" s="7">
        <f t="shared" si="45"/>
        <v>12110400</v>
      </c>
      <c r="G395" s="7">
        <f t="shared" si="46"/>
        <v>1070.5944</v>
      </c>
      <c r="H395" s="7">
        <f t="shared" si="47"/>
        <v>-2409.4056</v>
      </c>
      <c r="I395" s="7">
        <f t="shared" si="48"/>
        <v>5805235.3453113604</v>
      </c>
    </row>
    <row r="396" spans="2:14">
      <c r="B396" s="15">
        <v>38752</v>
      </c>
      <c r="C396" s="8">
        <v>2854</v>
      </c>
      <c r="D396" s="7">
        <f t="shared" si="43"/>
        <v>110598208</v>
      </c>
      <c r="E396" s="7">
        <f t="shared" si="44"/>
        <v>1501717504</v>
      </c>
      <c r="F396" s="7">
        <f t="shared" si="45"/>
        <v>8145316</v>
      </c>
      <c r="G396" s="7">
        <f t="shared" si="46"/>
        <v>1077.4789000000001</v>
      </c>
      <c r="H396" s="7">
        <f t="shared" si="47"/>
        <v>-1776.5210999999999</v>
      </c>
      <c r="I396" s="7">
        <f t="shared" si="48"/>
        <v>3156027.2187452097</v>
      </c>
    </row>
    <row r="397" spans="2:14">
      <c r="B397" s="15">
        <v>21483</v>
      </c>
      <c r="C397" s="8">
        <v>2856</v>
      </c>
      <c r="D397" s="7">
        <f t="shared" si="43"/>
        <v>61355448</v>
      </c>
      <c r="E397" s="7">
        <f t="shared" si="44"/>
        <v>461519289</v>
      </c>
      <c r="F397" s="7">
        <f t="shared" si="45"/>
        <v>8156736</v>
      </c>
      <c r="G397" s="7">
        <f t="shared" si="46"/>
        <v>992.86080000000004</v>
      </c>
      <c r="H397" s="7">
        <f t="shared" si="47"/>
        <v>-1863.1392000000001</v>
      </c>
      <c r="I397" s="7">
        <f t="shared" si="48"/>
        <v>3471287.6785766403</v>
      </c>
    </row>
    <row r="398" spans="2:14">
      <c r="B398" s="15">
        <v>12100</v>
      </c>
      <c r="C398" s="8">
        <v>1677</v>
      </c>
      <c r="D398" s="7">
        <f t="shared" si="43"/>
        <v>20291700</v>
      </c>
      <c r="E398" s="7">
        <f t="shared" si="44"/>
        <v>146410000</v>
      </c>
      <c r="F398" s="7">
        <f t="shared" si="45"/>
        <v>2812329</v>
      </c>
      <c r="G398" s="7">
        <f t="shared" si="46"/>
        <v>946.88409999999999</v>
      </c>
      <c r="H398" s="7">
        <f t="shared" si="47"/>
        <v>-730.11590000000001</v>
      </c>
      <c r="I398" s="7">
        <f t="shared" si="48"/>
        <v>533069.22743281</v>
      </c>
    </row>
    <row r="399" spans="2:14">
      <c r="B399" s="15">
        <v>33135</v>
      </c>
      <c r="C399" s="8">
        <v>1303</v>
      </c>
      <c r="D399" s="7">
        <f t="shared" si="43"/>
        <v>43174905</v>
      </c>
      <c r="E399" s="7">
        <f t="shared" si="44"/>
        <v>1097928225</v>
      </c>
      <c r="F399" s="7">
        <f t="shared" si="45"/>
        <v>1697809</v>
      </c>
      <c r="G399" s="7">
        <f t="shared" si="46"/>
        <v>1049.9556</v>
      </c>
      <c r="H399" s="7">
        <f t="shared" si="47"/>
        <v>-253.0444</v>
      </c>
      <c r="I399" s="7">
        <f t="shared" si="48"/>
        <v>64031.468371359995</v>
      </c>
    </row>
    <row r="400" spans="2:14">
      <c r="B400" s="15">
        <v>32083</v>
      </c>
      <c r="C400" s="8">
        <v>1502</v>
      </c>
      <c r="D400" s="7">
        <f t="shared" si="43"/>
        <v>48188666</v>
      </c>
      <c r="E400" s="7">
        <f t="shared" si="44"/>
        <v>1029318889</v>
      </c>
      <c r="F400" s="7">
        <f t="shared" si="45"/>
        <v>2256004</v>
      </c>
      <c r="G400" s="7">
        <f t="shared" si="46"/>
        <v>1044.8008</v>
      </c>
      <c r="H400" s="7">
        <f t="shared" si="47"/>
        <v>-457.19920000000002</v>
      </c>
      <c r="I400" s="7">
        <f t="shared" si="48"/>
        <v>209031.10848064002</v>
      </c>
    </row>
    <row r="401" spans="2:15">
      <c r="B401" s="15">
        <v>34354</v>
      </c>
      <c r="C401" s="8">
        <v>2324</v>
      </c>
      <c r="D401" s="7">
        <f t="shared" si="43"/>
        <v>79838696</v>
      </c>
      <c r="E401" s="7">
        <f t="shared" si="44"/>
        <v>1180197316</v>
      </c>
      <c r="F401" s="7">
        <f t="shared" si="45"/>
        <v>5400976</v>
      </c>
      <c r="G401" s="7">
        <f t="shared" si="46"/>
        <v>1055.9286999999999</v>
      </c>
      <c r="H401" s="7">
        <f t="shared" si="47"/>
        <v>-1268.0713000000001</v>
      </c>
      <c r="I401" s="7">
        <f t="shared" si="48"/>
        <v>1608004.8218836901</v>
      </c>
    </row>
    <row r="402" spans="2:15">
      <c r="B402" s="15">
        <v>33985</v>
      </c>
      <c r="C402" s="8">
        <v>1944</v>
      </c>
      <c r="D402" s="7">
        <f t="shared" si="43"/>
        <v>66066840</v>
      </c>
      <c r="E402" s="7">
        <f t="shared" si="44"/>
        <v>1154980225</v>
      </c>
      <c r="F402" s="7">
        <f t="shared" si="45"/>
        <v>3779136</v>
      </c>
      <c r="G402" s="7">
        <f t="shared" si="46"/>
        <v>1054.1206</v>
      </c>
      <c r="H402" s="7">
        <f t="shared" si="47"/>
        <v>-889.87940000000003</v>
      </c>
      <c r="I402" s="7">
        <f t="shared" si="48"/>
        <v>791885.34654436004</v>
      </c>
    </row>
    <row r="403" spans="2:15">
      <c r="B403" s="15">
        <v>33887</v>
      </c>
      <c r="C403" s="8">
        <v>1940</v>
      </c>
      <c r="D403" s="7">
        <f t="shared" si="43"/>
        <v>65740780</v>
      </c>
      <c r="E403" s="7">
        <f t="shared" si="44"/>
        <v>1148328769</v>
      </c>
      <c r="F403" s="7">
        <f t="shared" si="45"/>
        <v>3763600</v>
      </c>
      <c r="G403" s="7">
        <f t="shared" si="46"/>
        <v>1053.6404</v>
      </c>
      <c r="H403" s="7">
        <f t="shared" si="47"/>
        <v>-886.3596</v>
      </c>
      <c r="I403" s="7">
        <f t="shared" si="48"/>
        <v>785633.34051215998</v>
      </c>
    </row>
    <row r="404" spans="2:15">
      <c r="B404" s="15">
        <v>21848</v>
      </c>
      <c r="C404" s="8">
        <v>1570</v>
      </c>
      <c r="D404" s="7">
        <f t="shared" si="43"/>
        <v>34301360</v>
      </c>
      <c r="E404" s="7">
        <f t="shared" si="44"/>
        <v>477335104</v>
      </c>
      <c r="F404" s="7">
        <f t="shared" si="45"/>
        <v>2464900</v>
      </c>
      <c r="G404" s="7">
        <f t="shared" si="46"/>
        <v>994.64930000000004</v>
      </c>
      <c r="H404" s="7">
        <f t="shared" si="47"/>
        <v>-575.35069999999996</v>
      </c>
      <c r="I404" s="7">
        <f t="shared" si="48"/>
        <v>331028.42799048993</v>
      </c>
    </row>
    <row r="405" spans="2:15">
      <c r="B405" s="15">
        <v>10854</v>
      </c>
      <c r="C405" s="8">
        <v>1186</v>
      </c>
      <c r="D405" s="7">
        <f t="shared" si="43"/>
        <v>12872844</v>
      </c>
      <c r="E405" s="7">
        <f t="shared" si="44"/>
        <v>117809316</v>
      </c>
      <c r="F405" s="7">
        <f t="shared" si="45"/>
        <v>1406596</v>
      </c>
      <c r="G405" s="7">
        <f t="shared" si="46"/>
        <v>940.77869999999996</v>
      </c>
      <c r="H405" s="7">
        <f t="shared" si="47"/>
        <v>-245.22130000000001</v>
      </c>
      <c r="I405" s="7">
        <f t="shared" si="48"/>
        <v>60133.485973690003</v>
      </c>
      <c r="K405" t="s">
        <v>19</v>
      </c>
      <c r="L405" s="11">
        <f>COUNT(B385,B386:B504)</f>
        <v>120</v>
      </c>
    </row>
    <row r="406" spans="2:15">
      <c r="B406" s="15">
        <v>31296</v>
      </c>
      <c r="C406" s="8">
        <v>549</v>
      </c>
      <c r="D406" s="7">
        <f t="shared" si="43"/>
        <v>17181504</v>
      </c>
      <c r="E406" s="7">
        <f t="shared" si="44"/>
        <v>979439616</v>
      </c>
      <c r="F406" s="7">
        <f t="shared" si="45"/>
        <v>301401</v>
      </c>
      <c r="G406" s="7">
        <f t="shared" si="46"/>
        <v>1040.9445000000001</v>
      </c>
      <c r="H406" s="7">
        <f t="shared" si="47"/>
        <v>491.94450000000001</v>
      </c>
      <c r="I406" s="7">
        <f t="shared" si="48"/>
        <v>242009.39108025</v>
      </c>
      <c r="K406" t="s">
        <v>20</v>
      </c>
      <c r="L406">
        <f>ROUND(AVERAGE(B385:B504),4)</f>
        <v>37526.716699999997</v>
      </c>
    </row>
    <row r="407" spans="2:15">
      <c r="B407" s="15">
        <v>31577</v>
      </c>
      <c r="C407" s="8">
        <v>1032</v>
      </c>
      <c r="D407" s="7">
        <f t="shared" si="43"/>
        <v>32587464</v>
      </c>
      <c r="E407" s="7">
        <f t="shared" si="44"/>
        <v>997106929</v>
      </c>
      <c r="F407" s="7">
        <f t="shared" si="45"/>
        <v>1065024</v>
      </c>
      <c r="G407" s="7">
        <f t="shared" si="46"/>
        <v>1042.3214</v>
      </c>
      <c r="H407" s="7">
        <f t="shared" si="47"/>
        <v>10.321400000000001</v>
      </c>
      <c r="I407" s="7">
        <f t="shared" si="48"/>
        <v>106.53129796000002</v>
      </c>
      <c r="K407" t="s">
        <v>21</v>
      </c>
      <c r="L407">
        <f>ROUND(AVERAGE(C385:C504),4)</f>
        <v>1071.4749999999999</v>
      </c>
    </row>
    <row r="408" spans="2:15">
      <c r="B408" s="15">
        <v>31235</v>
      </c>
      <c r="C408" s="8">
        <v>1480</v>
      </c>
      <c r="D408" s="7">
        <f t="shared" si="43"/>
        <v>46227800</v>
      </c>
      <c r="E408" s="7">
        <f t="shared" si="44"/>
        <v>975625225</v>
      </c>
      <c r="F408" s="7">
        <f t="shared" si="45"/>
        <v>2190400</v>
      </c>
      <c r="G408" s="7">
        <f t="shared" si="46"/>
        <v>1040.6456000000001</v>
      </c>
      <c r="H408" s="7">
        <f t="shared" si="47"/>
        <v>-439.3544</v>
      </c>
      <c r="I408" s="7">
        <f t="shared" si="48"/>
        <v>193032.28879935999</v>
      </c>
    </row>
    <row r="409" spans="2:15">
      <c r="B409" s="15">
        <v>30974</v>
      </c>
      <c r="C409" s="8">
        <v>1160</v>
      </c>
      <c r="D409" s="7">
        <f t="shared" si="43"/>
        <v>35929840</v>
      </c>
      <c r="E409" s="7">
        <f t="shared" si="44"/>
        <v>959388676</v>
      </c>
      <c r="F409" s="7">
        <f t="shared" si="45"/>
        <v>1345600</v>
      </c>
      <c r="G409" s="7">
        <f t="shared" si="46"/>
        <v>1039.3667</v>
      </c>
      <c r="H409" s="7">
        <f t="shared" si="47"/>
        <v>-120.63330000000001</v>
      </c>
      <c r="I409" s="7">
        <f t="shared" si="48"/>
        <v>14552.393068890002</v>
      </c>
    </row>
    <row r="410" spans="2:15">
      <c r="B410" s="15">
        <v>32910</v>
      </c>
      <c r="C410" s="8">
        <v>1027</v>
      </c>
      <c r="D410" s="7">
        <f t="shared" si="43"/>
        <v>33798570</v>
      </c>
      <c r="E410" s="7">
        <f t="shared" si="44"/>
        <v>1083068100</v>
      </c>
      <c r="F410" s="7">
        <f t="shared" si="45"/>
        <v>1054729</v>
      </c>
      <c r="G410" s="7">
        <f t="shared" si="46"/>
        <v>1048.8531</v>
      </c>
      <c r="H410" s="7">
        <f t="shared" si="47"/>
        <v>21.853100000000001</v>
      </c>
      <c r="I410" s="7">
        <f t="shared" si="48"/>
        <v>477.55797961000007</v>
      </c>
      <c r="N410" t="s">
        <v>22</v>
      </c>
      <c r="O410">
        <f>D505-(L405*L406*L407)</f>
        <v>191610370.86410046</v>
      </c>
    </row>
    <row r="411" spans="2:15">
      <c r="B411" s="15">
        <v>20380</v>
      </c>
      <c r="C411" s="8">
        <v>1071</v>
      </c>
      <c r="D411" s="7">
        <f t="shared" si="43"/>
        <v>21826980</v>
      </c>
      <c r="E411" s="7">
        <f t="shared" si="44"/>
        <v>415344400</v>
      </c>
      <c r="F411" s="7">
        <f t="shared" si="45"/>
        <v>1147041</v>
      </c>
      <c r="G411" s="7">
        <f t="shared" si="46"/>
        <v>987.45609999999999</v>
      </c>
      <c r="H411" s="7">
        <f t="shared" si="47"/>
        <v>-83.543899999999994</v>
      </c>
      <c r="I411" s="7">
        <f t="shared" si="48"/>
        <v>6979.5832272099988</v>
      </c>
    </row>
    <row r="412" spans="2:15">
      <c r="B412" s="15">
        <v>11439</v>
      </c>
      <c r="C412" s="8">
        <v>718</v>
      </c>
      <c r="D412" s="7">
        <f t="shared" si="43"/>
        <v>8213202</v>
      </c>
      <c r="E412" s="7">
        <f t="shared" si="44"/>
        <v>130850721</v>
      </c>
      <c r="F412" s="7">
        <f t="shared" si="45"/>
        <v>515524</v>
      </c>
      <c r="G412" s="7">
        <f t="shared" si="46"/>
        <v>943.64520000000005</v>
      </c>
      <c r="H412" s="7">
        <f t="shared" si="47"/>
        <v>225.64519999999999</v>
      </c>
      <c r="I412" s="7">
        <f t="shared" si="48"/>
        <v>50915.756283039998</v>
      </c>
    </row>
    <row r="413" spans="2:15">
      <c r="B413" s="15">
        <v>26639</v>
      </c>
      <c r="C413" s="8">
        <v>394</v>
      </c>
      <c r="D413" s="7">
        <f t="shared" si="43"/>
        <v>10495766</v>
      </c>
      <c r="E413" s="7">
        <f t="shared" si="44"/>
        <v>709636321</v>
      </c>
      <c r="F413" s="7">
        <f t="shared" si="45"/>
        <v>155236</v>
      </c>
      <c r="G413" s="7">
        <f t="shared" si="46"/>
        <v>1018.1251999999999</v>
      </c>
      <c r="H413" s="7">
        <f t="shared" si="47"/>
        <v>624.12519999999995</v>
      </c>
      <c r="I413" s="7">
        <f t="shared" si="48"/>
        <v>389532.26527503994</v>
      </c>
    </row>
    <row r="414" spans="2:15">
      <c r="B414" s="15">
        <v>29735</v>
      </c>
      <c r="C414" s="8">
        <v>691</v>
      </c>
      <c r="D414" s="7">
        <f t="shared" si="43"/>
        <v>20546885</v>
      </c>
      <c r="E414" s="7">
        <f t="shared" si="44"/>
        <v>884170225</v>
      </c>
      <c r="F414" s="7">
        <f t="shared" si="45"/>
        <v>477481</v>
      </c>
      <c r="G414" s="7">
        <f t="shared" si="46"/>
        <v>1033.2955999999999</v>
      </c>
      <c r="H414" s="7">
        <f t="shared" si="47"/>
        <v>342.29559999999998</v>
      </c>
      <c r="I414" s="7">
        <f t="shared" si="48"/>
        <v>117166.27777935998</v>
      </c>
      <c r="N414" t="s">
        <v>22</v>
      </c>
      <c r="O414">
        <f>E505-(L405*(L406^2))</f>
        <v>38761834826.152954</v>
      </c>
    </row>
    <row r="415" spans="2:15">
      <c r="B415" s="15">
        <v>29388</v>
      </c>
      <c r="C415" s="8">
        <v>979</v>
      </c>
      <c r="D415" s="7">
        <f t="shared" si="43"/>
        <v>28770852</v>
      </c>
      <c r="E415" s="7">
        <f t="shared" si="44"/>
        <v>863654544</v>
      </c>
      <c r="F415" s="7">
        <f t="shared" si="45"/>
        <v>958441</v>
      </c>
      <c r="G415" s="7">
        <f t="shared" si="46"/>
        <v>1031.5953</v>
      </c>
      <c r="H415" s="7">
        <f t="shared" si="47"/>
        <v>52.595300000000002</v>
      </c>
      <c r="I415" s="7">
        <f t="shared" si="48"/>
        <v>2766.2655820900004</v>
      </c>
    </row>
    <row r="416" spans="2:15">
      <c r="B416" s="15">
        <v>28081</v>
      </c>
      <c r="C416" s="8">
        <v>830</v>
      </c>
      <c r="D416" s="7">
        <f t="shared" si="43"/>
        <v>23307230</v>
      </c>
      <c r="E416" s="7">
        <f t="shared" si="44"/>
        <v>788542561</v>
      </c>
      <c r="F416" s="7">
        <f t="shared" si="45"/>
        <v>688900</v>
      </c>
      <c r="G416" s="7">
        <f t="shared" si="46"/>
        <v>1025.191</v>
      </c>
      <c r="H416" s="7">
        <f t="shared" si="47"/>
        <v>195.191</v>
      </c>
      <c r="I416" s="7">
        <f t="shared" si="48"/>
        <v>38099.526481000001</v>
      </c>
    </row>
    <row r="417" spans="2:18">
      <c r="B417" s="15">
        <v>28636</v>
      </c>
      <c r="C417" s="8">
        <v>949</v>
      </c>
      <c r="D417" s="7">
        <f t="shared" si="43"/>
        <v>27175564</v>
      </c>
      <c r="E417" s="7">
        <f t="shared" si="44"/>
        <v>820020496</v>
      </c>
      <c r="F417" s="7">
        <f t="shared" si="45"/>
        <v>900601</v>
      </c>
      <c r="G417" s="7">
        <f t="shared" si="46"/>
        <v>1027.9105</v>
      </c>
      <c r="H417" s="7">
        <f t="shared" si="47"/>
        <v>78.910499999999999</v>
      </c>
      <c r="I417" s="7">
        <f t="shared" si="48"/>
        <v>6226.86701025</v>
      </c>
      <c r="N417" t="s">
        <v>22</v>
      </c>
      <c r="O417">
        <f>ROUND((F505-(L405*(L407^2))),4)</f>
        <v>285780855.92500001</v>
      </c>
    </row>
    <row r="418" spans="2:18">
      <c r="B418" s="15">
        <v>19891</v>
      </c>
      <c r="C418" s="8">
        <v>1007</v>
      </c>
      <c r="D418" s="7">
        <f t="shared" si="43"/>
        <v>20030237</v>
      </c>
      <c r="E418" s="7">
        <f t="shared" si="44"/>
        <v>395651881</v>
      </c>
      <c r="F418" s="7">
        <f t="shared" si="45"/>
        <v>1014049</v>
      </c>
      <c r="G418" s="7">
        <f t="shared" si="46"/>
        <v>985.06</v>
      </c>
      <c r="H418" s="7">
        <f t="shared" si="47"/>
        <v>-21.94</v>
      </c>
      <c r="I418" s="7">
        <f t="shared" si="48"/>
        <v>481.36360000000008</v>
      </c>
    </row>
    <row r="419" spans="2:18">
      <c r="B419" s="15">
        <v>9396</v>
      </c>
      <c r="C419" s="8">
        <v>682</v>
      </c>
      <c r="D419" s="7">
        <f t="shared" si="43"/>
        <v>6408072</v>
      </c>
      <c r="E419" s="7">
        <f t="shared" si="44"/>
        <v>88284816</v>
      </c>
      <c r="F419" s="7">
        <f t="shared" si="45"/>
        <v>465124</v>
      </c>
      <c r="G419" s="7">
        <f t="shared" si="46"/>
        <v>933.6345</v>
      </c>
      <c r="H419" s="7">
        <f t="shared" si="47"/>
        <v>251.6345</v>
      </c>
      <c r="I419" s="7">
        <f t="shared" si="48"/>
        <v>63319.92159025</v>
      </c>
    </row>
    <row r="420" spans="2:18">
      <c r="B420" s="15">
        <v>25303</v>
      </c>
      <c r="C420" s="8">
        <v>365</v>
      </c>
      <c r="D420" s="7">
        <f t="shared" si="43"/>
        <v>9235595</v>
      </c>
      <c r="E420" s="7">
        <f t="shared" si="44"/>
        <v>640241809</v>
      </c>
      <c r="F420" s="7">
        <f t="shared" si="45"/>
        <v>133225</v>
      </c>
      <c r="G420" s="7">
        <f t="shared" si="46"/>
        <v>1011.5788</v>
      </c>
      <c r="H420" s="7">
        <f t="shared" si="47"/>
        <v>646.5788</v>
      </c>
      <c r="I420" s="7">
        <f t="shared" si="48"/>
        <v>418064.14460944</v>
      </c>
      <c r="O420" s="15"/>
      <c r="P420" s="15"/>
      <c r="Q420" s="15"/>
      <c r="R420" s="15"/>
    </row>
    <row r="421" spans="2:18">
      <c r="B421" s="15">
        <v>24513</v>
      </c>
      <c r="C421" s="8">
        <v>847</v>
      </c>
      <c r="D421" s="7">
        <f t="shared" si="43"/>
        <v>20762511</v>
      </c>
      <c r="E421" s="7">
        <f t="shared" si="44"/>
        <v>600887169</v>
      </c>
      <c r="F421" s="7">
        <f t="shared" si="45"/>
        <v>717409</v>
      </c>
      <c r="G421" s="7">
        <f t="shared" si="46"/>
        <v>1007.7078</v>
      </c>
      <c r="H421" s="7">
        <f t="shared" si="47"/>
        <v>160.70779999999999</v>
      </c>
      <c r="I421" s="7">
        <f t="shared" si="48"/>
        <v>25826.996980839998</v>
      </c>
      <c r="M421" t="s">
        <v>22</v>
      </c>
      <c r="N421">
        <f>O410/(SQRT(O414)*SQRT(O417))</f>
        <v>5.7570537187996151E-2</v>
      </c>
      <c r="O421" s="15"/>
      <c r="P421" s="15"/>
      <c r="Q421" s="15">
        <f>N421^2</f>
        <v>3.314366752114448E-3</v>
      </c>
      <c r="R421" s="15"/>
    </row>
    <row r="422" spans="2:18">
      <c r="B422" s="15">
        <v>26627</v>
      </c>
      <c r="C422" s="8">
        <v>642</v>
      </c>
      <c r="D422" s="7">
        <f t="shared" si="43"/>
        <v>17094534</v>
      </c>
      <c r="E422" s="7">
        <f t="shared" si="44"/>
        <v>708997129</v>
      </c>
      <c r="F422" s="7">
        <f t="shared" si="45"/>
        <v>412164</v>
      </c>
      <c r="G422" s="7">
        <f t="shared" si="46"/>
        <v>1018.0664</v>
      </c>
      <c r="H422" s="7">
        <f t="shared" si="47"/>
        <v>376.06639999999999</v>
      </c>
      <c r="I422" s="7">
        <f t="shared" si="48"/>
        <v>141425.93720895998</v>
      </c>
      <c r="O422" s="15"/>
      <c r="P422" s="15"/>
      <c r="Q422" s="15"/>
      <c r="R422" s="15"/>
    </row>
    <row r="423" spans="2:18">
      <c r="B423" s="15">
        <v>24313</v>
      </c>
      <c r="C423" s="8">
        <v>627</v>
      </c>
      <c r="D423" s="7">
        <f t="shared" si="43"/>
        <v>15244251</v>
      </c>
      <c r="E423" s="7">
        <f t="shared" si="44"/>
        <v>591121969</v>
      </c>
      <c r="F423" s="7">
        <f t="shared" si="45"/>
        <v>393129</v>
      </c>
      <c r="G423" s="7">
        <f t="shared" si="46"/>
        <v>1006.7278</v>
      </c>
      <c r="H423" s="7">
        <f t="shared" si="47"/>
        <v>379.7278</v>
      </c>
      <c r="I423" s="7">
        <f t="shared" si="48"/>
        <v>144193.20209283999</v>
      </c>
    </row>
    <row r="424" spans="2:18">
      <c r="B424" s="15">
        <v>27281</v>
      </c>
      <c r="C424" s="8">
        <v>577</v>
      </c>
      <c r="D424" s="7">
        <f t="shared" si="43"/>
        <v>15741137</v>
      </c>
      <c r="E424" s="7">
        <f t="shared" si="44"/>
        <v>744252961</v>
      </c>
      <c r="F424" s="7">
        <f t="shared" si="45"/>
        <v>332929</v>
      </c>
      <c r="G424" s="7">
        <f t="shared" si="46"/>
        <v>1021.271</v>
      </c>
      <c r="H424" s="7">
        <f t="shared" si="47"/>
        <v>444.27100000000002</v>
      </c>
      <c r="I424" s="7">
        <f t="shared" si="48"/>
        <v>197376.721441</v>
      </c>
    </row>
    <row r="425" spans="2:18">
      <c r="B425" s="15">
        <v>21016</v>
      </c>
      <c r="C425" s="8">
        <v>564</v>
      </c>
      <c r="D425" s="7">
        <f t="shared" si="43"/>
        <v>11853024</v>
      </c>
      <c r="E425" s="7">
        <f t="shared" si="44"/>
        <v>441672256</v>
      </c>
      <c r="F425" s="7">
        <f t="shared" si="45"/>
        <v>318096</v>
      </c>
      <c r="G425" s="7">
        <f t="shared" si="46"/>
        <v>990.57249999999999</v>
      </c>
      <c r="H425" s="7">
        <f t="shared" si="47"/>
        <v>426.57249999999999</v>
      </c>
      <c r="I425" s="7">
        <f t="shared" si="48"/>
        <v>181964.09775625</v>
      </c>
    </row>
    <row r="426" spans="2:18">
      <c r="B426" s="15">
        <v>9709</v>
      </c>
      <c r="C426" s="8">
        <v>541</v>
      </c>
      <c r="D426" s="7">
        <f t="shared" si="43"/>
        <v>5252569</v>
      </c>
      <c r="E426" s="7">
        <f t="shared" si="44"/>
        <v>94264681</v>
      </c>
      <c r="F426" s="7">
        <f t="shared" si="45"/>
        <v>292681</v>
      </c>
      <c r="G426" s="7">
        <f t="shared" si="46"/>
        <v>935.16819999999996</v>
      </c>
      <c r="H426" s="7">
        <f t="shared" si="47"/>
        <v>394.16820000000001</v>
      </c>
      <c r="I426" s="7">
        <f t="shared" si="48"/>
        <v>155368.56989124001</v>
      </c>
    </row>
    <row r="427" spans="2:18">
      <c r="B427" s="15">
        <v>26427</v>
      </c>
      <c r="C427" s="8">
        <v>256</v>
      </c>
      <c r="D427" s="7">
        <f t="shared" si="43"/>
        <v>6765312</v>
      </c>
      <c r="E427" s="7">
        <f t="shared" si="44"/>
        <v>698386329</v>
      </c>
      <c r="F427" s="7">
        <f t="shared" si="45"/>
        <v>65536</v>
      </c>
      <c r="G427" s="7">
        <f t="shared" si="46"/>
        <v>1017.0864</v>
      </c>
      <c r="H427" s="7">
        <f t="shared" si="47"/>
        <v>761.08640000000003</v>
      </c>
      <c r="I427" s="7">
        <f t="shared" si="48"/>
        <v>579252.50826496002</v>
      </c>
    </row>
    <row r="428" spans="2:18">
      <c r="B428" s="15">
        <v>41394</v>
      </c>
      <c r="C428" s="8">
        <v>384</v>
      </c>
      <c r="D428" s="7">
        <f t="shared" si="43"/>
        <v>15895296</v>
      </c>
      <c r="E428" s="7">
        <f t="shared" si="44"/>
        <v>1713463236</v>
      </c>
      <c r="F428" s="7">
        <f t="shared" si="45"/>
        <v>147456</v>
      </c>
      <c r="G428" s="7">
        <f t="shared" si="46"/>
        <v>1090.4247</v>
      </c>
      <c r="H428" s="7">
        <f t="shared" si="47"/>
        <v>706.42470000000003</v>
      </c>
      <c r="I428" s="7">
        <f t="shared" si="48"/>
        <v>499035.85677009006</v>
      </c>
    </row>
    <row r="429" spans="2:18">
      <c r="B429" s="15">
        <v>48102</v>
      </c>
      <c r="C429" s="8">
        <v>673</v>
      </c>
      <c r="D429" s="7">
        <f t="shared" si="43"/>
        <v>32372646</v>
      </c>
      <c r="E429" s="7">
        <f t="shared" si="44"/>
        <v>2313802404</v>
      </c>
      <c r="F429" s="7">
        <f t="shared" si="45"/>
        <v>452929</v>
      </c>
      <c r="G429" s="7">
        <f t="shared" si="46"/>
        <v>1123.2938999999999</v>
      </c>
      <c r="H429" s="7">
        <f t="shared" si="47"/>
        <v>450.29390000000001</v>
      </c>
      <c r="I429" s="7">
        <f t="shared" si="48"/>
        <v>202764.59637720999</v>
      </c>
      <c r="L429" t="s">
        <v>22</v>
      </c>
      <c r="M429">
        <f>ROUND((O410/O414),4)</f>
        <v>4.8999999999999998E-3</v>
      </c>
    </row>
    <row r="430" spans="2:18">
      <c r="B430" s="15">
        <v>52896</v>
      </c>
      <c r="C430" s="8">
        <v>485</v>
      </c>
      <c r="D430" s="7">
        <f t="shared" si="43"/>
        <v>25654560</v>
      </c>
      <c r="E430" s="7">
        <f t="shared" si="44"/>
        <v>2797986816</v>
      </c>
      <c r="F430" s="7">
        <f t="shared" si="45"/>
        <v>235225</v>
      </c>
      <c r="G430" s="7">
        <f t="shared" si="46"/>
        <v>1146.7845</v>
      </c>
      <c r="H430" s="7">
        <f t="shared" si="47"/>
        <v>661.78449999999998</v>
      </c>
      <c r="I430" s="7">
        <f t="shared" si="48"/>
        <v>437958.72444024996</v>
      </c>
    </row>
    <row r="431" spans="2:18">
      <c r="B431" s="15">
        <v>53485</v>
      </c>
      <c r="C431" s="8">
        <v>568</v>
      </c>
      <c r="D431" s="7">
        <f t="shared" si="43"/>
        <v>30379480</v>
      </c>
      <c r="E431" s="7">
        <f t="shared" si="44"/>
        <v>2860645225</v>
      </c>
      <c r="F431" s="7">
        <f t="shared" si="45"/>
        <v>322624</v>
      </c>
      <c r="G431" s="7">
        <f t="shared" si="46"/>
        <v>1149.6705999999999</v>
      </c>
      <c r="H431" s="7">
        <f t="shared" si="47"/>
        <v>581.67060000000004</v>
      </c>
      <c r="I431" s="7">
        <f t="shared" si="48"/>
        <v>338340.68690436002</v>
      </c>
    </row>
    <row r="432" spans="2:18">
      <c r="B432" s="15">
        <v>33514</v>
      </c>
      <c r="C432" s="8">
        <v>457</v>
      </c>
      <c r="D432" s="7">
        <f t="shared" si="43"/>
        <v>15315898</v>
      </c>
      <c r="E432" s="7">
        <f t="shared" si="44"/>
        <v>1123188196</v>
      </c>
      <c r="F432" s="7">
        <f t="shared" si="45"/>
        <v>208849</v>
      </c>
      <c r="G432" s="7">
        <f t="shared" si="46"/>
        <v>1051.8126999999999</v>
      </c>
      <c r="H432" s="7">
        <f t="shared" si="47"/>
        <v>594.81269999999995</v>
      </c>
      <c r="I432" s="7">
        <f t="shared" si="48"/>
        <v>353802.14808128995</v>
      </c>
      <c r="L432" t="s">
        <v>22</v>
      </c>
      <c r="M432">
        <f>ROUND((L407-(M429*L406)),4)</f>
        <v>887.59410000000003</v>
      </c>
    </row>
    <row r="433" spans="2:24">
      <c r="B433" s="15">
        <v>10254</v>
      </c>
      <c r="C433" s="8">
        <v>450</v>
      </c>
      <c r="D433" s="7">
        <f t="shared" si="43"/>
        <v>4614300</v>
      </c>
      <c r="E433" s="7">
        <f t="shared" si="44"/>
        <v>105144516</v>
      </c>
      <c r="F433" s="7">
        <f t="shared" si="45"/>
        <v>202500</v>
      </c>
      <c r="G433" s="7">
        <f t="shared" si="46"/>
        <v>937.83870000000002</v>
      </c>
      <c r="H433" s="7">
        <f t="shared" si="47"/>
        <v>487.83870000000002</v>
      </c>
      <c r="I433" s="7">
        <f t="shared" si="48"/>
        <v>237986.59721769002</v>
      </c>
    </row>
    <row r="434" spans="2:24">
      <c r="B434" s="15">
        <v>30283</v>
      </c>
      <c r="C434" s="8">
        <v>248</v>
      </c>
      <c r="D434" s="7">
        <f t="shared" si="43"/>
        <v>7510184</v>
      </c>
      <c r="E434" s="7">
        <f t="shared" si="44"/>
        <v>917060089</v>
      </c>
      <c r="F434" s="7">
        <f t="shared" si="45"/>
        <v>61504</v>
      </c>
      <c r="G434" s="7">
        <f t="shared" si="46"/>
        <v>1035.9808</v>
      </c>
      <c r="H434" s="7">
        <f t="shared" si="47"/>
        <v>787.98080000000004</v>
      </c>
      <c r="I434" s="7">
        <f t="shared" si="48"/>
        <v>620913.74116864009</v>
      </c>
    </row>
    <row r="435" spans="2:24">
      <c r="B435" s="15">
        <v>31200</v>
      </c>
      <c r="C435" s="8">
        <v>434</v>
      </c>
      <c r="D435" s="7">
        <f t="shared" si="43"/>
        <v>13540800</v>
      </c>
      <c r="E435" s="7">
        <f t="shared" si="44"/>
        <v>973440000</v>
      </c>
      <c r="F435" s="7">
        <f t="shared" si="45"/>
        <v>188356</v>
      </c>
      <c r="G435" s="7">
        <f t="shared" si="46"/>
        <v>1040.4740999999999</v>
      </c>
      <c r="H435" s="7">
        <f t="shared" si="47"/>
        <v>606.47410000000002</v>
      </c>
      <c r="I435" s="7">
        <f t="shared" si="48"/>
        <v>367810.83397081005</v>
      </c>
    </row>
    <row r="436" spans="2:24">
      <c r="B436" s="15">
        <v>29256</v>
      </c>
      <c r="C436" s="8">
        <v>575</v>
      </c>
      <c r="D436" s="7">
        <f t="shared" si="43"/>
        <v>16822200</v>
      </c>
      <c r="E436" s="7">
        <f t="shared" si="44"/>
        <v>855913536</v>
      </c>
      <c r="F436" s="7">
        <f t="shared" si="45"/>
        <v>330625</v>
      </c>
      <c r="G436" s="7">
        <f t="shared" si="46"/>
        <v>1030.9485</v>
      </c>
      <c r="H436" s="7">
        <f t="shared" si="47"/>
        <v>455.94850000000002</v>
      </c>
      <c r="I436" s="7">
        <f t="shared" si="48"/>
        <v>207889.03465225003</v>
      </c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</row>
    <row r="437" spans="2:24">
      <c r="B437" s="15">
        <v>27478</v>
      </c>
      <c r="C437" s="8">
        <v>423</v>
      </c>
      <c r="D437" s="7">
        <f t="shared" si="43"/>
        <v>11623194</v>
      </c>
      <c r="E437" s="7">
        <f t="shared" si="44"/>
        <v>755040484</v>
      </c>
      <c r="F437" s="7">
        <f t="shared" si="45"/>
        <v>178929</v>
      </c>
      <c r="G437" s="7">
        <f t="shared" si="46"/>
        <v>1022.2363</v>
      </c>
      <c r="H437" s="7">
        <f t="shared" si="47"/>
        <v>599.23630000000003</v>
      </c>
      <c r="I437" s="7">
        <f t="shared" si="48"/>
        <v>359084.14323769003</v>
      </c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</row>
    <row r="438" spans="2:24">
      <c r="B438" s="15">
        <v>30147</v>
      </c>
      <c r="C438" s="8">
        <v>488</v>
      </c>
      <c r="D438" s="7">
        <f t="shared" si="43"/>
        <v>14711736</v>
      </c>
      <c r="E438" s="7">
        <f t="shared" si="44"/>
        <v>908841609</v>
      </c>
      <c r="F438" s="7">
        <f t="shared" si="45"/>
        <v>238144</v>
      </c>
      <c r="G438" s="7">
        <f t="shared" si="46"/>
        <v>1035.3144</v>
      </c>
      <c r="H438" s="7">
        <f t="shared" si="47"/>
        <v>547.31439999999998</v>
      </c>
      <c r="I438" s="7">
        <f t="shared" si="48"/>
        <v>299553.05244735995</v>
      </c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</row>
    <row r="439" spans="2:24">
      <c r="B439" s="15">
        <v>22158</v>
      </c>
      <c r="C439" s="8">
        <v>344</v>
      </c>
      <c r="D439" s="7">
        <f t="shared" si="43"/>
        <v>7622352</v>
      </c>
      <c r="E439" s="7">
        <f t="shared" si="44"/>
        <v>490976964</v>
      </c>
      <c r="F439" s="7">
        <f t="shared" si="45"/>
        <v>118336</v>
      </c>
      <c r="G439" s="7">
        <f t="shared" si="46"/>
        <v>996.16830000000004</v>
      </c>
      <c r="H439" s="7">
        <f t="shared" si="47"/>
        <v>652.16830000000004</v>
      </c>
      <c r="I439" s="7">
        <f t="shared" si="48"/>
        <v>425323.49152489007</v>
      </c>
      <c r="J439" s="77"/>
      <c r="K439" s="38" t="s">
        <v>41</v>
      </c>
      <c r="L439" s="33">
        <f>ROUND(O417-N439*O410,4)</f>
        <v>284841965.10780001</v>
      </c>
      <c r="M439" s="38"/>
      <c r="N439" s="33">
        <f>M429</f>
        <v>4.8999999999999998E-3</v>
      </c>
      <c r="O439" s="77"/>
      <c r="P439" s="77"/>
      <c r="Q439" s="77"/>
      <c r="R439" s="77"/>
      <c r="S439" s="77"/>
      <c r="T439" s="77"/>
      <c r="U439" s="77"/>
      <c r="V439" s="77"/>
      <c r="W439" s="77"/>
      <c r="X439" s="77"/>
    </row>
    <row r="440" spans="2:24">
      <c r="B440" s="15">
        <v>10845</v>
      </c>
      <c r="C440" s="8">
        <v>365</v>
      </c>
      <c r="D440" s="7">
        <f t="shared" si="43"/>
        <v>3958425</v>
      </c>
      <c r="E440" s="7">
        <f t="shared" si="44"/>
        <v>117614025</v>
      </c>
      <c r="F440" s="7">
        <f t="shared" si="45"/>
        <v>133225</v>
      </c>
      <c r="G440" s="7">
        <f t="shared" si="46"/>
        <v>940.7346</v>
      </c>
      <c r="H440" s="7">
        <f t="shared" si="47"/>
        <v>575.7346</v>
      </c>
      <c r="I440" s="7">
        <f t="shared" si="48"/>
        <v>331470.32963716</v>
      </c>
      <c r="J440" s="77"/>
      <c r="K440" s="36" t="s">
        <v>42</v>
      </c>
      <c r="L440" s="26">
        <f>ROUND((O410^2)/O414,4)</f>
        <v>947182.5673</v>
      </c>
      <c r="M440" s="77"/>
      <c r="N440" s="26"/>
      <c r="O440" s="77"/>
      <c r="P440" s="77"/>
      <c r="Q440" s="77"/>
      <c r="R440" s="77"/>
      <c r="S440" s="77"/>
      <c r="T440" s="77"/>
      <c r="U440" s="77"/>
      <c r="V440" s="77"/>
      <c r="W440" s="77"/>
      <c r="X440" s="77"/>
    </row>
    <row r="441" spans="2:24">
      <c r="B441" s="15">
        <v>30192</v>
      </c>
      <c r="C441" s="8">
        <v>309</v>
      </c>
      <c r="D441" s="7">
        <f t="shared" si="43"/>
        <v>9329328</v>
      </c>
      <c r="E441" s="7">
        <f t="shared" si="44"/>
        <v>911556864</v>
      </c>
      <c r="F441" s="7">
        <f t="shared" si="45"/>
        <v>95481</v>
      </c>
      <c r="G441" s="7">
        <f t="shared" si="46"/>
        <v>1035.5349000000001</v>
      </c>
      <c r="H441" s="7">
        <f t="shared" si="47"/>
        <v>726.53489999999999</v>
      </c>
      <c r="I441" s="7">
        <f t="shared" si="48"/>
        <v>527852.96091800998</v>
      </c>
      <c r="J441" s="77"/>
      <c r="K441" s="36" t="s">
        <v>43</v>
      </c>
      <c r="L441" s="26">
        <f>O417</f>
        <v>285780855.92500001</v>
      </c>
      <c r="M441" s="77"/>
      <c r="N441" s="26">
        <f>M432</f>
        <v>887.59410000000003</v>
      </c>
      <c r="O441" s="77"/>
      <c r="P441" s="77"/>
      <c r="Q441" s="77"/>
      <c r="R441" s="77"/>
      <c r="S441" s="77"/>
      <c r="T441" s="77"/>
      <c r="U441" s="77"/>
      <c r="V441" s="77"/>
      <c r="W441" s="77"/>
      <c r="X441" s="77"/>
    </row>
    <row r="442" spans="2:24">
      <c r="B442" s="15">
        <v>29244</v>
      </c>
      <c r="C442" s="8">
        <v>388</v>
      </c>
      <c r="D442" s="7">
        <f t="shared" si="43"/>
        <v>11346672</v>
      </c>
      <c r="E442" s="7">
        <f t="shared" si="44"/>
        <v>855211536</v>
      </c>
      <c r="F442" s="7">
        <f t="shared" si="45"/>
        <v>150544</v>
      </c>
      <c r="G442" s="7">
        <f t="shared" si="46"/>
        <v>1030.8896999999999</v>
      </c>
      <c r="H442" s="7">
        <f t="shared" si="47"/>
        <v>642.88969999999995</v>
      </c>
      <c r="I442" s="7">
        <f t="shared" si="48"/>
        <v>413307.16636608995</v>
      </c>
      <c r="J442" s="77"/>
      <c r="K442" s="36" t="s">
        <v>59</v>
      </c>
      <c r="L442" s="26">
        <f>ROUND(SQRT(L439/(L405-2)),4)</f>
        <v>1553.6778999999999</v>
      </c>
      <c r="M442" s="77"/>
      <c r="N442" s="26"/>
      <c r="O442" s="77"/>
      <c r="P442" s="77"/>
      <c r="Q442" s="77"/>
      <c r="R442" s="77"/>
      <c r="S442" s="77"/>
      <c r="T442" s="77"/>
      <c r="U442" s="77"/>
      <c r="V442" s="77"/>
      <c r="W442" s="77"/>
      <c r="X442" s="77"/>
    </row>
    <row r="443" spans="2:24" ht="13.5" thickBot="1">
      <c r="B443" s="15">
        <v>28880</v>
      </c>
      <c r="C443" s="8">
        <v>618</v>
      </c>
      <c r="D443" s="7">
        <f t="shared" si="43"/>
        <v>17847840</v>
      </c>
      <c r="E443" s="7">
        <f t="shared" si="44"/>
        <v>834054400</v>
      </c>
      <c r="F443" s="7">
        <f t="shared" si="45"/>
        <v>381924</v>
      </c>
      <c r="G443" s="7">
        <f t="shared" si="46"/>
        <v>1029.1061</v>
      </c>
      <c r="H443" s="7">
        <f t="shared" si="47"/>
        <v>411.10610000000003</v>
      </c>
      <c r="I443" s="7">
        <f t="shared" si="48"/>
        <v>169008.22545721004</v>
      </c>
      <c r="J443" s="77"/>
      <c r="K443" s="37"/>
      <c r="L443" s="27"/>
      <c r="M443" s="37"/>
      <c r="N443" s="27">
        <f>ROUND(N439*SQRT(O414/O417),4)</f>
        <v>5.7099999999999998E-2</v>
      </c>
      <c r="O443" s="77"/>
      <c r="P443" s="77"/>
      <c r="Q443" s="77"/>
      <c r="R443" s="77"/>
      <c r="S443" s="77"/>
      <c r="T443" s="77"/>
      <c r="U443" s="77"/>
      <c r="V443" s="77"/>
      <c r="W443" s="77"/>
      <c r="X443" s="77"/>
    </row>
    <row r="444" spans="2:24">
      <c r="B444" s="15">
        <v>28742</v>
      </c>
      <c r="C444" s="8">
        <v>592</v>
      </c>
      <c r="D444" s="7">
        <f t="shared" si="43"/>
        <v>17015264</v>
      </c>
      <c r="E444" s="7">
        <f t="shared" si="44"/>
        <v>826102564</v>
      </c>
      <c r="F444" s="7">
        <f t="shared" si="45"/>
        <v>350464</v>
      </c>
      <c r="G444" s="7">
        <f t="shared" si="46"/>
        <v>1028.4299000000001</v>
      </c>
      <c r="H444" s="7">
        <f t="shared" si="47"/>
        <v>436.42989999999998</v>
      </c>
      <c r="I444" s="7">
        <f t="shared" si="48"/>
        <v>190471.05761400997</v>
      </c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</row>
    <row r="445" spans="2:24" ht="13.5" thickBot="1">
      <c r="B445" s="15">
        <v>14921</v>
      </c>
      <c r="C445" s="8">
        <v>548</v>
      </c>
      <c r="D445" s="7">
        <f t="shared" si="43"/>
        <v>8176708</v>
      </c>
      <c r="E445" s="7">
        <f t="shared" si="44"/>
        <v>222636241</v>
      </c>
      <c r="F445" s="7">
        <f t="shared" si="45"/>
        <v>300304</v>
      </c>
      <c r="G445" s="7">
        <f t="shared" si="46"/>
        <v>960.70699999999999</v>
      </c>
      <c r="H445" s="7">
        <f t="shared" si="47"/>
        <v>412.70699999999999</v>
      </c>
      <c r="I445" s="7">
        <f t="shared" si="48"/>
        <v>170327.06784899998</v>
      </c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</row>
    <row r="446" spans="2:24">
      <c r="B446" s="15">
        <v>23135</v>
      </c>
      <c r="C446" s="8">
        <v>280</v>
      </c>
      <c r="D446" s="7">
        <f t="shared" si="43"/>
        <v>6477800</v>
      </c>
      <c r="E446" s="7">
        <f t="shared" si="44"/>
        <v>535228225</v>
      </c>
      <c r="F446" s="7">
        <f t="shared" si="45"/>
        <v>78400</v>
      </c>
      <c r="G446" s="7">
        <f t="shared" si="46"/>
        <v>1000.9556</v>
      </c>
      <c r="H446" s="7">
        <f t="shared" si="47"/>
        <v>720.9556</v>
      </c>
      <c r="I446" s="7">
        <f t="shared" si="48"/>
        <v>519776.97717135999</v>
      </c>
      <c r="J446" s="77"/>
      <c r="K446" s="20"/>
      <c r="L446" s="20" t="s">
        <v>55</v>
      </c>
      <c r="M446" s="20" t="s">
        <v>48</v>
      </c>
      <c r="N446" s="20" t="s">
        <v>49</v>
      </c>
      <c r="O446" s="20" t="s">
        <v>50</v>
      </c>
      <c r="P446" s="20" t="s">
        <v>51</v>
      </c>
      <c r="Q446" s="77"/>
      <c r="R446" s="77"/>
      <c r="S446" s="77"/>
      <c r="T446" s="77"/>
      <c r="U446" s="77"/>
      <c r="V446" s="77"/>
      <c r="W446" s="77"/>
      <c r="X446" s="77"/>
    </row>
    <row r="447" spans="2:24">
      <c r="B447" s="15">
        <v>12404</v>
      </c>
      <c r="C447" s="8">
        <v>193</v>
      </c>
      <c r="D447" s="7">
        <f t="shared" si="43"/>
        <v>2393972</v>
      </c>
      <c r="E447" s="7">
        <f t="shared" si="44"/>
        <v>153859216</v>
      </c>
      <c r="F447" s="7">
        <f t="shared" si="45"/>
        <v>37249</v>
      </c>
      <c r="G447" s="7">
        <f t="shared" si="46"/>
        <v>948.37369999999999</v>
      </c>
      <c r="H447" s="7">
        <f t="shared" si="47"/>
        <v>755.37369999999999</v>
      </c>
      <c r="I447" s="7">
        <f t="shared" si="48"/>
        <v>570589.42665168992</v>
      </c>
      <c r="J447" s="77"/>
      <c r="K447" s="76" t="s">
        <v>56</v>
      </c>
      <c r="L447" s="18" t="s">
        <v>45</v>
      </c>
      <c r="M447" s="18">
        <v>1</v>
      </c>
      <c r="N447" s="18">
        <f>L440</f>
        <v>947182.5673</v>
      </c>
      <c r="O447" s="18">
        <f>N447/M447</f>
        <v>947182.5673</v>
      </c>
      <c r="P447" s="18">
        <f>O447/O448</f>
        <v>0.39238439778036555</v>
      </c>
      <c r="Q447" s="77"/>
      <c r="R447" s="77"/>
      <c r="S447" s="77"/>
      <c r="T447" s="77"/>
      <c r="U447" s="77"/>
      <c r="V447" s="77"/>
      <c r="W447" s="77"/>
      <c r="X447" s="77"/>
    </row>
    <row r="448" spans="2:24">
      <c r="B448" s="15">
        <v>59246</v>
      </c>
      <c r="C448" s="8">
        <v>159</v>
      </c>
      <c r="D448" s="7">
        <f t="shared" si="43"/>
        <v>9420114</v>
      </c>
      <c r="E448" s="7">
        <f t="shared" si="44"/>
        <v>3510088516</v>
      </c>
      <c r="F448" s="7">
        <f t="shared" si="45"/>
        <v>25281</v>
      </c>
      <c r="G448" s="7">
        <f t="shared" si="46"/>
        <v>1177.8995</v>
      </c>
      <c r="H448" s="7">
        <f t="shared" si="47"/>
        <v>1018.8995</v>
      </c>
      <c r="I448" s="7">
        <f t="shared" si="48"/>
        <v>1038156.19110025</v>
      </c>
      <c r="J448" s="77"/>
      <c r="K448" s="76" t="s">
        <v>57</v>
      </c>
      <c r="L448" s="18" t="s">
        <v>46</v>
      </c>
      <c r="M448" s="77">
        <v>118</v>
      </c>
      <c r="N448" s="18">
        <f>L439</f>
        <v>284841965.10780001</v>
      </c>
      <c r="O448" s="18">
        <f>N448/M448</f>
        <v>2413914.958540678</v>
      </c>
      <c r="P448" s="18"/>
      <c r="Q448" s="77"/>
      <c r="R448" s="77"/>
      <c r="S448" s="77"/>
      <c r="T448" s="77"/>
      <c r="U448" s="77"/>
      <c r="V448" s="77"/>
      <c r="W448" s="77"/>
      <c r="X448" s="77"/>
    </row>
    <row r="449" spans="2:24" ht="13.5" thickBot="1">
      <c r="B449" s="15">
        <v>63682</v>
      </c>
      <c r="C449" s="8">
        <v>874</v>
      </c>
      <c r="D449" s="7">
        <f t="shared" si="43"/>
        <v>55658068</v>
      </c>
      <c r="E449" s="7">
        <f t="shared" si="44"/>
        <v>4055397124</v>
      </c>
      <c r="F449" s="7">
        <f t="shared" si="45"/>
        <v>763876</v>
      </c>
      <c r="G449" s="7">
        <f t="shared" si="46"/>
        <v>1199.6359</v>
      </c>
      <c r="H449" s="7">
        <f t="shared" si="47"/>
        <v>325.63589999999999</v>
      </c>
      <c r="I449" s="7">
        <f t="shared" si="48"/>
        <v>106038.73936881</v>
      </c>
      <c r="J449" s="77"/>
      <c r="K449" s="24" t="s">
        <v>58</v>
      </c>
      <c r="L449" s="19" t="s">
        <v>47</v>
      </c>
      <c r="M449" s="28">
        <v>119</v>
      </c>
      <c r="N449" s="19">
        <f>L441</f>
        <v>285780855.92500001</v>
      </c>
      <c r="O449" s="19"/>
      <c r="P449" s="19"/>
      <c r="Q449" s="77"/>
      <c r="R449" s="77"/>
      <c r="S449" s="77"/>
      <c r="T449" s="77"/>
      <c r="U449" s="77"/>
      <c r="V449" s="77"/>
      <c r="W449" s="77"/>
      <c r="X449" s="77"/>
    </row>
    <row r="450" spans="2:24">
      <c r="B450" s="15">
        <v>63338</v>
      </c>
      <c r="C450" s="8">
        <v>663</v>
      </c>
      <c r="D450" s="7">
        <f t="shared" ref="D450:D504" si="49">B450*C450</f>
        <v>41993094</v>
      </c>
      <c r="E450" s="7">
        <f t="shared" ref="E450:E504" si="50">B450^2</f>
        <v>4011702244</v>
      </c>
      <c r="F450" s="7">
        <f t="shared" ref="F450:F504" si="51">C450^2</f>
        <v>439569</v>
      </c>
      <c r="G450" s="7">
        <f t="shared" ref="G450:G504" si="52">ROUND($M$432+$M$429*B450,4)</f>
        <v>1197.9503</v>
      </c>
      <c r="H450" s="7">
        <f t="shared" ref="H450:H504" si="53">ROUND(G450-C450,4)</f>
        <v>534.95029999999997</v>
      </c>
      <c r="I450" s="7">
        <f t="shared" ref="I450:I504" si="54">H450^2</f>
        <v>286171.82347008999</v>
      </c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</row>
    <row r="451" spans="2:24">
      <c r="B451" s="15">
        <v>58289</v>
      </c>
      <c r="C451" s="8">
        <v>602</v>
      </c>
      <c r="D451" s="7">
        <f t="shared" si="49"/>
        <v>35089978</v>
      </c>
      <c r="E451" s="7">
        <f t="shared" si="50"/>
        <v>3397607521</v>
      </c>
      <c r="F451" s="7">
        <f t="shared" si="51"/>
        <v>362404</v>
      </c>
      <c r="G451" s="7">
        <f t="shared" si="52"/>
        <v>1173.2102</v>
      </c>
      <c r="H451" s="7">
        <f t="shared" si="53"/>
        <v>571.21019999999999</v>
      </c>
      <c r="I451" s="7">
        <f t="shared" si="54"/>
        <v>326281.09258403996</v>
      </c>
      <c r="J451" s="77"/>
      <c r="K451" s="73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</row>
    <row r="452" spans="2:24">
      <c r="B452" s="15">
        <v>60156</v>
      </c>
      <c r="C452" s="8">
        <v>694</v>
      </c>
      <c r="D452" s="7">
        <f t="shared" si="49"/>
        <v>41748264</v>
      </c>
      <c r="E452" s="7">
        <f t="shared" si="50"/>
        <v>3618744336</v>
      </c>
      <c r="F452" s="7">
        <f t="shared" si="51"/>
        <v>481636</v>
      </c>
      <c r="G452" s="7">
        <f t="shared" si="52"/>
        <v>1182.3585</v>
      </c>
      <c r="H452" s="7">
        <f t="shared" si="53"/>
        <v>488.35849999999999</v>
      </c>
      <c r="I452" s="7">
        <f t="shared" si="54"/>
        <v>238494.02452224999</v>
      </c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</row>
    <row r="453" spans="2:24">
      <c r="B453" s="15">
        <v>31800</v>
      </c>
      <c r="C453" s="8">
        <v>601</v>
      </c>
      <c r="D453" s="7">
        <f t="shared" si="49"/>
        <v>19111800</v>
      </c>
      <c r="E453" s="7">
        <f t="shared" si="50"/>
        <v>1011240000</v>
      </c>
      <c r="F453" s="7">
        <f t="shared" si="51"/>
        <v>361201</v>
      </c>
      <c r="G453" s="7">
        <f t="shared" si="52"/>
        <v>1043.4141</v>
      </c>
      <c r="H453" s="7">
        <f t="shared" si="53"/>
        <v>442.41410000000002</v>
      </c>
      <c r="I453" s="7">
        <f t="shared" si="54"/>
        <v>195730.23587881002</v>
      </c>
      <c r="J453" s="77"/>
      <c r="K453" s="14"/>
      <c r="L453" s="14"/>
      <c r="M453" s="14"/>
      <c r="N453" s="14"/>
      <c r="O453" s="14"/>
      <c r="P453" s="77"/>
      <c r="Q453" s="77"/>
      <c r="R453" s="77"/>
      <c r="S453" s="77"/>
      <c r="T453" s="77"/>
      <c r="U453" s="77"/>
      <c r="V453" s="77"/>
      <c r="W453" s="77"/>
      <c r="X453" s="77"/>
    </row>
    <row r="454" spans="2:24">
      <c r="B454" s="15">
        <v>12842</v>
      </c>
      <c r="C454" s="8">
        <v>566</v>
      </c>
      <c r="D454" s="7">
        <f t="shared" si="49"/>
        <v>7268572</v>
      </c>
      <c r="E454" s="7">
        <f t="shared" si="50"/>
        <v>164916964</v>
      </c>
      <c r="F454" s="7">
        <f t="shared" si="51"/>
        <v>320356</v>
      </c>
      <c r="G454" s="7">
        <f t="shared" si="52"/>
        <v>950.51990000000001</v>
      </c>
      <c r="H454" s="7">
        <f t="shared" si="53"/>
        <v>384.51990000000001</v>
      </c>
      <c r="I454" s="7">
        <f t="shared" si="54"/>
        <v>147855.55349601002</v>
      </c>
      <c r="J454" s="77"/>
      <c r="K454" s="29" t="s">
        <v>80</v>
      </c>
      <c r="L454" s="14">
        <v>0.05</v>
      </c>
      <c r="M454" s="14"/>
      <c r="N454" s="14"/>
      <c r="O454" s="14"/>
      <c r="P454" s="77"/>
      <c r="Q454" s="77"/>
      <c r="R454" s="77"/>
      <c r="S454" s="77"/>
      <c r="T454" s="77"/>
      <c r="U454" s="77"/>
      <c r="V454" s="77"/>
      <c r="W454" s="77"/>
      <c r="X454" s="77"/>
    </row>
    <row r="455" spans="2:24">
      <c r="B455" s="15">
        <v>38795</v>
      </c>
      <c r="C455" s="8">
        <v>271</v>
      </c>
      <c r="D455" s="7">
        <f t="shared" si="49"/>
        <v>10513445</v>
      </c>
      <c r="E455" s="7">
        <f t="shared" si="50"/>
        <v>1505052025</v>
      </c>
      <c r="F455" s="7">
        <f t="shared" si="51"/>
        <v>73441</v>
      </c>
      <c r="G455" s="7">
        <f t="shared" si="52"/>
        <v>1077.6895999999999</v>
      </c>
      <c r="H455" s="7">
        <f t="shared" si="53"/>
        <v>806.68960000000004</v>
      </c>
      <c r="I455" s="7">
        <f t="shared" si="54"/>
        <v>650748.11074816005</v>
      </c>
      <c r="J455" s="77"/>
      <c r="K455" s="14"/>
      <c r="L455" s="14"/>
      <c r="M455" s="14"/>
      <c r="N455" s="14"/>
      <c r="O455" s="14"/>
      <c r="P455" s="77"/>
      <c r="Q455" s="77"/>
      <c r="R455" s="77"/>
      <c r="S455" s="77"/>
      <c r="T455" s="77"/>
      <c r="U455" s="77"/>
      <c r="V455" s="77"/>
      <c r="W455" s="77"/>
      <c r="X455" s="77"/>
    </row>
    <row r="456" spans="2:24">
      <c r="B456" s="15">
        <v>41484</v>
      </c>
      <c r="C456" s="8">
        <v>408</v>
      </c>
      <c r="D456" s="7">
        <f t="shared" si="49"/>
        <v>16925472</v>
      </c>
      <c r="E456" s="7">
        <f t="shared" si="50"/>
        <v>1720922256</v>
      </c>
      <c r="F456" s="7">
        <f t="shared" si="51"/>
        <v>166464</v>
      </c>
      <c r="G456" s="7">
        <f t="shared" si="52"/>
        <v>1090.8657000000001</v>
      </c>
      <c r="H456" s="7">
        <f t="shared" si="53"/>
        <v>682.86569999999995</v>
      </c>
      <c r="I456" s="7">
        <f t="shared" si="54"/>
        <v>466305.56423648994</v>
      </c>
      <c r="J456" s="77"/>
      <c r="K456" s="14"/>
      <c r="L456" s="14"/>
      <c r="M456" s="14"/>
      <c r="N456" s="14"/>
      <c r="O456" s="14"/>
      <c r="P456" s="77"/>
      <c r="Q456" s="77"/>
      <c r="R456" s="77"/>
      <c r="S456" s="77"/>
      <c r="T456" s="77"/>
      <c r="U456" s="77"/>
      <c r="V456" s="77"/>
      <c r="W456" s="77"/>
      <c r="X456" s="77"/>
    </row>
    <row r="457" spans="2:24">
      <c r="B457" s="15">
        <v>41634</v>
      </c>
      <c r="C457" s="8">
        <v>684</v>
      </c>
      <c r="D457" s="7">
        <f t="shared" si="49"/>
        <v>28477656</v>
      </c>
      <c r="E457" s="7">
        <f t="shared" si="50"/>
        <v>1733389956</v>
      </c>
      <c r="F457" s="7">
        <f t="shared" si="51"/>
        <v>467856</v>
      </c>
      <c r="G457" s="7">
        <f t="shared" si="52"/>
        <v>1091.6007</v>
      </c>
      <c r="H457" s="7">
        <f t="shared" si="53"/>
        <v>407.60070000000002</v>
      </c>
      <c r="I457" s="7">
        <f t="shared" si="54"/>
        <v>166138.33064049002</v>
      </c>
      <c r="J457" s="77"/>
      <c r="K457" s="14"/>
      <c r="L457" s="14"/>
      <c r="M457" s="14"/>
      <c r="N457" s="14"/>
      <c r="O457" s="14"/>
      <c r="P457" s="77"/>
      <c r="Q457" s="77"/>
      <c r="R457" s="77"/>
      <c r="S457" s="77"/>
      <c r="T457" s="77"/>
      <c r="U457" s="77"/>
      <c r="V457" s="77"/>
      <c r="W457" s="77"/>
      <c r="X457" s="77"/>
    </row>
    <row r="458" spans="2:24">
      <c r="B458" s="15">
        <v>42082</v>
      </c>
      <c r="C458" s="8">
        <v>501</v>
      </c>
      <c r="D458" s="7">
        <f t="shared" si="49"/>
        <v>21083082</v>
      </c>
      <c r="E458" s="7">
        <f t="shared" si="50"/>
        <v>1770894724</v>
      </c>
      <c r="F458" s="7">
        <f t="shared" si="51"/>
        <v>251001</v>
      </c>
      <c r="G458" s="7">
        <f t="shared" si="52"/>
        <v>1093.7959000000001</v>
      </c>
      <c r="H458" s="7">
        <f t="shared" si="53"/>
        <v>592.79589999999996</v>
      </c>
      <c r="I458" s="7">
        <f t="shared" si="54"/>
        <v>351406.97905680997</v>
      </c>
      <c r="J458" s="77"/>
      <c r="K458" s="29" t="s">
        <v>133</v>
      </c>
      <c r="L458" s="14">
        <f>P447</f>
        <v>0.39238439778036555</v>
      </c>
      <c r="M458" s="14"/>
      <c r="N458" s="14"/>
      <c r="O458" s="14"/>
      <c r="P458" s="77"/>
      <c r="Q458" s="77"/>
      <c r="R458" s="77"/>
      <c r="S458" s="77"/>
      <c r="T458" s="77"/>
      <c r="U458" s="77"/>
      <c r="V458" s="77"/>
      <c r="W458" s="77"/>
      <c r="X458" s="77"/>
    </row>
    <row r="459" spans="2:24">
      <c r="B459" s="15">
        <v>47052</v>
      </c>
      <c r="C459" s="8">
        <v>553</v>
      </c>
      <c r="D459" s="7">
        <f t="shared" si="49"/>
        <v>26019756</v>
      </c>
      <c r="E459" s="7">
        <f t="shared" si="50"/>
        <v>2213890704</v>
      </c>
      <c r="F459" s="7">
        <f t="shared" si="51"/>
        <v>305809</v>
      </c>
      <c r="G459" s="7">
        <f t="shared" si="52"/>
        <v>1118.1488999999999</v>
      </c>
      <c r="H459" s="7">
        <f t="shared" si="53"/>
        <v>565.14890000000003</v>
      </c>
      <c r="I459" s="7">
        <f t="shared" si="54"/>
        <v>319393.27917121002</v>
      </c>
      <c r="J459" s="77"/>
      <c r="K459" s="14"/>
      <c r="L459" s="14"/>
      <c r="M459" s="14"/>
      <c r="N459" s="14"/>
      <c r="O459" s="14"/>
      <c r="P459" s="77"/>
      <c r="Q459" s="77"/>
      <c r="R459" s="77"/>
      <c r="S459" s="77"/>
      <c r="T459" s="77"/>
      <c r="U459" s="77"/>
      <c r="V459" s="77"/>
      <c r="W459" s="77"/>
      <c r="X459" s="77"/>
    </row>
    <row r="460" spans="2:24">
      <c r="B460" s="15">
        <v>31461</v>
      </c>
      <c r="C460" s="8">
        <v>649</v>
      </c>
      <c r="D460" s="7">
        <f t="shared" si="49"/>
        <v>20418189</v>
      </c>
      <c r="E460" s="7">
        <f t="shared" si="50"/>
        <v>989794521</v>
      </c>
      <c r="F460" s="7">
        <f t="shared" si="51"/>
        <v>421201</v>
      </c>
      <c r="G460" s="7">
        <f t="shared" si="52"/>
        <v>1041.7529999999999</v>
      </c>
      <c r="H460" s="7">
        <f t="shared" si="53"/>
        <v>392.75299999999999</v>
      </c>
      <c r="I460" s="7">
        <f t="shared" si="54"/>
        <v>154254.91900899998</v>
      </c>
      <c r="J460" s="77"/>
      <c r="K460" s="14"/>
      <c r="L460" s="14"/>
      <c r="M460" s="14"/>
      <c r="N460" s="14"/>
      <c r="O460" s="14"/>
      <c r="P460" s="77"/>
      <c r="Q460" s="77"/>
      <c r="R460" s="77"/>
      <c r="S460" s="77"/>
      <c r="T460" s="77"/>
      <c r="U460" s="77"/>
      <c r="V460" s="77"/>
      <c r="W460" s="77"/>
      <c r="X460" s="77"/>
    </row>
    <row r="461" spans="2:24">
      <c r="B461" s="15">
        <v>14429</v>
      </c>
      <c r="C461" s="8">
        <v>441</v>
      </c>
      <c r="D461" s="7">
        <f t="shared" si="49"/>
        <v>6363189</v>
      </c>
      <c r="E461" s="7">
        <f t="shared" si="50"/>
        <v>208196041</v>
      </c>
      <c r="F461" s="7">
        <f t="shared" si="51"/>
        <v>194481</v>
      </c>
      <c r="G461" s="7">
        <f t="shared" si="52"/>
        <v>958.2962</v>
      </c>
      <c r="H461" s="7">
        <f t="shared" si="53"/>
        <v>517.2962</v>
      </c>
      <c r="I461" s="7">
        <f t="shared" si="54"/>
        <v>267595.35853443999</v>
      </c>
      <c r="J461" s="77"/>
      <c r="K461" s="14" t="str">
        <f>"f(0,05);("&amp;M447&amp;","&amp;M448&amp;")="</f>
        <v>f(0,05);(1,118)=</v>
      </c>
      <c r="L461" s="14">
        <f>ROUND(_xlfn.F.INV.RT(L454,M447,M448),4)</f>
        <v>3.9215</v>
      </c>
      <c r="M461" s="14"/>
      <c r="N461" s="14"/>
      <c r="O461" s="14"/>
      <c r="P461" s="77"/>
      <c r="Q461" s="77"/>
      <c r="R461" s="77"/>
      <c r="S461" s="77"/>
      <c r="T461" s="77"/>
      <c r="U461" s="77"/>
      <c r="V461" s="77"/>
      <c r="W461" s="77"/>
      <c r="X461" s="77"/>
    </row>
    <row r="462" spans="2:24">
      <c r="B462" s="15">
        <v>78716</v>
      </c>
      <c r="C462" s="8">
        <v>220</v>
      </c>
      <c r="D462" s="7">
        <f t="shared" si="49"/>
        <v>17317520</v>
      </c>
      <c r="E462" s="7">
        <f t="shared" si="50"/>
        <v>6196208656</v>
      </c>
      <c r="F462" s="7">
        <f t="shared" si="51"/>
        <v>48400</v>
      </c>
      <c r="G462" s="7">
        <f t="shared" si="52"/>
        <v>1273.3025</v>
      </c>
      <c r="H462" s="7">
        <f t="shared" si="53"/>
        <v>1053.3025</v>
      </c>
      <c r="I462" s="7">
        <f t="shared" si="54"/>
        <v>1109446.1565062499</v>
      </c>
      <c r="J462" s="77"/>
      <c r="K462" s="14"/>
      <c r="L462" s="14"/>
      <c r="M462" s="14"/>
      <c r="N462" s="14"/>
      <c r="O462" s="14"/>
      <c r="P462" s="77"/>
      <c r="Q462" s="77"/>
      <c r="R462" s="77"/>
      <c r="S462" s="77"/>
      <c r="T462" s="77"/>
      <c r="U462" s="77"/>
      <c r="V462" s="77"/>
      <c r="W462" s="77"/>
      <c r="X462" s="77"/>
    </row>
    <row r="463" spans="2:24">
      <c r="B463" s="15">
        <v>96934</v>
      </c>
      <c r="C463" s="8">
        <v>424</v>
      </c>
      <c r="D463" s="7">
        <f t="shared" si="49"/>
        <v>41100016</v>
      </c>
      <c r="E463" s="7">
        <f t="shared" si="50"/>
        <v>9396200356</v>
      </c>
      <c r="F463" s="7">
        <f t="shared" si="51"/>
        <v>179776</v>
      </c>
      <c r="G463" s="7">
        <f t="shared" si="52"/>
        <v>1362.5707</v>
      </c>
      <c r="H463" s="7">
        <f t="shared" si="53"/>
        <v>938.57069999999999</v>
      </c>
      <c r="I463" s="7">
        <f t="shared" si="54"/>
        <v>880914.95889848995</v>
      </c>
      <c r="J463" s="77"/>
      <c r="K463" s="14" t="str">
        <f>IF(L461&lt;=L458, "R: Como  " &amp;ROUND(L461,4) &amp;" &lt; "&amp;ROUND(L458,4)&amp;" o modelo é significativo","R: Como  " &amp;ROUND(L461,4) &amp;" &gt; "&amp;ROUND(L458,4)&amp;" o modelo não é significativo" )</f>
        <v>R: Como  3,9215 &gt; 0,3924 o modelo não é significativo</v>
      </c>
      <c r="L463" s="14"/>
      <c r="M463" s="14"/>
      <c r="N463" s="14"/>
      <c r="O463" s="14"/>
      <c r="P463" s="77"/>
      <c r="Q463" s="77"/>
      <c r="R463" s="77"/>
      <c r="S463" s="77"/>
      <c r="T463" s="77"/>
      <c r="U463" s="77"/>
      <c r="V463" s="77"/>
      <c r="W463" s="77"/>
      <c r="X463" s="77"/>
    </row>
    <row r="464" spans="2:24">
      <c r="B464" s="15">
        <v>98744</v>
      </c>
      <c r="C464" s="8">
        <v>610</v>
      </c>
      <c r="D464" s="7">
        <f t="shared" si="49"/>
        <v>60233840</v>
      </c>
      <c r="E464" s="7">
        <f t="shared" si="50"/>
        <v>9750377536</v>
      </c>
      <c r="F464" s="7">
        <f t="shared" si="51"/>
        <v>372100</v>
      </c>
      <c r="G464" s="7">
        <f t="shared" si="52"/>
        <v>1371.4396999999999</v>
      </c>
      <c r="H464" s="7">
        <f t="shared" si="53"/>
        <v>761.43970000000002</v>
      </c>
      <c r="I464" s="7">
        <f t="shared" si="54"/>
        <v>579790.41673608997</v>
      </c>
    </row>
    <row r="465" spans="2:9">
      <c r="B465" s="15">
        <v>98063</v>
      </c>
      <c r="C465" s="8">
        <v>636</v>
      </c>
      <c r="D465" s="7">
        <f t="shared" si="49"/>
        <v>62368068</v>
      </c>
      <c r="E465" s="7">
        <f t="shared" si="50"/>
        <v>9616351969</v>
      </c>
      <c r="F465" s="7">
        <f t="shared" si="51"/>
        <v>404496</v>
      </c>
      <c r="G465" s="7">
        <f t="shared" si="52"/>
        <v>1368.1027999999999</v>
      </c>
      <c r="H465" s="7">
        <f t="shared" si="53"/>
        <v>732.1028</v>
      </c>
      <c r="I465" s="7">
        <f t="shared" si="54"/>
        <v>535974.50976784003</v>
      </c>
    </row>
    <row r="466" spans="2:9">
      <c r="B466" s="15">
        <v>88546</v>
      </c>
      <c r="C466" s="8">
        <v>506</v>
      </c>
      <c r="D466" s="7">
        <f t="shared" si="49"/>
        <v>44804276</v>
      </c>
      <c r="E466" s="7">
        <f t="shared" si="50"/>
        <v>7840394116</v>
      </c>
      <c r="F466" s="7">
        <f t="shared" si="51"/>
        <v>256036</v>
      </c>
      <c r="G466" s="7">
        <f t="shared" si="52"/>
        <v>1321.4694999999999</v>
      </c>
      <c r="H466" s="7">
        <f t="shared" si="53"/>
        <v>815.46950000000004</v>
      </c>
      <c r="I466" s="7">
        <f t="shared" si="54"/>
        <v>664990.50543025008</v>
      </c>
    </row>
    <row r="467" spans="2:9">
      <c r="B467" s="15">
        <v>41386</v>
      </c>
      <c r="C467" s="8">
        <v>567</v>
      </c>
      <c r="D467" s="7">
        <f t="shared" si="49"/>
        <v>23465862</v>
      </c>
      <c r="E467" s="7">
        <f t="shared" si="50"/>
        <v>1712800996</v>
      </c>
      <c r="F467" s="7">
        <f t="shared" si="51"/>
        <v>321489</v>
      </c>
      <c r="G467" s="7">
        <f t="shared" si="52"/>
        <v>1090.3855000000001</v>
      </c>
      <c r="H467" s="7">
        <f t="shared" si="53"/>
        <v>523.38549999999998</v>
      </c>
      <c r="I467" s="7">
        <f t="shared" si="54"/>
        <v>273932.38161024998</v>
      </c>
    </row>
    <row r="468" spans="2:9">
      <c r="B468" s="15">
        <v>14485</v>
      </c>
      <c r="C468" s="8">
        <v>478</v>
      </c>
      <c r="D468" s="7">
        <f t="shared" si="49"/>
        <v>6923830</v>
      </c>
      <c r="E468" s="7">
        <f t="shared" si="50"/>
        <v>209815225</v>
      </c>
      <c r="F468" s="7">
        <f t="shared" si="51"/>
        <v>228484</v>
      </c>
      <c r="G468" s="7">
        <f t="shared" si="52"/>
        <v>958.57060000000001</v>
      </c>
      <c r="H468" s="7">
        <f t="shared" si="53"/>
        <v>480.57060000000001</v>
      </c>
      <c r="I468" s="7">
        <f t="shared" si="54"/>
        <v>230948.10158436</v>
      </c>
    </row>
    <row r="469" spans="2:9">
      <c r="B469" s="15">
        <v>53464</v>
      </c>
      <c r="C469" s="8">
        <v>196</v>
      </c>
      <c r="D469" s="7">
        <f t="shared" si="49"/>
        <v>10478944</v>
      </c>
      <c r="E469" s="7">
        <f t="shared" si="50"/>
        <v>2858399296</v>
      </c>
      <c r="F469" s="7">
        <f t="shared" si="51"/>
        <v>38416</v>
      </c>
      <c r="G469" s="7">
        <f t="shared" si="52"/>
        <v>1149.5677000000001</v>
      </c>
      <c r="H469" s="7">
        <f t="shared" si="53"/>
        <v>953.56769999999995</v>
      </c>
      <c r="I469" s="7">
        <f t="shared" si="54"/>
        <v>909291.35848328995</v>
      </c>
    </row>
    <row r="470" spans="2:9">
      <c r="B470" s="15">
        <v>57452</v>
      </c>
      <c r="C470" s="8">
        <v>353</v>
      </c>
      <c r="D470" s="7">
        <f t="shared" si="49"/>
        <v>20280556</v>
      </c>
      <c r="E470" s="7">
        <f t="shared" si="50"/>
        <v>3300732304</v>
      </c>
      <c r="F470" s="7">
        <f t="shared" si="51"/>
        <v>124609</v>
      </c>
      <c r="G470" s="7">
        <f t="shared" si="52"/>
        <v>1169.1088999999999</v>
      </c>
      <c r="H470" s="7">
        <f t="shared" si="53"/>
        <v>816.10889999999995</v>
      </c>
      <c r="I470" s="7">
        <f t="shared" si="54"/>
        <v>666033.73665920994</v>
      </c>
    </row>
    <row r="471" spans="2:9">
      <c r="B471" s="15">
        <v>53345</v>
      </c>
      <c r="C471" s="8">
        <v>572</v>
      </c>
      <c r="D471" s="7">
        <f t="shared" si="49"/>
        <v>30513340</v>
      </c>
      <c r="E471" s="7">
        <f t="shared" si="50"/>
        <v>2845689025</v>
      </c>
      <c r="F471" s="7">
        <f t="shared" si="51"/>
        <v>327184</v>
      </c>
      <c r="G471" s="7">
        <f t="shared" si="52"/>
        <v>1148.9846</v>
      </c>
      <c r="H471" s="7">
        <f t="shared" si="53"/>
        <v>576.9846</v>
      </c>
      <c r="I471" s="7">
        <f t="shared" si="54"/>
        <v>332911.22863715998</v>
      </c>
    </row>
    <row r="472" spans="2:9">
      <c r="B472" s="15">
        <v>54101</v>
      </c>
      <c r="C472" s="8">
        <v>470</v>
      </c>
      <c r="D472" s="7">
        <f t="shared" si="49"/>
        <v>25427470</v>
      </c>
      <c r="E472" s="7">
        <f t="shared" si="50"/>
        <v>2926918201</v>
      </c>
      <c r="F472" s="7">
        <f t="shared" si="51"/>
        <v>220900</v>
      </c>
      <c r="G472" s="7">
        <f t="shared" si="52"/>
        <v>1152.6890000000001</v>
      </c>
      <c r="H472" s="7">
        <f t="shared" si="53"/>
        <v>682.68899999999996</v>
      </c>
      <c r="I472" s="7">
        <f t="shared" si="54"/>
        <v>466064.27072099998</v>
      </c>
    </row>
    <row r="473" spans="2:9">
      <c r="B473" s="15">
        <v>64169</v>
      </c>
      <c r="C473" s="8">
        <v>460</v>
      </c>
      <c r="D473" s="7">
        <f t="shared" si="49"/>
        <v>29517740</v>
      </c>
      <c r="E473" s="7">
        <f t="shared" si="50"/>
        <v>4117660561</v>
      </c>
      <c r="F473" s="7">
        <f t="shared" si="51"/>
        <v>211600</v>
      </c>
      <c r="G473" s="7">
        <f t="shared" si="52"/>
        <v>1202.0222000000001</v>
      </c>
      <c r="H473" s="7">
        <f t="shared" si="53"/>
        <v>742.0222</v>
      </c>
      <c r="I473" s="7">
        <f t="shared" si="54"/>
        <v>550596.94529284001</v>
      </c>
    </row>
    <row r="474" spans="2:9">
      <c r="B474" s="15">
        <v>31454</v>
      </c>
      <c r="C474" s="8">
        <v>454</v>
      </c>
      <c r="D474" s="7">
        <f t="shared" si="49"/>
        <v>14280116</v>
      </c>
      <c r="E474" s="7">
        <f t="shared" si="50"/>
        <v>989354116</v>
      </c>
      <c r="F474" s="7">
        <f t="shared" si="51"/>
        <v>206116</v>
      </c>
      <c r="G474" s="7">
        <f t="shared" si="52"/>
        <v>1041.7186999999999</v>
      </c>
      <c r="H474" s="7">
        <f t="shared" si="53"/>
        <v>587.71870000000001</v>
      </c>
      <c r="I474" s="7">
        <f t="shared" si="54"/>
        <v>345413.27032969001</v>
      </c>
    </row>
    <row r="475" spans="2:9">
      <c r="B475" s="15">
        <v>17140</v>
      </c>
      <c r="C475" s="8">
        <v>330</v>
      </c>
      <c r="D475" s="7">
        <f t="shared" si="49"/>
        <v>5656200</v>
      </c>
      <c r="E475" s="7">
        <f t="shared" si="50"/>
        <v>293779600</v>
      </c>
      <c r="F475" s="7">
        <f t="shared" si="51"/>
        <v>108900</v>
      </c>
      <c r="G475" s="7">
        <f t="shared" si="52"/>
        <v>971.58010000000002</v>
      </c>
      <c r="H475" s="7">
        <f t="shared" si="53"/>
        <v>641.58010000000002</v>
      </c>
      <c r="I475" s="7">
        <f t="shared" si="54"/>
        <v>411625.02471601003</v>
      </c>
    </row>
    <row r="476" spans="2:9">
      <c r="B476" s="15">
        <v>52011</v>
      </c>
      <c r="C476" s="8">
        <v>180</v>
      </c>
      <c r="D476" s="7">
        <f t="shared" si="49"/>
        <v>9361980</v>
      </c>
      <c r="E476" s="7">
        <f t="shared" si="50"/>
        <v>2705144121</v>
      </c>
      <c r="F476" s="7">
        <f t="shared" si="51"/>
        <v>32400</v>
      </c>
      <c r="G476" s="7">
        <f t="shared" si="52"/>
        <v>1142.4480000000001</v>
      </c>
      <c r="H476" s="7">
        <f t="shared" si="53"/>
        <v>962.44799999999998</v>
      </c>
      <c r="I476" s="7">
        <f t="shared" si="54"/>
        <v>926306.15270400001</v>
      </c>
    </row>
    <row r="477" spans="2:9">
      <c r="B477" s="15">
        <v>52560</v>
      </c>
      <c r="C477" s="8">
        <v>258</v>
      </c>
      <c r="D477" s="7">
        <f t="shared" si="49"/>
        <v>13560480</v>
      </c>
      <c r="E477" s="7">
        <f t="shared" si="50"/>
        <v>2762553600</v>
      </c>
      <c r="F477" s="7">
        <f t="shared" si="51"/>
        <v>66564</v>
      </c>
      <c r="G477" s="7">
        <f t="shared" si="52"/>
        <v>1145.1380999999999</v>
      </c>
      <c r="H477" s="7">
        <f t="shared" si="53"/>
        <v>887.13810000000001</v>
      </c>
      <c r="I477" s="7">
        <f t="shared" si="54"/>
        <v>787014.00847161002</v>
      </c>
    </row>
    <row r="478" spans="2:9">
      <c r="B478" s="15">
        <v>49255</v>
      </c>
      <c r="C478" s="8">
        <v>387</v>
      </c>
      <c r="D478" s="7">
        <f t="shared" si="49"/>
        <v>19061685</v>
      </c>
      <c r="E478" s="7">
        <f t="shared" si="50"/>
        <v>2426055025</v>
      </c>
      <c r="F478" s="7">
        <f t="shared" si="51"/>
        <v>149769</v>
      </c>
      <c r="G478" s="7">
        <f t="shared" si="52"/>
        <v>1128.9436000000001</v>
      </c>
      <c r="H478" s="7">
        <f t="shared" si="53"/>
        <v>741.94359999999995</v>
      </c>
      <c r="I478" s="7">
        <f t="shared" si="54"/>
        <v>550480.30558095989</v>
      </c>
    </row>
    <row r="479" spans="2:9">
      <c r="B479" s="15">
        <v>48583</v>
      </c>
      <c r="C479" s="8">
        <v>373</v>
      </c>
      <c r="D479" s="7">
        <f t="shared" si="49"/>
        <v>18121459</v>
      </c>
      <c r="E479" s="7">
        <f t="shared" si="50"/>
        <v>2360307889</v>
      </c>
      <c r="F479" s="7">
        <f t="shared" si="51"/>
        <v>139129</v>
      </c>
      <c r="G479" s="7">
        <f t="shared" si="52"/>
        <v>1125.6507999999999</v>
      </c>
      <c r="H479" s="7">
        <f t="shared" si="53"/>
        <v>752.6508</v>
      </c>
      <c r="I479" s="7">
        <f t="shared" si="54"/>
        <v>566483.22674064001</v>
      </c>
    </row>
    <row r="480" spans="2:9">
      <c r="B480" s="15">
        <v>47849</v>
      </c>
      <c r="C480" s="8">
        <v>377</v>
      </c>
      <c r="D480" s="7">
        <f t="shared" si="49"/>
        <v>18039073</v>
      </c>
      <c r="E480" s="7">
        <f t="shared" si="50"/>
        <v>2289526801</v>
      </c>
      <c r="F480" s="7">
        <f t="shared" si="51"/>
        <v>142129</v>
      </c>
      <c r="G480" s="7">
        <f t="shared" si="52"/>
        <v>1122.0542</v>
      </c>
      <c r="H480" s="7">
        <f t="shared" si="53"/>
        <v>745.05420000000004</v>
      </c>
      <c r="I480" s="7">
        <f t="shared" si="54"/>
        <v>555105.76093764009</v>
      </c>
    </row>
    <row r="481" spans="2:9">
      <c r="B481" s="15">
        <v>31498</v>
      </c>
      <c r="C481" s="8">
        <v>406</v>
      </c>
      <c r="D481" s="7">
        <f t="shared" si="49"/>
        <v>12788188</v>
      </c>
      <c r="E481" s="7">
        <f t="shared" si="50"/>
        <v>992124004</v>
      </c>
      <c r="F481" s="7">
        <f t="shared" si="51"/>
        <v>164836</v>
      </c>
      <c r="G481" s="7">
        <f t="shared" si="52"/>
        <v>1041.9342999999999</v>
      </c>
      <c r="H481" s="7">
        <f t="shared" si="53"/>
        <v>635.93430000000001</v>
      </c>
      <c r="I481" s="7">
        <f t="shared" si="54"/>
        <v>404412.43391649</v>
      </c>
    </row>
    <row r="482" spans="2:9">
      <c r="B482" s="15">
        <v>15940</v>
      </c>
      <c r="C482" s="8">
        <v>324</v>
      </c>
      <c r="D482" s="7">
        <f t="shared" si="49"/>
        <v>5164560</v>
      </c>
      <c r="E482" s="7">
        <f t="shared" si="50"/>
        <v>254083600</v>
      </c>
      <c r="F482" s="7">
        <f t="shared" si="51"/>
        <v>104976</v>
      </c>
      <c r="G482" s="7">
        <f t="shared" si="52"/>
        <v>965.70010000000002</v>
      </c>
      <c r="H482" s="7">
        <f t="shared" si="53"/>
        <v>641.70010000000002</v>
      </c>
      <c r="I482" s="7">
        <f t="shared" si="54"/>
        <v>411779.01834001002</v>
      </c>
    </row>
    <row r="483" spans="2:9">
      <c r="B483" s="15">
        <v>39435</v>
      </c>
      <c r="C483" s="8">
        <v>158</v>
      </c>
      <c r="D483" s="7">
        <f t="shared" si="49"/>
        <v>6230730</v>
      </c>
      <c r="E483" s="7">
        <f t="shared" si="50"/>
        <v>1555119225</v>
      </c>
      <c r="F483" s="7">
        <f t="shared" si="51"/>
        <v>24964</v>
      </c>
      <c r="G483" s="7">
        <f t="shared" si="52"/>
        <v>1080.8255999999999</v>
      </c>
      <c r="H483" s="7">
        <f t="shared" si="53"/>
        <v>922.82560000000001</v>
      </c>
      <c r="I483" s="7">
        <f t="shared" si="54"/>
        <v>851607.08801536006</v>
      </c>
    </row>
    <row r="484" spans="2:9">
      <c r="B484" s="15">
        <v>41873</v>
      </c>
      <c r="C484" s="8">
        <v>268</v>
      </c>
      <c r="D484" s="7">
        <f t="shared" si="49"/>
        <v>11221964</v>
      </c>
      <c r="E484" s="7">
        <f t="shared" si="50"/>
        <v>1753348129</v>
      </c>
      <c r="F484" s="7">
        <f t="shared" si="51"/>
        <v>71824</v>
      </c>
      <c r="G484" s="7">
        <f t="shared" si="52"/>
        <v>1092.7718</v>
      </c>
      <c r="H484" s="7">
        <f t="shared" si="53"/>
        <v>824.77179999999998</v>
      </c>
      <c r="I484" s="7">
        <f t="shared" si="54"/>
        <v>680248.52207523992</v>
      </c>
    </row>
    <row r="485" spans="2:9">
      <c r="B485" s="15">
        <v>43813</v>
      </c>
      <c r="C485" s="8">
        <v>485</v>
      </c>
      <c r="D485" s="7">
        <f t="shared" si="49"/>
        <v>21249305</v>
      </c>
      <c r="E485" s="7">
        <f t="shared" si="50"/>
        <v>1919578969</v>
      </c>
      <c r="F485" s="7">
        <f t="shared" si="51"/>
        <v>235225</v>
      </c>
      <c r="G485" s="7">
        <f t="shared" si="52"/>
        <v>1102.2778000000001</v>
      </c>
      <c r="H485" s="7">
        <f t="shared" si="53"/>
        <v>617.27779999999996</v>
      </c>
      <c r="I485" s="7">
        <f t="shared" si="54"/>
        <v>381031.88237283996</v>
      </c>
    </row>
    <row r="486" spans="2:9">
      <c r="B486" s="15">
        <v>40249</v>
      </c>
      <c r="C486" s="8">
        <v>436</v>
      </c>
      <c r="D486" s="7">
        <f t="shared" si="49"/>
        <v>17548564</v>
      </c>
      <c r="E486" s="7">
        <f t="shared" si="50"/>
        <v>1619982001</v>
      </c>
      <c r="F486" s="7">
        <f t="shared" si="51"/>
        <v>190096</v>
      </c>
      <c r="G486" s="7">
        <f t="shared" si="52"/>
        <v>1084.8142</v>
      </c>
      <c r="H486" s="7">
        <f t="shared" si="53"/>
        <v>648.81420000000003</v>
      </c>
      <c r="I486" s="7">
        <f t="shared" si="54"/>
        <v>420959.86612164002</v>
      </c>
    </row>
    <row r="487" spans="2:9">
      <c r="B487" s="15">
        <v>46370</v>
      </c>
      <c r="C487" s="8">
        <v>450</v>
      </c>
      <c r="D487" s="7">
        <f t="shared" si="49"/>
        <v>20866500</v>
      </c>
      <c r="E487" s="7">
        <f t="shared" si="50"/>
        <v>2150176900</v>
      </c>
      <c r="F487" s="7">
        <f t="shared" si="51"/>
        <v>202500</v>
      </c>
      <c r="G487" s="7">
        <f t="shared" si="52"/>
        <v>1114.8071</v>
      </c>
      <c r="H487" s="7">
        <f t="shared" si="53"/>
        <v>664.80709999999999</v>
      </c>
      <c r="I487" s="7">
        <f t="shared" si="54"/>
        <v>441968.48021040997</v>
      </c>
    </row>
    <row r="488" spans="2:9">
      <c r="B488" s="15">
        <v>30962</v>
      </c>
      <c r="C488" s="8">
        <v>469</v>
      </c>
      <c r="D488" s="7">
        <f t="shared" si="49"/>
        <v>14521178</v>
      </c>
      <c r="E488" s="7">
        <f t="shared" si="50"/>
        <v>958645444</v>
      </c>
      <c r="F488" s="7">
        <f t="shared" si="51"/>
        <v>219961</v>
      </c>
      <c r="G488" s="7">
        <f t="shared" si="52"/>
        <v>1039.3079</v>
      </c>
      <c r="H488" s="7">
        <f t="shared" si="53"/>
        <v>570.30790000000002</v>
      </c>
      <c r="I488" s="7">
        <f t="shared" si="54"/>
        <v>325251.10080241004</v>
      </c>
    </row>
    <row r="489" spans="2:9">
      <c r="B489" s="15">
        <v>15707</v>
      </c>
      <c r="C489" s="8">
        <v>334</v>
      </c>
      <c r="D489" s="7">
        <f t="shared" si="49"/>
        <v>5246138</v>
      </c>
      <c r="E489" s="7">
        <f t="shared" si="50"/>
        <v>246709849</v>
      </c>
      <c r="F489" s="7">
        <f t="shared" si="51"/>
        <v>111556</v>
      </c>
      <c r="G489" s="7">
        <f t="shared" si="52"/>
        <v>964.55840000000001</v>
      </c>
      <c r="H489" s="7">
        <f t="shared" si="53"/>
        <v>630.55840000000001</v>
      </c>
      <c r="I489" s="7">
        <f t="shared" si="54"/>
        <v>397603.89581056003</v>
      </c>
    </row>
    <row r="490" spans="2:9">
      <c r="B490" s="15">
        <v>43293</v>
      </c>
      <c r="C490" s="8">
        <v>199</v>
      </c>
      <c r="D490" s="7">
        <f t="shared" si="49"/>
        <v>8615307</v>
      </c>
      <c r="E490" s="7">
        <f t="shared" si="50"/>
        <v>1874283849</v>
      </c>
      <c r="F490" s="7">
        <f t="shared" si="51"/>
        <v>39601</v>
      </c>
      <c r="G490" s="7">
        <f t="shared" si="52"/>
        <v>1099.7298000000001</v>
      </c>
      <c r="H490" s="7">
        <f t="shared" si="53"/>
        <v>900.72979999999995</v>
      </c>
      <c r="I490" s="7">
        <f t="shared" si="54"/>
        <v>811314.17260803992</v>
      </c>
    </row>
    <row r="491" spans="2:9">
      <c r="B491" s="15">
        <v>41470</v>
      </c>
      <c r="C491" s="8">
        <v>386</v>
      </c>
      <c r="D491" s="7">
        <f t="shared" si="49"/>
        <v>16007420</v>
      </c>
      <c r="E491" s="7">
        <f t="shared" si="50"/>
        <v>1719760900</v>
      </c>
      <c r="F491" s="7">
        <f t="shared" si="51"/>
        <v>148996</v>
      </c>
      <c r="G491" s="7">
        <f t="shared" si="52"/>
        <v>1090.7971</v>
      </c>
      <c r="H491" s="7">
        <f t="shared" si="53"/>
        <v>704.7971</v>
      </c>
      <c r="I491" s="7">
        <f t="shared" si="54"/>
        <v>496738.95216841</v>
      </c>
    </row>
    <row r="492" spans="2:9">
      <c r="B492" s="15">
        <v>44399</v>
      </c>
      <c r="C492" s="8">
        <v>511</v>
      </c>
      <c r="D492" s="7">
        <f t="shared" si="49"/>
        <v>22687889</v>
      </c>
      <c r="E492" s="7">
        <f t="shared" si="50"/>
        <v>1971271201</v>
      </c>
      <c r="F492" s="7">
        <f t="shared" si="51"/>
        <v>261121</v>
      </c>
      <c r="G492" s="7">
        <f t="shared" si="52"/>
        <v>1105.1492000000001</v>
      </c>
      <c r="H492" s="7">
        <f t="shared" si="53"/>
        <v>594.14919999999995</v>
      </c>
      <c r="I492" s="7">
        <f t="shared" si="54"/>
        <v>353013.27186063991</v>
      </c>
    </row>
    <row r="493" spans="2:9">
      <c r="B493" s="15">
        <v>44577</v>
      </c>
      <c r="C493" s="8">
        <v>451</v>
      </c>
      <c r="D493" s="7">
        <f t="shared" si="49"/>
        <v>20104227</v>
      </c>
      <c r="E493" s="7">
        <f t="shared" si="50"/>
        <v>1987108929</v>
      </c>
      <c r="F493" s="7">
        <f t="shared" si="51"/>
        <v>203401</v>
      </c>
      <c r="G493" s="7">
        <f t="shared" si="52"/>
        <v>1106.0214000000001</v>
      </c>
      <c r="H493" s="7">
        <f t="shared" si="53"/>
        <v>655.02139999999997</v>
      </c>
      <c r="I493" s="7">
        <f t="shared" si="54"/>
        <v>429053.03445795999</v>
      </c>
    </row>
    <row r="494" spans="2:9">
      <c r="B494" s="15">
        <v>45378</v>
      </c>
      <c r="C494" s="8">
        <v>559</v>
      </c>
      <c r="D494" s="7">
        <f t="shared" si="49"/>
        <v>25366302</v>
      </c>
      <c r="E494" s="7">
        <f t="shared" si="50"/>
        <v>2059162884</v>
      </c>
      <c r="F494" s="7">
        <f t="shared" si="51"/>
        <v>312481</v>
      </c>
      <c r="G494" s="7">
        <f t="shared" si="52"/>
        <v>1109.9463000000001</v>
      </c>
      <c r="H494" s="7">
        <f t="shared" si="53"/>
        <v>550.94629999999995</v>
      </c>
      <c r="I494" s="7">
        <f t="shared" si="54"/>
        <v>303541.82548368996</v>
      </c>
    </row>
    <row r="495" spans="2:9">
      <c r="B495" s="15">
        <v>33560</v>
      </c>
      <c r="C495" s="8">
        <v>523</v>
      </c>
      <c r="D495" s="7">
        <f t="shared" si="49"/>
        <v>17551880</v>
      </c>
      <c r="E495" s="7">
        <f t="shared" si="50"/>
        <v>1126273600</v>
      </c>
      <c r="F495" s="7">
        <f t="shared" si="51"/>
        <v>273529</v>
      </c>
      <c r="G495" s="7">
        <f t="shared" si="52"/>
        <v>1052.0381</v>
      </c>
      <c r="H495" s="7">
        <f t="shared" si="53"/>
        <v>529.03809999999999</v>
      </c>
      <c r="I495" s="7">
        <f t="shared" si="54"/>
        <v>279881.31125160999</v>
      </c>
    </row>
    <row r="496" spans="2:9">
      <c r="B496" s="15">
        <v>16152</v>
      </c>
      <c r="C496" s="8">
        <v>413</v>
      </c>
      <c r="D496" s="7">
        <f t="shared" si="49"/>
        <v>6670776</v>
      </c>
      <c r="E496" s="7">
        <f t="shared" si="50"/>
        <v>260887104</v>
      </c>
      <c r="F496" s="7">
        <f t="shared" si="51"/>
        <v>170569</v>
      </c>
      <c r="G496" s="7">
        <f t="shared" si="52"/>
        <v>966.73889999999994</v>
      </c>
      <c r="H496" s="7">
        <f t="shared" si="53"/>
        <v>553.73889999999994</v>
      </c>
      <c r="I496" s="7">
        <f t="shared" si="54"/>
        <v>306626.76937320991</v>
      </c>
    </row>
    <row r="497" spans="1:20">
      <c r="B497" s="15">
        <v>42680</v>
      </c>
      <c r="C497" s="8">
        <v>241</v>
      </c>
      <c r="D497" s="7">
        <f t="shared" si="49"/>
        <v>10285880</v>
      </c>
      <c r="E497" s="7">
        <f t="shared" si="50"/>
        <v>1821582400</v>
      </c>
      <c r="F497" s="7">
        <f t="shared" si="51"/>
        <v>58081</v>
      </c>
      <c r="G497" s="7">
        <f t="shared" si="52"/>
        <v>1096.7261000000001</v>
      </c>
      <c r="H497" s="7">
        <f t="shared" si="53"/>
        <v>855.72609999999997</v>
      </c>
      <c r="I497" s="7">
        <f t="shared" si="54"/>
        <v>732267.15822121</v>
      </c>
    </row>
    <row r="498" spans="1:20">
      <c r="B498" s="15">
        <v>43590</v>
      </c>
      <c r="C498" s="8">
        <v>375</v>
      </c>
      <c r="D498" s="7">
        <f t="shared" si="49"/>
        <v>16346250</v>
      </c>
      <c r="E498" s="7">
        <f t="shared" si="50"/>
        <v>1900088100</v>
      </c>
      <c r="F498" s="7">
        <f t="shared" si="51"/>
        <v>140625</v>
      </c>
      <c r="G498" s="7">
        <f t="shared" si="52"/>
        <v>1101.1850999999999</v>
      </c>
      <c r="H498" s="7">
        <f t="shared" si="53"/>
        <v>726.18510000000003</v>
      </c>
      <c r="I498" s="7">
        <f t="shared" si="54"/>
        <v>527344.79946201004</v>
      </c>
    </row>
    <row r="499" spans="1:20">
      <c r="B499" s="15">
        <v>50409</v>
      </c>
      <c r="C499" s="8">
        <v>594</v>
      </c>
      <c r="D499" s="7">
        <f t="shared" si="49"/>
        <v>29942946</v>
      </c>
      <c r="E499" s="7">
        <f t="shared" si="50"/>
        <v>2541067281</v>
      </c>
      <c r="F499" s="7">
        <f t="shared" si="51"/>
        <v>352836</v>
      </c>
      <c r="G499" s="7">
        <f t="shared" si="52"/>
        <v>1134.5981999999999</v>
      </c>
      <c r="H499" s="7">
        <f t="shared" si="53"/>
        <v>540.59820000000002</v>
      </c>
      <c r="I499" s="7">
        <f t="shared" si="54"/>
        <v>292246.41384324001</v>
      </c>
    </row>
    <row r="500" spans="1:20">
      <c r="B500" s="15">
        <v>53947</v>
      </c>
      <c r="C500" s="8">
        <v>572</v>
      </c>
      <c r="D500" s="7">
        <f t="shared" si="49"/>
        <v>30857684</v>
      </c>
      <c r="E500" s="7">
        <f t="shared" si="50"/>
        <v>2910278809</v>
      </c>
      <c r="F500" s="7">
        <f t="shared" si="51"/>
        <v>327184</v>
      </c>
      <c r="G500" s="7">
        <f t="shared" si="52"/>
        <v>1151.9344000000001</v>
      </c>
      <c r="H500" s="7">
        <f t="shared" si="53"/>
        <v>579.93439999999998</v>
      </c>
      <c r="I500" s="7">
        <f t="shared" si="54"/>
        <v>336323.90830335999</v>
      </c>
    </row>
    <row r="501" spans="1:20">
      <c r="B501" s="15">
        <v>59275</v>
      </c>
      <c r="C501" s="8">
        <v>598</v>
      </c>
      <c r="D501" s="7">
        <f t="shared" si="49"/>
        <v>35446450</v>
      </c>
      <c r="E501" s="7">
        <f t="shared" si="50"/>
        <v>3513525625</v>
      </c>
      <c r="F501" s="7">
        <f t="shared" si="51"/>
        <v>357604</v>
      </c>
      <c r="G501" s="7">
        <f t="shared" si="52"/>
        <v>1178.0416</v>
      </c>
      <c r="H501" s="7">
        <f t="shared" si="53"/>
        <v>580.04160000000002</v>
      </c>
      <c r="I501" s="7">
        <f t="shared" si="54"/>
        <v>336448.25773056003</v>
      </c>
    </row>
    <row r="502" spans="1:20">
      <c r="B502" s="15">
        <v>43319</v>
      </c>
      <c r="C502" s="8">
        <v>609</v>
      </c>
      <c r="D502" s="7">
        <f t="shared" si="49"/>
        <v>26381271</v>
      </c>
      <c r="E502" s="7">
        <f t="shared" si="50"/>
        <v>1876535761</v>
      </c>
      <c r="F502" s="7">
        <f t="shared" si="51"/>
        <v>370881</v>
      </c>
      <c r="G502" s="7">
        <f t="shared" si="52"/>
        <v>1099.8571999999999</v>
      </c>
      <c r="H502" s="7">
        <f t="shared" si="53"/>
        <v>490.85719999999998</v>
      </c>
      <c r="I502" s="7">
        <f t="shared" si="54"/>
        <v>240940.79079183997</v>
      </c>
    </row>
    <row r="503" spans="1:20">
      <c r="B503" s="15">
        <v>20369</v>
      </c>
      <c r="C503" s="8">
        <v>445</v>
      </c>
      <c r="D503" s="7">
        <f t="shared" si="49"/>
        <v>9064205</v>
      </c>
      <c r="E503" s="7">
        <f t="shared" si="50"/>
        <v>414896161</v>
      </c>
      <c r="F503" s="7">
        <f t="shared" si="51"/>
        <v>198025</v>
      </c>
      <c r="G503" s="7">
        <f t="shared" si="52"/>
        <v>987.40219999999999</v>
      </c>
      <c r="H503" s="7">
        <f t="shared" si="53"/>
        <v>542.40219999999999</v>
      </c>
      <c r="I503" s="7">
        <f t="shared" si="54"/>
        <v>294200.14656483999</v>
      </c>
    </row>
    <row r="504" spans="1:20">
      <c r="B504" s="15">
        <v>49817</v>
      </c>
      <c r="C504" s="9">
        <v>435</v>
      </c>
      <c r="D504" s="4">
        <f t="shared" si="49"/>
        <v>21670395</v>
      </c>
      <c r="E504" s="7">
        <f t="shared" si="50"/>
        <v>2481733489</v>
      </c>
      <c r="F504" s="7">
        <f t="shared" si="51"/>
        <v>189225</v>
      </c>
      <c r="G504" s="7">
        <f t="shared" si="52"/>
        <v>1131.6974</v>
      </c>
      <c r="H504" s="7">
        <f t="shared" si="53"/>
        <v>696.69740000000002</v>
      </c>
      <c r="I504" s="7">
        <f t="shared" si="54"/>
        <v>485387.26716675999</v>
      </c>
    </row>
    <row r="505" spans="1:20">
      <c r="A505" s="4" t="s">
        <v>18</v>
      </c>
      <c r="B505" s="4">
        <f t="shared" ref="B505" si="55">SUM(B385:B504)</f>
        <v>4503206</v>
      </c>
      <c r="C505" s="4">
        <f t="shared" ref="C505:I505" si="56">SUM(C385:C504)</f>
        <v>128577</v>
      </c>
      <c r="D505" s="4">
        <f t="shared" si="56"/>
        <v>5016683024</v>
      </c>
      <c r="E505" s="4">
        <f t="shared" si="56"/>
        <v>207752370780</v>
      </c>
      <c r="F505" s="4">
        <f t="shared" si="56"/>
        <v>423547897</v>
      </c>
      <c r="G505" s="4">
        <f t="shared" si="56"/>
        <v>128577.00139999996</v>
      </c>
      <c r="H505" s="4">
        <f t="shared" ref="H505" si="57">SUM(H385:H504)</f>
        <v>1.3999999996485712E-3</v>
      </c>
      <c r="I505" s="4">
        <f t="shared" si="56"/>
        <v>284833745.90991408</v>
      </c>
    </row>
    <row r="506" spans="1:20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</row>
    <row r="507" spans="1:20">
      <c r="B507" s="15"/>
      <c r="H507" s="15"/>
    </row>
    <row r="508" spans="1:20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</row>
    <row r="509" spans="1:20">
      <c r="B509" s="3"/>
      <c r="C509" s="3"/>
      <c r="D509" s="3"/>
      <c r="E509" s="3"/>
      <c r="F509" s="3"/>
      <c r="G509" s="3"/>
      <c r="H509" s="15"/>
    </row>
    <row r="510" spans="1:20">
      <c r="B510" s="2" t="s">
        <v>9</v>
      </c>
      <c r="C510" s="2" t="s">
        <v>10</v>
      </c>
      <c r="D510" s="2" t="s">
        <v>11</v>
      </c>
      <c r="E510" s="2" t="s">
        <v>12</v>
      </c>
      <c r="F510" s="2" t="s">
        <v>13</v>
      </c>
      <c r="G510" s="2"/>
      <c r="H510" s="4"/>
      <c r="I510" s="4"/>
    </row>
    <row r="511" spans="1:20">
      <c r="B511" s="4" t="s">
        <v>7</v>
      </c>
      <c r="C511" s="4" t="s">
        <v>1</v>
      </c>
      <c r="D511" s="4"/>
      <c r="E511" s="2"/>
      <c r="F511" s="4"/>
      <c r="G511" s="4"/>
      <c r="H511" s="4"/>
      <c r="I511" s="4"/>
      <c r="K511" s="80" t="s">
        <v>15</v>
      </c>
      <c r="L511" s="80"/>
      <c r="M511" t="s">
        <v>16</v>
      </c>
    </row>
    <row r="512" spans="1:20">
      <c r="B512" s="15">
        <v>0.2036</v>
      </c>
      <c r="C512" s="7">
        <v>5805</v>
      </c>
      <c r="D512" s="7">
        <f>B512*C512</f>
        <v>1181.8979999999999</v>
      </c>
      <c r="E512" s="7">
        <f>B512^2</f>
        <v>4.1452960000000004E-2</v>
      </c>
      <c r="F512" s="7">
        <f>C512^2</f>
        <v>33698025</v>
      </c>
      <c r="G512" s="7">
        <f>ROUND($M$559+$M$556*B512,4)</f>
        <v>6273.2353000000003</v>
      </c>
      <c r="H512" s="7">
        <f>ROUND(G512-C512,4)</f>
        <v>468.2353</v>
      </c>
      <c r="I512" s="7">
        <f>H512^2</f>
        <v>219244.29616609</v>
      </c>
      <c r="K512" s="80" t="s">
        <v>14</v>
      </c>
      <c r="L512" s="80"/>
      <c r="M512" s="80" t="s">
        <v>27</v>
      </c>
      <c r="N512" s="80"/>
    </row>
    <row r="513" spans="2:12">
      <c r="B513" s="15">
        <v>0.19889999999999999</v>
      </c>
      <c r="C513" s="8">
        <v>5540</v>
      </c>
      <c r="D513" s="7">
        <f t="shared" ref="D513:D576" si="58">B513*C513</f>
        <v>1101.9059999999999</v>
      </c>
      <c r="E513" s="7">
        <f t="shared" ref="E513:E576" si="59">B513^2</f>
        <v>3.9561209999999999E-2</v>
      </c>
      <c r="F513" s="7">
        <f t="shared" ref="F513:F576" si="60">C513^2</f>
        <v>30691600</v>
      </c>
      <c r="G513" s="7">
        <f t="shared" ref="G513:G576" si="61">ROUND($M$559+$M$556*B513,4)</f>
        <v>6127.5365000000002</v>
      </c>
      <c r="H513" s="7">
        <f t="shared" ref="H513:H576" si="62">ROUND(G513-C513,4)</f>
        <v>587.53650000000005</v>
      </c>
      <c r="I513" s="7">
        <f t="shared" ref="I513:I576" si="63">H513^2</f>
        <v>345199.13883225003</v>
      </c>
    </row>
    <row r="514" spans="2:12">
      <c r="B514" s="15">
        <v>0.19259999999999999</v>
      </c>
      <c r="C514" s="8">
        <v>9083</v>
      </c>
      <c r="D514" s="7">
        <f t="shared" si="58"/>
        <v>1749.3858</v>
      </c>
      <c r="E514" s="7">
        <f t="shared" si="59"/>
        <v>3.7094759999999997E-2</v>
      </c>
      <c r="F514" s="7">
        <f t="shared" si="60"/>
        <v>82500889</v>
      </c>
      <c r="G514" s="7">
        <f t="shared" si="61"/>
        <v>5932.2380000000003</v>
      </c>
      <c r="H514" s="7">
        <f t="shared" si="62"/>
        <v>-3150.7620000000002</v>
      </c>
      <c r="I514" s="7">
        <f t="shared" si="63"/>
        <v>9927301.1806440018</v>
      </c>
    </row>
    <row r="515" spans="2:12">
      <c r="B515" s="15">
        <v>0.17910000000000001</v>
      </c>
      <c r="C515" s="8">
        <v>7914</v>
      </c>
      <c r="D515" s="7">
        <f t="shared" si="58"/>
        <v>1417.3974000000001</v>
      </c>
      <c r="E515" s="7">
        <f t="shared" si="59"/>
        <v>3.2076810000000004E-2</v>
      </c>
      <c r="F515" s="7">
        <f t="shared" si="60"/>
        <v>62631396</v>
      </c>
      <c r="G515" s="7">
        <f t="shared" si="61"/>
        <v>5513.7411000000002</v>
      </c>
      <c r="H515" s="7">
        <f t="shared" si="62"/>
        <v>-2400.2588999999998</v>
      </c>
      <c r="I515" s="7">
        <f t="shared" si="63"/>
        <v>5761242.7870292095</v>
      </c>
      <c r="K515" s="80"/>
      <c r="L515" s="80"/>
    </row>
    <row r="516" spans="2:12">
      <c r="B516" s="15">
        <v>0.17030000000000001</v>
      </c>
      <c r="C516" s="8">
        <v>6916</v>
      </c>
      <c r="D516" s="7">
        <f t="shared" si="58"/>
        <v>1177.7948000000001</v>
      </c>
      <c r="E516" s="7">
        <f t="shared" si="59"/>
        <v>2.9002090000000001E-2</v>
      </c>
      <c r="F516" s="7">
        <f t="shared" si="60"/>
        <v>47831056</v>
      </c>
      <c r="G516" s="7">
        <f t="shared" si="61"/>
        <v>5240.9431999999997</v>
      </c>
      <c r="H516" s="7">
        <f t="shared" si="62"/>
        <v>-1675.0568000000001</v>
      </c>
      <c r="I516" s="7">
        <f t="shared" si="63"/>
        <v>2805815.2832262404</v>
      </c>
    </row>
    <row r="517" spans="2:12">
      <c r="B517" s="15">
        <v>0.16170000000000001</v>
      </c>
      <c r="C517" s="8">
        <v>6132</v>
      </c>
      <c r="D517" s="7">
        <f t="shared" si="58"/>
        <v>991.54440000000011</v>
      </c>
      <c r="E517" s="7">
        <f t="shared" si="59"/>
        <v>2.6146890000000002E-2</v>
      </c>
      <c r="F517" s="7">
        <f t="shared" si="60"/>
        <v>37601424</v>
      </c>
      <c r="G517" s="7">
        <f t="shared" si="61"/>
        <v>4974.3453</v>
      </c>
      <c r="H517" s="7">
        <f t="shared" si="62"/>
        <v>-1157.6547</v>
      </c>
      <c r="I517" s="7">
        <f t="shared" si="63"/>
        <v>1340164.40443209</v>
      </c>
    </row>
    <row r="518" spans="2:12">
      <c r="B518" s="15">
        <v>0.14760000000000001</v>
      </c>
      <c r="C518" s="8">
        <v>3508</v>
      </c>
      <c r="D518" s="7">
        <f t="shared" si="58"/>
        <v>517.7808</v>
      </c>
      <c r="E518" s="7">
        <f t="shared" si="59"/>
        <v>2.1785760000000001E-2</v>
      </c>
      <c r="F518" s="7">
        <f t="shared" si="60"/>
        <v>12306064</v>
      </c>
      <c r="G518" s="7">
        <f t="shared" si="61"/>
        <v>4537.2485999999999</v>
      </c>
      <c r="H518" s="7">
        <f t="shared" si="62"/>
        <v>1029.2485999999999</v>
      </c>
      <c r="I518" s="7">
        <f t="shared" si="63"/>
        <v>1059352.6806019598</v>
      </c>
    </row>
    <row r="519" spans="2:12">
      <c r="B519" s="15">
        <v>0.1426</v>
      </c>
      <c r="C519" s="8">
        <v>2505</v>
      </c>
      <c r="D519" s="7">
        <f t="shared" si="58"/>
        <v>357.21300000000002</v>
      </c>
      <c r="E519" s="7">
        <f t="shared" si="59"/>
        <v>2.033476E-2</v>
      </c>
      <c r="F519" s="7">
        <f t="shared" si="60"/>
        <v>6275025</v>
      </c>
      <c r="G519" s="7">
        <f t="shared" si="61"/>
        <v>4382.2497999999996</v>
      </c>
      <c r="H519" s="7">
        <f t="shared" si="62"/>
        <v>1877.2498000000001</v>
      </c>
      <c r="I519" s="7">
        <f t="shared" si="63"/>
        <v>3524066.8116000402</v>
      </c>
    </row>
    <row r="520" spans="2:12">
      <c r="B520" s="15">
        <v>0.14180000000000001</v>
      </c>
      <c r="C520" s="8">
        <v>2583</v>
      </c>
      <c r="D520" s="7">
        <f t="shared" si="58"/>
        <v>366.26940000000002</v>
      </c>
      <c r="E520" s="7">
        <f t="shared" si="59"/>
        <v>2.0107240000000002E-2</v>
      </c>
      <c r="F520" s="7">
        <f t="shared" si="60"/>
        <v>6671889</v>
      </c>
      <c r="G520" s="7">
        <f t="shared" si="61"/>
        <v>4357.45</v>
      </c>
      <c r="H520" s="7">
        <f t="shared" si="62"/>
        <v>1774.45</v>
      </c>
      <c r="I520" s="7">
        <f t="shared" si="63"/>
        <v>3148672.8025000002</v>
      </c>
    </row>
    <row r="521" spans="2:12">
      <c r="B521" s="15">
        <v>0.13220000000000001</v>
      </c>
      <c r="C521" s="8">
        <v>4387</v>
      </c>
      <c r="D521" s="7">
        <f t="shared" si="58"/>
        <v>579.96140000000003</v>
      </c>
      <c r="E521" s="7">
        <f t="shared" si="59"/>
        <v>1.7476840000000004E-2</v>
      </c>
      <c r="F521" s="7">
        <f t="shared" si="60"/>
        <v>19245769</v>
      </c>
      <c r="G521" s="7">
        <f t="shared" si="61"/>
        <v>4059.8521999999998</v>
      </c>
      <c r="H521" s="7">
        <f t="shared" si="62"/>
        <v>-327.14780000000002</v>
      </c>
      <c r="I521" s="7">
        <f t="shared" si="63"/>
        <v>107025.68304484001</v>
      </c>
    </row>
    <row r="522" spans="2:12">
      <c r="B522" s="15">
        <v>0.1211</v>
      </c>
      <c r="C522" s="8">
        <v>3480</v>
      </c>
      <c r="D522" s="7">
        <f t="shared" si="58"/>
        <v>421.428</v>
      </c>
      <c r="E522" s="7">
        <f t="shared" si="59"/>
        <v>1.466521E-2</v>
      </c>
      <c r="F522" s="7">
        <f t="shared" si="60"/>
        <v>12110400</v>
      </c>
      <c r="G522" s="7">
        <f t="shared" si="61"/>
        <v>3715.7548999999999</v>
      </c>
      <c r="H522" s="7">
        <f t="shared" si="62"/>
        <v>235.75489999999999</v>
      </c>
      <c r="I522" s="7">
        <f t="shared" si="63"/>
        <v>55580.372874009998</v>
      </c>
    </row>
    <row r="523" spans="2:12">
      <c r="B523" s="15">
        <v>0.10929999999999999</v>
      </c>
      <c r="C523" s="8">
        <v>2854</v>
      </c>
      <c r="D523" s="7">
        <f t="shared" si="58"/>
        <v>311.94219999999996</v>
      </c>
      <c r="E523" s="7">
        <f t="shared" si="59"/>
        <v>1.1946489999999999E-2</v>
      </c>
      <c r="F523" s="7">
        <f t="shared" si="60"/>
        <v>8145316</v>
      </c>
      <c r="G523" s="7">
        <f t="shared" si="61"/>
        <v>3349.9576999999999</v>
      </c>
      <c r="H523" s="7">
        <f t="shared" si="62"/>
        <v>495.95769999999999</v>
      </c>
      <c r="I523" s="7">
        <f t="shared" si="63"/>
        <v>245974.04018928998</v>
      </c>
    </row>
    <row r="524" spans="2:12">
      <c r="B524" s="15">
        <v>9.9000000000000005E-2</v>
      </c>
      <c r="C524" s="8">
        <v>2856</v>
      </c>
      <c r="D524" s="7">
        <f t="shared" si="58"/>
        <v>282.74400000000003</v>
      </c>
      <c r="E524" s="7">
        <f t="shared" si="59"/>
        <v>9.8010000000000007E-3</v>
      </c>
      <c r="F524" s="7">
        <f t="shared" si="60"/>
        <v>8156736</v>
      </c>
      <c r="G524" s="7">
        <f t="shared" si="61"/>
        <v>3030.6601000000001</v>
      </c>
      <c r="H524" s="7">
        <f t="shared" si="62"/>
        <v>174.6601</v>
      </c>
      <c r="I524" s="7">
        <f t="shared" si="63"/>
        <v>30506.15053201</v>
      </c>
    </row>
    <row r="525" spans="2:12">
      <c r="B525" s="15">
        <v>9.2100000000000001E-2</v>
      </c>
      <c r="C525" s="8">
        <v>1677</v>
      </c>
      <c r="D525" s="7">
        <f t="shared" si="58"/>
        <v>154.45169999999999</v>
      </c>
      <c r="E525" s="7">
        <f t="shared" si="59"/>
        <v>8.482410000000001E-3</v>
      </c>
      <c r="F525" s="7">
        <f t="shared" si="60"/>
        <v>2812329</v>
      </c>
      <c r="G525" s="7">
        <f t="shared" si="61"/>
        <v>2816.7617</v>
      </c>
      <c r="H525" s="7">
        <f t="shared" si="62"/>
        <v>1139.7617</v>
      </c>
      <c r="I525" s="7">
        <f t="shared" si="63"/>
        <v>1299056.7327868901</v>
      </c>
    </row>
    <row r="526" spans="2:12">
      <c r="B526" s="15">
        <v>8.7300000000000003E-2</v>
      </c>
      <c r="C526" s="8">
        <v>1303</v>
      </c>
      <c r="D526" s="7">
        <f t="shared" si="58"/>
        <v>113.75190000000001</v>
      </c>
      <c r="E526" s="7">
        <f t="shared" si="59"/>
        <v>7.6212900000000002E-3</v>
      </c>
      <c r="F526" s="7">
        <f t="shared" si="60"/>
        <v>1697809</v>
      </c>
      <c r="G526" s="7">
        <f t="shared" si="61"/>
        <v>2667.9629</v>
      </c>
      <c r="H526" s="7">
        <f t="shared" si="62"/>
        <v>1364.9629</v>
      </c>
      <c r="I526" s="7">
        <f t="shared" si="63"/>
        <v>1863123.71837641</v>
      </c>
    </row>
    <row r="527" spans="2:12">
      <c r="B527" s="15">
        <v>8.5000000000000006E-2</v>
      </c>
      <c r="C527" s="8">
        <v>1502</v>
      </c>
      <c r="D527" s="7">
        <f t="shared" si="58"/>
        <v>127.67000000000002</v>
      </c>
      <c r="E527" s="7">
        <f t="shared" si="59"/>
        <v>7.2250000000000014E-3</v>
      </c>
      <c r="F527" s="7">
        <f t="shared" si="60"/>
        <v>2256004</v>
      </c>
      <c r="G527" s="7">
        <f t="shared" si="61"/>
        <v>2596.6633999999999</v>
      </c>
      <c r="H527" s="7">
        <f t="shared" si="62"/>
        <v>1094.6633999999999</v>
      </c>
      <c r="I527" s="7">
        <f t="shared" si="63"/>
        <v>1198287.9592995597</v>
      </c>
    </row>
    <row r="528" spans="2:12">
      <c r="B528" s="15">
        <v>7.6399999999999996E-2</v>
      </c>
      <c r="C528" s="8">
        <v>2324</v>
      </c>
      <c r="D528" s="7">
        <f t="shared" si="58"/>
        <v>177.55359999999999</v>
      </c>
      <c r="E528" s="7">
        <f t="shared" si="59"/>
        <v>5.8369599999999995E-3</v>
      </c>
      <c r="F528" s="7">
        <f t="shared" si="60"/>
        <v>5400976</v>
      </c>
      <c r="G528" s="7">
        <f t="shared" si="61"/>
        <v>2330.0654</v>
      </c>
      <c r="H528" s="7">
        <f t="shared" si="62"/>
        <v>6.0654000000000003</v>
      </c>
      <c r="I528" s="7">
        <f t="shared" si="63"/>
        <v>36.789077160000005</v>
      </c>
    </row>
    <row r="529" spans="2:15">
      <c r="B529" s="15">
        <v>7.0199999999999999E-2</v>
      </c>
      <c r="C529" s="8">
        <v>1944</v>
      </c>
      <c r="D529" s="7">
        <f t="shared" si="58"/>
        <v>136.46879999999999</v>
      </c>
      <c r="E529" s="7">
        <f t="shared" si="59"/>
        <v>4.9280399999999999E-3</v>
      </c>
      <c r="F529" s="7">
        <f t="shared" si="60"/>
        <v>3779136</v>
      </c>
      <c r="G529" s="7">
        <f t="shared" si="61"/>
        <v>2137.8669</v>
      </c>
      <c r="H529" s="7">
        <f t="shared" si="62"/>
        <v>193.86689999999999</v>
      </c>
      <c r="I529" s="7">
        <f t="shared" si="63"/>
        <v>37584.374915609995</v>
      </c>
    </row>
    <row r="530" spans="2:15">
      <c r="B530" s="15">
        <v>6.7400000000000002E-2</v>
      </c>
      <c r="C530" s="8">
        <v>1940</v>
      </c>
      <c r="D530" s="7">
        <f t="shared" si="58"/>
        <v>130.756</v>
      </c>
      <c r="E530" s="7">
        <f t="shared" si="59"/>
        <v>4.5427599999999999E-3</v>
      </c>
      <c r="F530" s="7">
        <f t="shared" si="60"/>
        <v>3763600</v>
      </c>
      <c r="G530" s="7">
        <f t="shared" si="61"/>
        <v>2051.0675999999999</v>
      </c>
      <c r="H530" s="7">
        <f t="shared" si="62"/>
        <v>111.0676</v>
      </c>
      <c r="I530" s="7">
        <f t="shared" si="63"/>
        <v>12336.01176976</v>
      </c>
    </row>
    <row r="531" spans="2:15">
      <c r="B531" s="15">
        <v>6.0900000000000003E-2</v>
      </c>
      <c r="C531" s="8">
        <v>1570</v>
      </c>
      <c r="D531" s="7">
        <f t="shared" si="58"/>
        <v>95.613</v>
      </c>
      <c r="E531" s="7">
        <f t="shared" si="59"/>
        <v>3.7088100000000003E-3</v>
      </c>
      <c r="F531" s="7">
        <f t="shared" si="60"/>
        <v>2464900</v>
      </c>
      <c r="G531" s="7">
        <f t="shared" si="61"/>
        <v>1849.5690999999999</v>
      </c>
      <c r="H531" s="7">
        <f t="shared" si="62"/>
        <v>279.56909999999999</v>
      </c>
      <c r="I531" s="7">
        <f t="shared" si="63"/>
        <v>78158.881674809993</v>
      </c>
    </row>
    <row r="532" spans="2:15">
      <c r="B532" s="15">
        <v>5.8799999999999998E-2</v>
      </c>
      <c r="C532" s="8">
        <v>1186</v>
      </c>
      <c r="D532" s="7">
        <f t="shared" si="58"/>
        <v>69.736800000000002</v>
      </c>
      <c r="E532" s="7">
        <f t="shared" si="59"/>
        <v>3.45744E-3</v>
      </c>
      <c r="F532" s="7">
        <f t="shared" si="60"/>
        <v>1406596</v>
      </c>
      <c r="G532" s="7">
        <f t="shared" si="61"/>
        <v>1784.4695999999999</v>
      </c>
      <c r="H532" s="7">
        <f t="shared" si="62"/>
        <v>598.46960000000001</v>
      </c>
      <c r="I532" s="7">
        <f t="shared" si="63"/>
        <v>358165.86212415999</v>
      </c>
      <c r="K532" t="s">
        <v>19</v>
      </c>
      <c r="L532" s="11">
        <f>COUNT(B512,B513:B631)</f>
        <v>120</v>
      </c>
    </row>
    <row r="533" spans="2:15">
      <c r="B533" s="15">
        <v>5.5500000000000001E-2</v>
      </c>
      <c r="C533" s="8">
        <v>549</v>
      </c>
      <c r="D533" s="7">
        <f t="shared" si="58"/>
        <v>30.4695</v>
      </c>
      <c r="E533" s="7">
        <f t="shared" si="59"/>
        <v>3.0802500000000001E-3</v>
      </c>
      <c r="F533" s="7">
        <f t="shared" si="60"/>
        <v>301401</v>
      </c>
      <c r="G533" s="7">
        <f t="shared" si="61"/>
        <v>1682.1704</v>
      </c>
      <c r="H533" s="7">
        <f t="shared" si="62"/>
        <v>1133.1704</v>
      </c>
      <c r="I533" s="7">
        <f t="shared" si="63"/>
        <v>1284075.15543616</v>
      </c>
      <c r="K533" t="s">
        <v>20</v>
      </c>
      <c r="L533">
        <f>ROUND(AVERAGE(B512:B631),4)</f>
        <v>3.5799999999999998E-2</v>
      </c>
    </row>
    <row r="534" spans="2:15">
      <c r="B534" s="15">
        <v>5.33E-2</v>
      </c>
      <c r="C534" s="8">
        <v>1032</v>
      </c>
      <c r="D534" s="7">
        <f t="shared" si="58"/>
        <v>55.005600000000001</v>
      </c>
      <c r="E534" s="7">
        <f t="shared" si="59"/>
        <v>2.84089E-3</v>
      </c>
      <c r="F534" s="7">
        <f t="shared" si="60"/>
        <v>1065024</v>
      </c>
      <c r="G534" s="7">
        <f t="shared" si="61"/>
        <v>1613.9709</v>
      </c>
      <c r="H534" s="7">
        <f t="shared" si="62"/>
        <v>581.97090000000003</v>
      </c>
      <c r="I534" s="7">
        <f t="shared" si="63"/>
        <v>338690.12844681001</v>
      </c>
      <c r="K534" t="s">
        <v>21</v>
      </c>
      <c r="L534">
        <f>ROUND(AVERAGE(C512:C631),4)</f>
        <v>1071.4749999999999</v>
      </c>
    </row>
    <row r="535" spans="2:15">
      <c r="B535" s="15">
        <v>4.9799999999999997E-2</v>
      </c>
      <c r="C535" s="8">
        <v>1480</v>
      </c>
      <c r="D535" s="7">
        <f t="shared" si="58"/>
        <v>73.703999999999994</v>
      </c>
      <c r="E535" s="7">
        <f t="shared" si="59"/>
        <v>2.4800399999999998E-3</v>
      </c>
      <c r="F535" s="7">
        <f t="shared" si="60"/>
        <v>2190400</v>
      </c>
      <c r="G535" s="7">
        <f t="shared" si="61"/>
        <v>1505.4717000000001</v>
      </c>
      <c r="H535" s="7">
        <f t="shared" si="62"/>
        <v>25.471699999999998</v>
      </c>
      <c r="I535" s="7">
        <f t="shared" si="63"/>
        <v>648.80750088999991</v>
      </c>
    </row>
    <row r="536" spans="2:15">
      <c r="B536" s="15">
        <v>4.65E-2</v>
      </c>
      <c r="C536" s="8">
        <v>1160</v>
      </c>
      <c r="D536" s="7">
        <f t="shared" si="58"/>
        <v>53.94</v>
      </c>
      <c r="E536" s="7">
        <f t="shared" si="59"/>
        <v>2.1622500000000001E-3</v>
      </c>
      <c r="F536" s="7">
        <f t="shared" si="60"/>
        <v>1345600</v>
      </c>
      <c r="G536" s="7">
        <f t="shared" si="61"/>
        <v>1403.1724999999999</v>
      </c>
      <c r="H536" s="7">
        <f t="shared" si="62"/>
        <v>243.17250000000001</v>
      </c>
      <c r="I536" s="7">
        <f t="shared" si="63"/>
        <v>59132.864756250005</v>
      </c>
    </row>
    <row r="537" spans="2:15">
      <c r="B537" s="15">
        <v>4.2000000000000003E-2</v>
      </c>
      <c r="C537" s="8">
        <v>1027</v>
      </c>
      <c r="D537" s="7">
        <f t="shared" si="58"/>
        <v>43.134</v>
      </c>
      <c r="E537" s="7">
        <f t="shared" si="59"/>
        <v>1.7640000000000002E-3</v>
      </c>
      <c r="F537" s="7">
        <f t="shared" si="60"/>
        <v>1054729</v>
      </c>
      <c r="G537" s="7">
        <f t="shared" si="61"/>
        <v>1263.6736000000001</v>
      </c>
      <c r="H537" s="7">
        <f t="shared" si="62"/>
        <v>236.67359999999999</v>
      </c>
      <c r="I537" s="7">
        <f t="shared" si="63"/>
        <v>56014.392936959994</v>
      </c>
      <c r="N537" t="s">
        <v>22</v>
      </c>
      <c r="O537">
        <f>D632-(L532*L533*L534)</f>
        <v>7911.1353000000154</v>
      </c>
    </row>
    <row r="538" spans="2:15">
      <c r="B538" s="15">
        <v>3.9699999999999999E-2</v>
      </c>
      <c r="C538" s="8">
        <v>1071</v>
      </c>
      <c r="D538" s="7">
        <f t="shared" si="58"/>
        <v>42.518700000000003</v>
      </c>
      <c r="E538" s="7">
        <f t="shared" si="59"/>
        <v>1.57609E-3</v>
      </c>
      <c r="F538" s="7">
        <f t="shared" si="60"/>
        <v>1147041</v>
      </c>
      <c r="G538" s="7">
        <f t="shared" si="61"/>
        <v>1192.3741</v>
      </c>
      <c r="H538" s="7">
        <f t="shared" si="62"/>
        <v>121.3741</v>
      </c>
      <c r="I538" s="7">
        <f t="shared" si="63"/>
        <v>14731.67215081</v>
      </c>
    </row>
    <row r="539" spans="2:15">
      <c r="B539" s="15">
        <v>3.7100000000000001E-2</v>
      </c>
      <c r="C539" s="8">
        <v>718</v>
      </c>
      <c r="D539" s="7">
        <f t="shared" si="58"/>
        <v>26.637800000000002</v>
      </c>
      <c r="E539" s="7">
        <f t="shared" si="59"/>
        <v>1.37641E-3</v>
      </c>
      <c r="F539" s="7">
        <f t="shared" si="60"/>
        <v>515524</v>
      </c>
      <c r="G539" s="7">
        <f t="shared" si="61"/>
        <v>1111.7746999999999</v>
      </c>
      <c r="H539" s="7">
        <f t="shared" si="62"/>
        <v>393.7747</v>
      </c>
      <c r="I539" s="7">
        <f t="shared" si="63"/>
        <v>155058.51436008999</v>
      </c>
    </row>
    <row r="540" spans="2:15">
      <c r="B540" s="15">
        <v>3.7199999999999997E-2</v>
      </c>
      <c r="C540" s="8">
        <v>394</v>
      </c>
      <c r="D540" s="7">
        <f t="shared" si="58"/>
        <v>14.656799999999999</v>
      </c>
      <c r="E540" s="7">
        <f t="shared" si="59"/>
        <v>1.3838399999999997E-3</v>
      </c>
      <c r="F540" s="7">
        <f t="shared" si="60"/>
        <v>155236</v>
      </c>
      <c r="G540" s="7">
        <f t="shared" si="61"/>
        <v>1114.8747000000001</v>
      </c>
      <c r="H540" s="7">
        <f t="shared" si="62"/>
        <v>720.87469999999996</v>
      </c>
      <c r="I540" s="7">
        <f t="shared" si="63"/>
        <v>519660.33310008992</v>
      </c>
    </row>
    <row r="541" spans="2:15">
      <c r="B541" s="15">
        <v>3.5700000000000003E-2</v>
      </c>
      <c r="C541" s="8">
        <v>691</v>
      </c>
      <c r="D541" s="7">
        <f t="shared" si="58"/>
        <v>24.668700000000001</v>
      </c>
      <c r="E541" s="7">
        <f t="shared" si="59"/>
        <v>1.2744900000000001E-3</v>
      </c>
      <c r="F541" s="7">
        <f t="shared" si="60"/>
        <v>477481</v>
      </c>
      <c r="G541" s="7">
        <f t="shared" si="61"/>
        <v>1068.3751</v>
      </c>
      <c r="H541" s="7">
        <f t="shared" si="62"/>
        <v>377.37509999999997</v>
      </c>
      <c r="I541" s="7">
        <f t="shared" si="63"/>
        <v>142411.96610000997</v>
      </c>
      <c r="N541" t="s">
        <v>22</v>
      </c>
      <c r="O541">
        <f>E632-(L532*(L533^2))</f>
        <v>0.25519985999999972</v>
      </c>
    </row>
    <row r="542" spans="2:15">
      <c r="B542" s="15">
        <v>3.3300000000000003E-2</v>
      </c>
      <c r="C542" s="8">
        <v>979</v>
      </c>
      <c r="D542" s="7">
        <f t="shared" si="58"/>
        <v>32.600700000000003</v>
      </c>
      <c r="E542" s="7">
        <f t="shared" si="59"/>
        <v>1.1088900000000002E-3</v>
      </c>
      <c r="F542" s="7">
        <f t="shared" si="60"/>
        <v>958441</v>
      </c>
      <c r="G542" s="7">
        <f t="shared" si="61"/>
        <v>993.97559999999999</v>
      </c>
      <c r="H542" s="7">
        <f t="shared" si="62"/>
        <v>14.9756</v>
      </c>
      <c r="I542" s="7">
        <f t="shared" si="63"/>
        <v>224.26859536000001</v>
      </c>
    </row>
    <row r="543" spans="2:15">
      <c r="B543" s="15">
        <v>3.2000000000000001E-2</v>
      </c>
      <c r="C543" s="8">
        <v>830</v>
      </c>
      <c r="D543" s="7">
        <f t="shared" si="58"/>
        <v>26.560000000000002</v>
      </c>
      <c r="E543" s="7">
        <f t="shared" si="59"/>
        <v>1.024E-3</v>
      </c>
      <c r="F543" s="7">
        <f t="shared" si="60"/>
        <v>688900</v>
      </c>
      <c r="G543" s="7">
        <f t="shared" si="61"/>
        <v>953.67589999999996</v>
      </c>
      <c r="H543" s="7">
        <f t="shared" si="62"/>
        <v>123.6759</v>
      </c>
      <c r="I543" s="7">
        <f t="shared" si="63"/>
        <v>15295.72824081</v>
      </c>
    </row>
    <row r="544" spans="2:15">
      <c r="B544" s="15">
        <v>3.2300000000000002E-2</v>
      </c>
      <c r="C544" s="8">
        <v>949</v>
      </c>
      <c r="D544" s="7">
        <f t="shared" si="58"/>
        <v>30.652700000000003</v>
      </c>
      <c r="E544" s="7">
        <f t="shared" si="59"/>
        <v>1.0432900000000001E-3</v>
      </c>
      <c r="F544" s="7">
        <f t="shared" si="60"/>
        <v>900601</v>
      </c>
      <c r="G544" s="7">
        <f t="shared" si="61"/>
        <v>962.97590000000002</v>
      </c>
      <c r="H544" s="7">
        <f t="shared" si="62"/>
        <v>13.975899999999999</v>
      </c>
      <c r="I544" s="7">
        <f t="shared" si="63"/>
        <v>195.32578080999997</v>
      </c>
      <c r="N544" t="s">
        <v>22</v>
      </c>
      <c r="O544">
        <f>ROUND((F632-(L532*(L534^2))),4)</f>
        <v>285780855.92500001</v>
      </c>
    </row>
    <row r="545" spans="2:18">
      <c r="B545" s="15">
        <v>3.2000000000000001E-2</v>
      </c>
      <c r="C545" s="8">
        <v>1007</v>
      </c>
      <c r="D545" s="7">
        <f t="shared" si="58"/>
        <v>32.224000000000004</v>
      </c>
      <c r="E545" s="7">
        <f t="shared" si="59"/>
        <v>1.024E-3</v>
      </c>
      <c r="F545" s="7">
        <f t="shared" si="60"/>
        <v>1014049</v>
      </c>
      <c r="G545" s="7">
        <f t="shared" si="61"/>
        <v>953.67589999999996</v>
      </c>
      <c r="H545" s="7">
        <f t="shared" si="62"/>
        <v>-53.324100000000001</v>
      </c>
      <c r="I545" s="7">
        <f t="shared" si="63"/>
        <v>2843.4596408100001</v>
      </c>
    </row>
    <row r="546" spans="2:18">
      <c r="B546" s="15">
        <v>3.2199999999999999E-2</v>
      </c>
      <c r="C546" s="8">
        <v>682</v>
      </c>
      <c r="D546" s="7">
        <f t="shared" si="58"/>
        <v>21.9604</v>
      </c>
      <c r="E546" s="7">
        <f t="shared" si="59"/>
        <v>1.03684E-3</v>
      </c>
      <c r="F546" s="7">
        <f t="shared" si="60"/>
        <v>465124</v>
      </c>
      <c r="G546" s="7">
        <f t="shared" si="61"/>
        <v>959.8759</v>
      </c>
      <c r="H546" s="7">
        <f t="shared" si="62"/>
        <v>277.8759</v>
      </c>
      <c r="I546" s="7">
        <f t="shared" si="63"/>
        <v>77215.015800809997</v>
      </c>
    </row>
    <row r="547" spans="2:18">
      <c r="B547" s="15">
        <v>3.2300000000000002E-2</v>
      </c>
      <c r="C547" s="8">
        <v>365</v>
      </c>
      <c r="D547" s="7">
        <f t="shared" si="58"/>
        <v>11.7895</v>
      </c>
      <c r="E547" s="7">
        <f t="shared" si="59"/>
        <v>1.0432900000000001E-3</v>
      </c>
      <c r="F547" s="7">
        <f t="shared" si="60"/>
        <v>133225</v>
      </c>
      <c r="G547" s="7">
        <f t="shared" si="61"/>
        <v>962.97590000000002</v>
      </c>
      <c r="H547" s="7">
        <f t="shared" si="62"/>
        <v>597.97590000000002</v>
      </c>
      <c r="I547" s="7">
        <f t="shared" si="63"/>
        <v>357575.17698081001</v>
      </c>
      <c r="O547" s="15"/>
      <c r="P547" s="15"/>
      <c r="Q547" s="15"/>
      <c r="R547" s="15"/>
    </row>
    <row r="548" spans="2:18">
      <c r="B548" s="15">
        <v>3.4299999999999997E-2</v>
      </c>
      <c r="C548" s="8">
        <v>847</v>
      </c>
      <c r="D548" s="7">
        <f t="shared" si="58"/>
        <v>29.052099999999996</v>
      </c>
      <c r="E548" s="7">
        <f t="shared" si="59"/>
        <v>1.1764899999999999E-3</v>
      </c>
      <c r="F548" s="7">
        <f t="shared" si="60"/>
        <v>717409</v>
      </c>
      <c r="G548" s="7">
        <f t="shared" si="61"/>
        <v>1024.9754</v>
      </c>
      <c r="H548" s="7">
        <f t="shared" si="62"/>
        <v>177.97540000000001</v>
      </c>
      <c r="I548" s="7">
        <f t="shared" si="63"/>
        <v>31675.243005160002</v>
      </c>
      <c r="M548" t="s">
        <v>22</v>
      </c>
      <c r="N548">
        <f>O537/(SQRT(O541)*SQRT(O544))</f>
        <v>0.92636476905976706</v>
      </c>
      <c r="O548" s="15"/>
      <c r="P548" s="15"/>
      <c r="Q548" s="15">
        <f>N548^2</f>
        <v>0.85815168535515551</v>
      </c>
      <c r="R548" s="15"/>
    </row>
    <row r="549" spans="2:18">
      <c r="B549" s="15">
        <v>3.2800000000000003E-2</v>
      </c>
      <c r="C549" s="8">
        <v>642</v>
      </c>
      <c r="D549" s="7">
        <f t="shared" si="58"/>
        <v>21.057600000000001</v>
      </c>
      <c r="E549" s="7">
        <f t="shared" si="59"/>
        <v>1.0758400000000002E-3</v>
      </c>
      <c r="F549" s="7">
        <f t="shared" si="60"/>
        <v>412164</v>
      </c>
      <c r="G549" s="7">
        <f t="shared" si="61"/>
        <v>978.47569999999996</v>
      </c>
      <c r="H549" s="7">
        <f t="shared" si="62"/>
        <v>336.47570000000002</v>
      </c>
      <c r="I549" s="7">
        <f t="shared" si="63"/>
        <v>113215.89669049002</v>
      </c>
      <c r="O549" s="15"/>
      <c r="P549" s="15"/>
      <c r="Q549" s="15"/>
      <c r="R549" s="15"/>
    </row>
    <row r="550" spans="2:18">
      <c r="B550" s="15">
        <v>3.2300000000000002E-2</v>
      </c>
      <c r="C550" s="8">
        <v>627</v>
      </c>
      <c r="D550" s="7">
        <f t="shared" si="58"/>
        <v>20.252100000000002</v>
      </c>
      <c r="E550" s="7">
        <f t="shared" si="59"/>
        <v>1.0432900000000001E-3</v>
      </c>
      <c r="F550" s="7">
        <f t="shared" si="60"/>
        <v>393129</v>
      </c>
      <c r="G550" s="7">
        <f t="shared" si="61"/>
        <v>962.97590000000002</v>
      </c>
      <c r="H550" s="7">
        <f t="shared" si="62"/>
        <v>335.97590000000002</v>
      </c>
      <c r="I550" s="7">
        <f t="shared" si="63"/>
        <v>112879.80538081002</v>
      </c>
    </row>
    <row r="551" spans="2:18">
      <c r="B551" s="15">
        <v>3.0200000000000001E-2</v>
      </c>
      <c r="C551" s="8">
        <v>577</v>
      </c>
      <c r="D551" s="7">
        <f t="shared" si="58"/>
        <v>17.4254</v>
      </c>
      <c r="E551" s="7">
        <f t="shared" si="59"/>
        <v>9.1204000000000003E-4</v>
      </c>
      <c r="F551" s="7">
        <f t="shared" si="60"/>
        <v>332929</v>
      </c>
      <c r="G551" s="7">
        <f t="shared" si="61"/>
        <v>897.87639999999999</v>
      </c>
      <c r="H551" s="7">
        <f t="shared" si="62"/>
        <v>320.87639999999999</v>
      </c>
      <c r="I551" s="7">
        <f t="shared" si="63"/>
        <v>102961.66407695999</v>
      </c>
    </row>
    <row r="552" spans="2:18">
      <c r="B552" s="15">
        <v>2.7199999999999998E-2</v>
      </c>
      <c r="C552" s="8">
        <v>564</v>
      </c>
      <c r="D552" s="7">
        <f t="shared" si="58"/>
        <v>15.3408</v>
      </c>
      <c r="E552" s="7">
        <f t="shared" si="59"/>
        <v>7.3983999999999996E-4</v>
      </c>
      <c r="F552" s="7">
        <f t="shared" si="60"/>
        <v>318096</v>
      </c>
      <c r="G552" s="7">
        <f t="shared" si="61"/>
        <v>804.87710000000004</v>
      </c>
      <c r="H552" s="7">
        <f t="shared" si="62"/>
        <v>240.87710000000001</v>
      </c>
      <c r="I552" s="7">
        <f t="shared" si="63"/>
        <v>58021.777304410003</v>
      </c>
    </row>
    <row r="553" spans="2:18">
      <c r="B553" s="15">
        <v>2.6200000000000001E-2</v>
      </c>
      <c r="C553" s="8">
        <v>541</v>
      </c>
      <c r="D553" s="7">
        <f t="shared" si="58"/>
        <v>14.174200000000001</v>
      </c>
      <c r="E553" s="7">
        <f t="shared" si="59"/>
        <v>6.8644000000000008E-4</v>
      </c>
      <c r="F553" s="7">
        <f t="shared" si="60"/>
        <v>292681</v>
      </c>
      <c r="G553" s="7">
        <f t="shared" si="61"/>
        <v>773.87729999999999</v>
      </c>
      <c r="H553" s="7">
        <f t="shared" si="62"/>
        <v>232.87729999999999</v>
      </c>
      <c r="I553" s="7">
        <f t="shared" si="63"/>
        <v>54231.836855289999</v>
      </c>
    </row>
    <row r="554" spans="2:18">
      <c r="B554" s="15">
        <v>2.5399999999999999E-2</v>
      </c>
      <c r="C554" s="8">
        <v>256</v>
      </c>
      <c r="D554" s="7">
        <f t="shared" si="58"/>
        <v>6.5023999999999997</v>
      </c>
      <c r="E554" s="7">
        <f t="shared" si="59"/>
        <v>6.4515999999999998E-4</v>
      </c>
      <c r="F554" s="7">
        <f t="shared" si="60"/>
        <v>65536</v>
      </c>
      <c r="G554" s="7">
        <f t="shared" si="61"/>
        <v>749.07749999999999</v>
      </c>
      <c r="H554" s="7">
        <f t="shared" si="62"/>
        <v>493.07749999999999</v>
      </c>
      <c r="I554" s="7">
        <f t="shared" si="63"/>
        <v>243125.42100624999</v>
      </c>
    </row>
    <row r="555" spans="2:18">
      <c r="B555" s="15">
        <v>2.0299999999999999E-2</v>
      </c>
      <c r="C555" s="8">
        <v>384</v>
      </c>
      <c r="D555" s="7">
        <f t="shared" si="58"/>
        <v>7.7951999999999995</v>
      </c>
      <c r="E555" s="7">
        <f t="shared" si="59"/>
        <v>4.1208999999999994E-4</v>
      </c>
      <c r="F555" s="7">
        <f t="shared" si="60"/>
        <v>147456</v>
      </c>
      <c r="G555" s="7">
        <f t="shared" si="61"/>
        <v>590.9787</v>
      </c>
      <c r="H555" s="7">
        <f t="shared" si="62"/>
        <v>206.9787</v>
      </c>
      <c r="I555" s="7">
        <f t="shared" si="63"/>
        <v>42840.18225369</v>
      </c>
    </row>
    <row r="556" spans="2:18">
      <c r="B556" s="15">
        <v>1.83E-2</v>
      </c>
      <c r="C556" s="8">
        <v>673</v>
      </c>
      <c r="D556" s="7">
        <f t="shared" si="58"/>
        <v>12.315900000000001</v>
      </c>
      <c r="E556" s="7">
        <f t="shared" si="59"/>
        <v>3.3489000000000001E-4</v>
      </c>
      <c r="F556" s="7">
        <f t="shared" si="60"/>
        <v>452929</v>
      </c>
      <c r="G556" s="7">
        <f t="shared" si="61"/>
        <v>528.97919999999999</v>
      </c>
      <c r="H556" s="7">
        <f t="shared" si="62"/>
        <v>-144.02080000000001</v>
      </c>
      <c r="I556" s="7">
        <f t="shared" si="63"/>
        <v>20741.990832640004</v>
      </c>
      <c r="L556" t="s">
        <v>22</v>
      </c>
      <c r="M556">
        <f>ROUND((O537/O541),4)</f>
        <v>30999.763500000001</v>
      </c>
    </row>
    <row r="557" spans="2:18">
      <c r="B557" s="15">
        <v>1.5299999999999999E-2</v>
      </c>
      <c r="C557" s="8">
        <v>485</v>
      </c>
      <c r="D557" s="7">
        <f t="shared" si="58"/>
        <v>7.4204999999999997</v>
      </c>
      <c r="E557" s="7">
        <f t="shared" si="59"/>
        <v>2.3408999999999998E-4</v>
      </c>
      <c r="F557" s="7">
        <f t="shared" si="60"/>
        <v>235225</v>
      </c>
      <c r="G557" s="7">
        <f t="shared" si="61"/>
        <v>435.97989999999999</v>
      </c>
      <c r="H557" s="7">
        <f t="shared" si="62"/>
        <v>-49.020099999999999</v>
      </c>
      <c r="I557" s="7">
        <f t="shared" si="63"/>
        <v>2402.9702040100001</v>
      </c>
    </row>
    <row r="558" spans="2:18">
      <c r="B558" s="15">
        <v>1.37E-2</v>
      </c>
      <c r="C558" s="8">
        <v>568</v>
      </c>
      <c r="D558" s="7">
        <f t="shared" si="58"/>
        <v>7.7816000000000001</v>
      </c>
      <c r="E558" s="7">
        <f t="shared" si="59"/>
        <v>1.8769000000000001E-4</v>
      </c>
      <c r="F558" s="7">
        <f t="shared" si="60"/>
        <v>322624</v>
      </c>
      <c r="G558" s="7">
        <f t="shared" si="61"/>
        <v>386.38029999999998</v>
      </c>
      <c r="H558" s="7">
        <f t="shared" si="62"/>
        <v>-181.61969999999999</v>
      </c>
      <c r="I558" s="7">
        <f t="shared" si="63"/>
        <v>32985.715428089999</v>
      </c>
    </row>
    <row r="559" spans="2:18">
      <c r="B559" s="15">
        <v>1.2699999999999999E-2</v>
      </c>
      <c r="C559" s="8">
        <v>457</v>
      </c>
      <c r="D559" s="7">
        <f t="shared" si="58"/>
        <v>5.8038999999999996</v>
      </c>
      <c r="E559" s="7">
        <f t="shared" si="59"/>
        <v>1.6129E-4</v>
      </c>
      <c r="F559" s="7">
        <f t="shared" si="60"/>
        <v>208849</v>
      </c>
      <c r="G559" s="7">
        <f t="shared" si="61"/>
        <v>355.38049999999998</v>
      </c>
      <c r="H559" s="7">
        <f t="shared" si="62"/>
        <v>-101.6195</v>
      </c>
      <c r="I559" s="7">
        <f t="shared" si="63"/>
        <v>10326.522780250001</v>
      </c>
      <c r="L559" t="s">
        <v>22</v>
      </c>
      <c r="M559">
        <f>ROUND((L534-(M556*L533)),4)</f>
        <v>-38.316499999999998</v>
      </c>
    </row>
    <row r="560" spans="2:18">
      <c r="B560" s="15">
        <v>1.23E-2</v>
      </c>
      <c r="C560" s="8">
        <v>450</v>
      </c>
      <c r="D560" s="7">
        <f t="shared" si="58"/>
        <v>5.5350000000000001</v>
      </c>
      <c r="E560" s="7">
        <f t="shared" si="59"/>
        <v>1.5129E-4</v>
      </c>
      <c r="F560" s="7">
        <f t="shared" si="60"/>
        <v>202500</v>
      </c>
      <c r="G560" s="7">
        <f t="shared" si="61"/>
        <v>342.98059999999998</v>
      </c>
      <c r="H560" s="7">
        <f t="shared" si="62"/>
        <v>-107.0194</v>
      </c>
      <c r="I560" s="7">
        <f t="shared" si="63"/>
        <v>11453.151976360001</v>
      </c>
    </row>
    <row r="561" spans="2:24">
      <c r="B561" s="15">
        <v>1.21E-2</v>
      </c>
      <c r="C561" s="8">
        <v>248</v>
      </c>
      <c r="D561" s="7">
        <f t="shared" si="58"/>
        <v>3.0007999999999999</v>
      </c>
      <c r="E561" s="7">
        <f t="shared" si="59"/>
        <v>1.4641E-4</v>
      </c>
      <c r="F561" s="7">
        <f t="shared" si="60"/>
        <v>61504</v>
      </c>
      <c r="G561" s="7">
        <f t="shared" si="61"/>
        <v>336.78059999999999</v>
      </c>
      <c r="H561" s="7">
        <f t="shared" si="62"/>
        <v>88.780600000000007</v>
      </c>
      <c r="I561" s="7">
        <f t="shared" si="63"/>
        <v>7881.9949363600008</v>
      </c>
    </row>
    <row r="562" spans="2:24">
      <c r="B562" s="15">
        <v>1.2800000000000001E-2</v>
      </c>
      <c r="C562" s="8">
        <v>434</v>
      </c>
      <c r="D562" s="7">
        <f t="shared" si="58"/>
        <v>5.5552000000000001</v>
      </c>
      <c r="E562" s="7">
        <f t="shared" si="59"/>
        <v>1.6384E-4</v>
      </c>
      <c r="F562" s="7">
        <f t="shared" si="60"/>
        <v>188356</v>
      </c>
      <c r="G562" s="7">
        <f t="shared" si="61"/>
        <v>358.48050000000001</v>
      </c>
      <c r="H562" s="7">
        <f t="shared" si="62"/>
        <v>-75.519499999999994</v>
      </c>
      <c r="I562" s="7">
        <f t="shared" si="63"/>
        <v>5703.1948802499992</v>
      </c>
    </row>
    <row r="563" spans="2:24">
      <c r="B563" s="15">
        <v>1.34E-2</v>
      </c>
      <c r="C563" s="8">
        <v>575</v>
      </c>
      <c r="D563" s="7">
        <f t="shared" si="58"/>
        <v>7.7050000000000001</v>
      </c>
      <c r="E563" s="7">
        <f t="shared" si="59"/>
        <v>1.7956000000000002E-4</v>
      </c>
      <c r="F563" s="7">
        <f t="shared" si="60"/>
        <v>330625</v>
      </c>
      <c r="G563" s="7">
        <f t="shared" si="61"/>
        <v>377.08030000000002</v>
      </c>
      <c r="H563" s="7">
        <f t="shared" si="62"/>
        <v>-197.91970000000001</v>
      </c>
      <c r="I563" s="7">
        <f t="shared" si="63"/>
        <v>39172.20764809</v>
      </c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</row>
    <row r="564" spans="2:24">
      <c r="B564" s="15">
        <v>1.46E-2</v>
      </c>
      <c r="C564" s="8">
        <v>423</v>
      </c>
      <c r="D564" s="7">
        <f t="shared" si="58"/>
        <v>6.1757999999999997</v>
      </c>
      <c r="E564" s="7">
        <f t="shared" si="59"/>
        <v>2.1316E-4</v>
      </c>
      <c r="F564" s="7">
        <f t="shared" si="60"/>
        <v>178929</v>
      </c>
      <c r="G564" s="7">
        <f t="shared" si="61"/>
        <v>414.28</v>
      </c>
      <c r="H564" s="7">
        <f t="shared" si="62"/>
        <v>-8.7200000000000006</v>
      </c>
      <c r="I564" s="7">
        <f t="shared" si="63"/>
        <v>76.03840000000001</v>
      </c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</row>
    <row r="565" spans="2:24">
      <c r="B565" s="15">
        <v>1.6E-2</v>
      </c>
      <c r="C565" s="8">
        <v>488</v>
      </c>
      <c r="D565" s="7">
        <f t="shared" si="58"/>
        <v>7.8079999999999998</v>
      </c>
      <c r="E565" s="7">
        <f t="shared" si="59"/>
        <v>2.5599999999999999E-4</v>
      </c>
      <c r="F565" s="7">
        <f t="shared" si="60"/>
        <v>238144</v>
      </c>
      <c r="G565" s="7">
        <f t="shared" si="61"/>
        <v>457.67970000000003</v>
      </c>
      <c r="H565" s="7">
        <f t="shared" si="62"/>
        <v>-30.3203</v>
      </c>
      <c r="I565" s="7">
        <f t="shared" si="63"/>
        <v>919.32059208999999</v>
      </c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</row>
    <row r="566" spans="2:24">
      <c r="B566" s="15">
        <v>1.6400000000000001E-2</v>
      </c>
      <c r="C566" s="8">
        <v>344</v>
      </c>
      <c r="D566" s="7">
        <f t="shared" si="58"/>
        <v>5.6416000000000004</v>
      </c>
      <c r="E566" s="7">
        <f t="shared" si="59"/>
        <v>2.6896000000000005E-4</v>
      </c>
      <c r="F566" s="7">
        <f t="shared" si="60"/>
        <v>118336</v>
      </c>
      <c r="G566" s="7">
        <f t="shared" si="61"/>
        <v>470.07960000000003</v>
      </c>
      <c r="H566" s="7">
        <f t="shared" si="62"/>
        <v>126.0796</v>
      </c>
      <c r="I566" s="7">
        <f t="shared" si="63"/>
        <v>15896.06553616</v>
      </c>
      <c r="J566" s="77"/>
      <c r="K566" s="38" t="s">
        <v>41</v>
      </c>
      <c r="L566" s="33">
        <f>ROUND(O544-N566*O537,4)</f>
        <v>40537532.608499996</v>
      </c>
      <c r="M566" s="38"/>
      <c r="N566" s="33">
        <f>M556</f>
        <v>30999.763500000001</v>
      </c>
      <c r="O566" s="77"/>
      <c r="P566" s="77"/>
      <c r="Q566" s="77"/>
      <c r="R566" s="77"/>
      <c r="S566" s="77"/>
      <c r="T566" s="77"/>
      <c r="U566" s="77"/>
      <c r="V566" s="77"/>
      <c r="W566" s="77"/>
      <c r="X566" s="77"/>
    </row>
    <row r="567" spans="2:24">
      <c r="B567" s="15">
        <v>1.5900000000000001E-2</v>
      </c>
      <c r="C567" s="8">
        <v>365</v>
      </c>
      <c r="D567" s="7">
        <f t="shared" si="58"/>
        <v>5.8035000000000005</v>
      </c>
      <c r="E567" s="7">
        <f t="shared" si="59"/>
        <v>2.5281000000000001E-4</v>
      </c>
      <c r="F567" s="7">
        <f t="shared" si="60"/>
        <v>133225</v>
      </c>
      <c r="G567" s="7">
        <f t="shared" si="61"/>
        <v>454.5797</v>
      </c>
      <c r="H567" s="7">
        <f t="shared" si="62"/>
        <v>89.579700000000003</v>
      </c>
      <c r="I567" s="7">
        <f t="shared" si="63"/>
        <v>8024.5226520900005</v>
      </c>
      <c r="J567" s="77"/>
      <c r="K567" s="36" t="s">
        <v>42</v>
      </c>
      <c r="L567" s="26">
        <f>ROUND((O537^2)/O541,4)</f>
        <v>245243323.1543</v>
      </c>
      <c r="M567" s="77"/>
      <c r="N567" s="26"/>
      <c r="O567" s="77"/>
      <c r="P567" s="77"/>
      <c r="Q567" s="77"/>
      <c r="R567" s="77"/>
      <c r="S567" s="77"/>
      <c r="T567" s="77"/>
      <c r="U567" s="77"/>
      <c r="V567" s="77"/>
      <c r="W567" s="77"/>
      <c r="X567" s="77"/>
    </row>
    <row r="568" spans="2:24">
      <c r="B568" s="15">
        <v>1.6199999999999999E-2</v>
      </c>
      <c r="C568" s="8">
        <v>309</v>
      </c>
      <c r="D568" s="7">
        <f t="shared" si="58"/>
        <v>5.0057999999999998</v>
      </c>
      <c r="E568" s="7">
        <f t="shared" si="59"/>
        <v>2.6243999999999996E-4</v>
      </c>
      <c r="F568" s="7">
        <f t="shared" si="60"/>
        <v>95481</v>
      </c>
      <c r="G568" s="7">
        <f t="shared" si="61"/>
        <v>463.87970000000001</v>
      </c>
      <c r="H568" s="7">
        <f t="shared" si="62"/>
        <v>154.87970000000001</v>
      </c>
      <c r="I568" s="7">
        <f t="shared" si="63"/>
        <v>23987.721472090005</v>
      </c>
      <c r="J568" s="77"/>
      <c r="K568" s="36" t="s">
        <v>43</v>
      </c>
      <c r="L568" s="26">
        <f>O544</f>
        <v>285780855.92500001</v>
      </c>
      <c r="M568" s="77"/>
      <c r="N568" s="26">
        <f>M559</f>
        <v>-38.316499999999998</v>
      </c>
      <c r="O568" s="77"/>
      <c r="P568" s="77"/>
      <c r="Q568" s="77"/>
      <c r="R568" s="77"/>
      <c r="S568" s="77"/>
      <c r="T568" s="77"/>
      <c r="U568" s="77"/>
      <c r="V568" s="77"/>
      <c r="W568" s="77"/>
      <c r="X568" s="77"/>
    </row>
    <row r="569" spans="2:24">
      <c r="B569" s="15">
        <v>1.61E-2</v>
      </c>
      <c r="C569" s="8">
        <v>388</v>
      </c>
      <c r="D569" s="7">
        <f t="shared" si="58"/>
        <v>6.2467999999999995</v>
      </c>
      <c r="E569" s="7">
        <f t="shared" si="59"/>
        <v>2.5921000000000001E-4</v>
      </c>
      <c r="F569" s="7">
        <f t="shared" si="60"/>
        <v>150544</v>
      </c>
      <c r="G569" s="7">
        <f t="shared" si="61"/>
        <v>460.77969999999999</v>
      </c>
      <c r="H569" s="7">
        <f t="shared" si="62"/>
        <v>72.779700000000005</v>
      </c>
      <c r="I569" s="7">
        <f t="shared" si="63"/>
        <v>5296.8847320900004</v>
      </c>
      <c r="J569" s="77"/>
      <c r="K569" s="36" t="s">
        <v>59</v>
      </c>
      <c r="L569" s="26">
        <f>ROUND(SQRT(L566/(L532-2)),4)</f>
        <v>586.12149999999997</v>
      </c>
      <c r="M569" s="77"/>
      <c r="N569" s="26"/>
      <c r="O569" s="77"/>
      <c r="P569" s="77"/>
      <c r="Q569" s="77"/>
      <c r="R569" s="77"/>
      <c r="S569" s="77"/>
      <c r="T569" s="77"/>
      <c r="U569" s="77"/>
      <c r="V569" s="77"/>
      <c r="W569" s="77"/>
      <c r="X569" s="77"/>
    </row>
    <row r="570" spans="2:24" ht="13.5" thickBot="1">
      <c r="B570" s="15">
        <v>1.6400000000000001E-2</v>
      </c>
      <c r="C570" s="8">
        <v>618</v>
      </c>
      <c r="D570" s="7">
        <f t="shared" si="58"/>
        <v>10.135200000000001</v>
      </c>
      <c r="E570" s="7">
        <f t="shared" si="59"/>
        <v>2.6896000000000005E-4</v>
      </c>
      <c r="F570" s="7">
        <f t="shared" si="60"/>
        <v>381924</v>
      </c>
      <c r="G570" s="7">
        <f t="shared" si="61"/>
        <v>470.07960000000003</v>
      </c>
      <c r="H570" s="7">
        <f t="shared" si="62"/>
        <v>-147.9204</v>
      </c>
      <c r="I570" s="7">
        <f t="shared" si="63"/>
        <v>21880.44473616</v>
      </c>
      <c r="J570" s="77"/>
      <c r="K570" s="37"/>
      <c r="L570" s="27"/>
      <c r="M570" s="37"/>
      <c r="N570" s="27">
        <f>ROUND(N566*SQRT(O541/O544),4)</f>
        <v>0.9264</v>
      </c>
      <c r="O570" s="77"/>
      <c r="P570" s="77"/>
      <c r="Q570" s="77"/>
      <c r="R570" s="77"/>
      <c r="S570" s="77"/>
      <c r="T570" s="77"/>
      <c r="U570" s="77"/>
      <c r="V570" s="77"/>
      <c r="W570" s="77"/>
      <c r="X570" s="77"/>
    </row>
    <row r="571" spans="2:24">
      <c r="B571" s="15">
        <v>1.72E-2</v>
      </c>
      <c r="C571" s="8">
        <v>592</v>
      </c>
      <c r="D571" s="7">
        <f t="shared" si="58"/>
        <v>10.182399999999999</v>
      </c>
      <c r="E571" s="7">
        <f t="shared" si="59"/>
        <v>2.9584000000000001E-4</v>
      </c>
      <c r="F571" s="7">
        <f t="shared" si="60"/>
        <v>350464</v>
      </c>
      <c r="G571" s="7">
        <f t="shared" si="61"/>
        <v>494.87939999999998</v>
      </c>
      <c r="H571" s="7">
        <f t="shared" si="62"/>
        <v>-97.120599999999996</v>
      </c>
      <c r="I571" s="7">
        <f t="shared" si="63"/>
        <v>9432.4109443599991</v>
      </c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</row>
    <row r="572" spans="2:24" ht="13.5" thickBot="1">
      <c r="B572" s="15">
        <v>1.9199999999999998E-2</v>
      </c>
      <c r="C572" s="8">
        <v>548</v>
      </c>
      <c r="D572" s="7">
        <f t="shared" si="58"/>
        <v>10.521599999999999</v>
      </c>
      <c r="E572" s="7">
        <f t="shared" si="59"/>
        <v>3.6863999999999994E-4</v>
      </c>
      <c r="F572" s="7">
        <f t="shared" si="60"/>
        <v>300304</v>
      </c>
      <c r="G572" s="7">
        <f t="shared" si="61"/>
        <v>556.87900000000002</v>
      </c>
      <c r="H572" s="7">
        <f t="shared" si="62"/>
        <v>8.8789999999999996</v>
      </c>
      <c r="I572" s="7">
        <f t="shared" si="63"/>
        <v>78.836640999999986</v>
      </c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</row>
    <row r="573" spans="2:24">
      <c r="B573" s="15">
        <v>1.8700000000000001E-2</v>
      </c>
      <c r="C573" s="8">
        <v>280</v>
      </c>
      <c r="D573" s="7">
        <f t="shared" si="58"/>
        <v>5.2360000000000007</v>
      </c>
      <c r="E573" s="7">
        <f t="shared" si="59"/>
        <v>3.4969000000000005E-4</v>
      </c>
      <c r="F573" s="7">
        <f t="shared" si="60"/>
        <v>78400</v>
      </c>
      <c r="G573" s="7">
        <f t="shared" si="61"/>
        <v>541.37909999999999</v>
      </c>
      <c r="H573" s="7">
        <f t="shared" si="62"/>
        <v>261.37909999999999</v>
      </c>
      <c r="I573" s="7">
        <f t="shared" si="63"/>
        <v>68319.033916810004</v>
      </c>
      <c r="J573" s="77"/>
      <c r="K573" s="20"/>
      <c r="L573" s="20" t="s">
        <v>55</v>
      </c>
      <c r="M573" s="20" t="s">
        <v>48</v>
      </c>
      <c r="N573" s="20" t="s">
        <v>49</v>
      </c>
      <c r="O573" s="20" t="s">
        <v>50</v>
      </c>
      <c r="P573" s="20" t="s">
        <v>51</v>
      </c>
      <c r="Q573" s="77"/>
      <c r="R573" s="77"/>
      <c r="S573" s="77"/>
      <c r="T573" s="77"/>
      <c r="U573" s="77"/>
      <c r="V573" s="77"/>
      <c r="W573" s="77"/>
      <c r="X573" s="77"/>
    </row>
    <row r="574" spans="2:24">
      <c r="B574" s="15">
        <v>1.7500000000000002E-2</v>
      </c>
      <c r="C574" s="8">
        <v>193</v>
      </c>
      <c r="D574" s="7">
        <f t="shared" si="58"/>
        <v>3.3775000000000004</v>
      </c>
      <c r="E574" s="7">
        <f t="shared" si="59"/>
        <v>3.0625000000000004E-4</v>
      </c>
      <c r="F574" s="7">
        <f t="shared" si="60"/>
        <v>37249</v>
      </c>
      <c r="G574" s="7">
        <f t="shared" si="61"/>
        <v>504.17939999999999</v>
      </c>
      <c r="H574" s="7">
        <f t="shared" si="62"/>
        <v>311.17939999999999</v>
      </c>
      <c r="I574" s="7">
        <f t="shared" si="63"/>
        <v>96832.618984359986</v>
      </c>
      <c r="J574" s="77"/>
      <c r="K574" s="76" t="s">
        <v>56</v>
      </c>
      <c r="L574" s="18" t="s">
        <v>45</v>
      </c>
      <c r="M574" s="18">
        <v>1</v>
      </c>
      <c r="N574" s="18">
        <f>L567</f>
        <v>245243323.1543</v>
      </c>
      <c r="O574" s="18">
        <f>N574/M574</f>
        <v>245243323.1543</v>
      </c>
      <c r="P574" s="18">
        <f>O574/O575</f>
        <v>713.87453231772349</v>
      </c>
      <c r="Q574" s="77"/>
      <c r="R574" s="77"/>
      <c r="S574" s="77"/>
      <c r="T574" s="77"/>
      <c r="U574" s="77"/>
      <c r="V574" s="77"/>
      <c r="W574" s="77"/>
      <c r="X574" s="77"/>
    </row>
    <row r="575" spans="2:24">
      <c r="B575" s="15">
        <v>1.41E-2</v>
      </c>
      <c r="C575" s="8">
        <v>159</v>
      </c>
      <c r="D575" s="7">
        <f t="shared" si="58"/>
        <v>2.2418999999999998</v>
      </c>
      <c r="E575" s="7">
        <f t="shared" si="59"/>
        <v>1.9881E-4</v>
      </c>
      <c r="F575" s="7">
        <f t="shared" si="60"/>
        <v>25281</v>
      </c>
      <c r="G575" s="7">
        <f t="shared" si="61"/>
        <v>398.78019999999998</v>
      </c>
      <c r="H575" s="7">
        <f t="shared" si="62"/>
        <v>239.78020000000001</v>
      </c>
      <c r="I575" s="7">
        <f t="shared" si="63"/>
        <v>57494.544312040001</v>
      </c>
      <c r="J575" s="77"/>
      <c r="K575" s="76" t="s">
        <v>57</v>
      </c>
      <c r="L575" s="18" t="s">
        <v>46</v>
      </c>
      <c r="M575" s="77">
        <v>118</v>
      </c>
      <c r="N575" s="18">
        <f>L566</f>
        <v>40537532.608499996</v>
      </c>
      <c r="O575" s="18">
        <f>N575/M575</f>
        <v>343538.41193644062</v>
      </c>
      <c r="P575" s="18"/>
      <c r="Q575" s="77"/>
      <c r="R575" s="77"/>
      <c r="S575" s="77"/>
      <c r="T575" s="77"/>
      <c r="U575" s="77"/>
      <c r="V575" s="77"/>
      <c r="W575" s="77"/>
      <c r="X575" s="77"/>
    </row>
    <row r="576" spans="2:24" ht="13.5" thickBot="1">
      <c r="B576" s="15">
        <v>1.41E-2</v>
      </c>
      <c r="C576" s="8">
        <v>874</v>
      </c>
      <c r="D576" s="7">
        <f t="shared" si="58"/>
        <v>12.323399999999999</v>
      </c>
      <c r="E576" s="7">
        <f t="shared" si="59"/>
        <v>1.9881E-4</v>
      </c>
      <c r="F576" s="7">
        <f t="shared" si="60"/>
        <v>763876</v>
      </c>
      <c r="G576" s="7">
        <f t="shared" si="61"/>
        <v>398.78019999999998</v>
      </c>
      <c r="H576" s="7">
        <f t="shared" si="62"/>
        <v>-475.21980000000002</v>
      </c>
      <c r="I576" s="7">
        <f t="shared" si="63"/>
        <v>225833.85831204001</v>
      </c>
      <c r="J576" s="77"/>
      <c r="K576" s="24" t="s">
        <v>58</v>
      </c>
      <c r="L576" s="19" t="s">
        <v>47</v>
      </c>
      <c r="M576" s="28">
        <v>119</v>
      </c>
      <c r="N576" s="19">
        <f>L568</f>
        <v>285780855.92500001</v>
      </c>
      <c r="O576" s="19"/>
      <c r="P576" s="19"/>
      <c r="Q576" s="77"/>
      <c r="R576" s="77"/>
      <c r="S576" s="77"/>
      <c r="T576" s="77"/>
      <c r="U576" s="77"/>
      <c r="V576" s="77"/>
      <c r="W576" s="77"/>
      <c r="X576" s="77"/>
    </row>
    <row r="577" spans="2:24">
      <c r="B577" s="15">
        <v>1.2500000000000001E-2</v>
      </c>
      <c r="C577" s="8">
        <v>663</v>
      </c>
      <c r="D577" s="7">
        <f t="shared" ref="D577:D631" si="64">B577*C577</f>
        <v>8.2874999999999996</v>
      </c>
      <c r="E577" s="7">
        <f t="shared" ref="E577:E631" si="65">B577^2</f>
        <v>1.5625000000000003E-4</v>
      </c>
      <c r="F577" s="7">
        <f t="shared" ref="F577:F631" si="66">C577^2</f>
        <v>439569</v>
      </c>
      <c r="G577" s="7">
        <f t="shared" ref="G577:G631" si="67">ROUND($M$559+$M$556*B577,4)</f>
        <v>349.18049999999999</v>
      </c>
      <c r="H577" s="7">
        <f t="shared" ref="H577:H631" si="68">ROUND(G577-C577,4)</f>
        <v>-313.81950000000001</v>
      </c>
      <c r="I577" s="7">
        <f t="shared" ref="I577:I631" si="69">H577^2</f>
        <v>98482.678580250009</v>
      </c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</row>
    <row r="578" spans="2:24">
      <c r="B578" s="15">
        <v>1.1299999999999999E-2</v>
      </c>
      <c r="C578" s="8">
        <v>602</v>
      </c>
      <c r="D578" s="7">
        <f t="shared" si="64"/>
        <v>6.8026</v>
      </c>
      <c r="E578" s="7">
        <f t="shared" si="65"/>
        <v>1.2768999999999999E-4</v>
      </c>
      <c r="F578" s="7">
        <f t="shared" si="66"/>
        <v>362404</v>
      </c>
      <c r="G578" s="7">
        <f t="shared" si="67"/>
        <v>311.98079999999999</v>
      </c>
      <c r="H578" s="7">
        <f t="shared" si="68"/>
        <v>-290.01920000000001</v>
      </c>
      <c r="I578" s="7">
        <f t="shared" si="69"/>
        <v>84111.13636864</v>
      </c>
      <c r="J578" s="77"/>
      <c r="K578" s="73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</row>
    <row r="579" spans="2:24">
      <c r="B579" s="15">
        <v>1.0200000000000001E-2</v>
      </c>
      <c r="C579" s="8">
        <v>694</v>
      </c>
      <c r="D579" s="7">
        <f t="shared" si="64"/>
        <v>7.0788000000000002</v>
      </c>
      <c r="E579" s="7">
        <f t="shared" si="65"/>
        <v>1.0404000000000001E-4</v>
      </c>
      <c r="F579" s="7">
        <f t="shared" si="66"/>
        <v>481636</v>
      </c>
      <c r="G579" s="7">
        <f t="shared" si="67"/>
        <v>277.8811</v>
      </c>
      <c r="H579" s="7">
        <f t="shared" si="68"/>
        <v>-416.1189</v>
      </c>
      <c r="I579" s="7">
        <f t="shared" si="69"/>
        <v>173154.93893720998</v>
      </c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</row>
    <row r="580" spans="2:24">
      <c r="B580" s="15">
        <v>1.09E-2</v>
      </c>
      <c r="C580" s="8">
        <v>601</v>
      </c>
      <c r="D580" s="7">
        <f t="shared" si="64"/>
        <v>6.5509000000000004</v>
      </c>
      <c r="E580" s="7">
        <f t="shared" si="65"/>
        <v>1.1881E-4</v>
      </c>
      <c r="F580" s="7">
        <f t="shared" si="66"/>
        <v>361201</v>
      </c>
      <c r="G580" s="7">
        <f t="shared" si="67"/>
        <v>299.58089999999999</v>
      </c>
      <c r="H580" s="7">
        <f t="shared" si="68"/>
        <v>-301.41910000000001</v>
      </c>
      <c r="I580" s="7">
        <f t="shared" si="69"/>
        <v>90853.473844810011</v>
      </c>
      <c r="J580" s="77"/>
      <c r="K580" s="14"/>
      <c r="L580" s="14"/>
      <c r="M580" s="14"/>
      <c r="N580" s="14"/>
      <c r="O580" s="14"/>
      <c r="P580" s="77"/>
      <c r="Q580" s="77"/>
      <c r="R580" s="77"/>
      <c r="S580" s="77"/>
      <c r="T580" s="77"/>
      <c r="U580" s="77"/>
      <c r="V580" s="77"/>
      <c r="W580" s="77"/>
      <c r="X580" s="77"/>
    </row>
    <row r="581" spans="2:24">
      <c r="B581" s="15">
        <v>1.1900000000000001E-2</v>
      </c>
      <c r="C581" s="8">
        <v>566</v>
      </c>
      <c r="D581" s="7">
        <f t="shared" si="64"/>
        <v>6.7354000000000003</v>
      </c>
      <c r="E581" s="7">
        <f t="shared" si="65"/>
        <v>1.4161000000000002E-4</v>
      </c>
      <c r="F581" s="7">
        <f t="shared" si="66"/>
        <v>320356</v>
      </c>
      <c r="G581" s="7">
        <f t="shared" si="67"/>
        <v>330.58069999999998</v>
      </c>
      <c r="H581" s="7">
        <f t="shared" si="68"/>
        <v>-235.41929999999999</v>
      </c>
      <c r="I581" s="7">
        <f t="shared" si="69"/>
        <v>55422.246812489997</v>
      </c>
      <c r="J581" s="77"/>
      <c r="K581" s="29" t="s">
        <v>80</v>
      </c>
      <c r="L581" s="14">
        <v>0.05</v>
      </c>
      <c r="M581" s="14"/>
      <c r="N581" s="14"/>
      <c r="O581" s="14"/>
      <c r="P581" s="77"/>
      <c r="Q581" s="77"/>
      <c r="R581" s="77"/>
      <c r="S581" s="77"/>
      <c r="T581" s="77"/>
      <c r="U581" s="77"/>
      <c r="V581" s="77"/>
      <c r="W581" s="77"/>
      <c r="X581" s="77"/>
    </row>
    <row r="582" spans="2:24">
      <c r="B582" s="15">
        <v>1.2999999999999999E-2</v>
      </c>
      <c r="C582" s="8">
        <v>271</v>
      </c>
      <c r="D582" s="7">
        <f t="shared" si="64"/>
        <v>3.5229999999999997</v>
      </c>
      <c r="E582" s="7">
        <f t="shared" si="65"/>
        <v>1.6899999999999999E-4</v>
      </c>
      <c r="F582" s="7">
        <f t="shared" si="66"/>
        <v>73441</v>
      </c>
      <c r="G582" s="7">
        <f t="shared" si="67"/>
        <v>364.68040000000002</v>
      </c>
      <c r="H582" s="7">
        <f t="shared" si="68"/>
        <v>93.680400000000006</v>
      </c>
      <c r="I582" s="7">
        <f t="shared" si="69"/>
        <v>8776.0173441600018</v>
      </c>
      <c r="J582" s="77"/>
      <c r="K582" s="14"/>
      <c r="L582" s="14"/>
      <c r="M582" s="14"/>
      <c r="N582" s="14"/>
      <c r="O582" s="14"/>
      <c r="P582" s="77"/>
      <c r="Q582" s="77"/>
      <c r="R582" s="77"/>
      <c r="S582" s="77"/>
      <c r="T582" s="77"/>
      <c r="U582" s="77"/>
      <c r="V582" s="77"/>
      <c r="W582" s="77"/>
      <c r="X582" s="77"/>
    </row>
    <row r="583" spans="2:24">
      <c r="B583" s="15">
        <v>1.24E-2</v>
      </c>
      <c r="C583" s="8">
        <v>408</v>
      </c>
      <c r="D583" s="7">
        <f t="shared" si="64"/>
        <v>5.0591999999999997</v>
      </c>
      <c r="E583" s="7">
        <f t="shared" si="65"/>
        <v>1.5375999999999999E-4</v>
      </c>
      <c r="F583" s="7">
        <f t="shared" si="66"/>
        <v>166464</v>
      </c>
      <c r="G583" s="7">
        <f t="shared" si="67"/>
        <v>346.0806</v>
      </c>
      <c r="H583" s="7">
        <f t="shared" si="68"/>
        <v>-61.919400000000003</v>
      </c>
      <c r="I583" s="7">
        <f t="shared" si="69"/>
        <v>3834.0120963600002</v>
      </c>
      <c r="J583" s="77"/>
      <c r="K583" s="14"/>
      <c r="L583" s="14"/>
      <c r="M583" s="14"/>
      <c r="N583" s="14"/>
      <c r="O583" s="14"/>
      <c r="P583" s="77"/>
      <c r="Q583" s="77"/>
      <c r="R583" s="77"/>
      <c r="S583" s="77"/>
      <c r="T583" s="77"/>
      <c r="U583" s="77"/>
      <c r="V583" s="77"/>
      <c r="W583" s="77"/>
      <c r="X583" s="77"/>
    </row>
    <row r="584" spans="2:24">
      <c r="B584" s="15">
        <v>1.34E-2</v>
      </c>
      <c r="C584" s="8">
        <v>684</v>
      </c>
      <c r="D584" s="7">
        <f t="shared" si="64"/>
        <v>9.1655999999999995</v>
      </c>
      <c r="E584" s="7">
        <f t="shared" si="65"/>
        <v>1.7956000000000002E-4</v>
      </c>
      <c r="F584" s="7">
        <f t="shared" si="66"/>
        <v>467856</v>
      </c>
      <c r="G584" s="7">
        <f t="shared" si="67"/>
        <v>377.08030000000002</v>
      </c>
      <c r="H584" s="7">
        <f t="shared" si="68"/>
        <v>-306.91969999999998</v>
      </c>
      <c r="I584" s="7">
        <f t="shared" si="69"/>
        <v>94199.70224808999</v>
      </c>
      <c r="J584" s="77"/>
      <c r="K584" s="14"/>
      <c r="L584" s="14"/>
      <c r="M584" s="14"/>
      <c r="N584" s="14"/>
      <c r="O584" s="14"/>
      <c r="P584" s="77"/>
      <c r="Q584" s="77"/>
      <c r="R584" s="77"/>
      <c r="S584" s="77"/>
      <c r="T584" s="77"/>
      <c r="U584" s="77"/>
      <c r="V584" s="77"/>
      <c r="W584" s="77"/>
      <c r="X584" s="77"/>
    </row>
    <row r="585" spans="2:24">
      <c r="B585" s="15">
        <v>1.3899999999999999E-2</v>
      </c>
      <c r="C585" s="8">
        <v>501</v>
      </c>
      <c r="D585" s="7">
        <f t="shared" si="64"/>
        <v>6.9638999999999998</v>
      </c>
      <c r="E585" s="7">
        <f t="shared" si="65"/>
        <v>1.9320999999999997E-4</v>
      </c>
      <c r="F585" s="7">
        <f t="shared" si="66"/>
        <v>251001</v>
      </c>
      <c r="G585" s="7">
        <f t="shared" si="67"/>
        <v>392.58019999999999</v>
      </c>
      <c r="H585" s="7">
        <f t="shared" si="68"/>
        <v>-108.4198</v>
      </c>
      <c r="I585" s="7">
        <f t="shared" si="69"/>
        <v>11754.853032039999</v>
      </c>
      <c r="J585" s="77"/>
      <c r="K585" s="29" t="s">
        <v>133</v>
      </c>
      <c r="L585" s="14">
        <f>P574</f>
        <v>713.87453231772349</v>
      </c>
      <c r="M585" s="14"/>
      <c r="N585" s="14"/>
      <c r="O585" s="14"/>
      <c r="P585" s="77"/>
      <c r="Q585" s="77"/>
      <c r="R585" s="77"/>
      <c r="S585" s="77"/>
      <c r="T585" s="77"/>
      <c r="U585" s="77"/>
      <c r="V585" s="77"/>
      <c r="W585" s="77"/>
      <c r="X585" s="77"/>
    </row>
    <row r="586" spans="2:24">
      <c r="B586" s="15">
        <v>1.4E-2</v>
      </c>
      <c r="C586" s="8">
        <v>553</v>
      </c>
      <c r="D586" s="7">
        <f t="shared" si="64"/>
        <v>7.742</v>
      </c>
      <c r="E586" s="7">
        <f t="shared" si="65"/>
        <v>1.9600000000000002E-4</v>
      </c>
      <c r="F586" s="7">
        <f t="shared" si="66"/>
        <v>305809</v>
      </c>
      <c r="G586" s="7">
        <f t="shared" si="67"/>
        <v>395.68020000000001</v>
      </c>
      <c r="H586" s="7">
        <f t="shared" si="68"/>
        <v>-157.31979999999999</v>
      </c>
      <c r="I586" s="7">
        <f t="shared" si="69"/>
        <v>24749.519472039996</v>
      </c>
      <c r="J586" s="77"/>
      <c r="K586" s="14"/>
      <c r="L586" s="14"/>
      <c r="M586" s="14"/>
      <c r="N586" s="14"/>
      <c r="O586" s="14"/>
      <c r="P586" s="77"/>
      <c r="Q586" s="77"/>
      <c r="R586" s="77"/>
      <c r="S586" s="77"/>
      <c r="T586" s="77"/>
      <c r="U586" s="77"/>
      <c r="V586" s="77"/>
      <c r="W586" s="77"/>
      <c r="X586" s="77"/>
    </row>
    <row r="587" spans="2:24">
      <c r="B587" s="15">
        <v>1.4200000000000001E-2</v>
      </c>
      <c r="C587" s="8">
        <v>649</v>
      </c>
      <c r="D587" s="7">
        <f t="shared" si="64"/>
        <v>9.2157999999999998</v>
      </c>
      <c r="E587" s="7">
        <f t="shared" si="65"/>
        <v>2.0164000000000003E-4</v>
      </c>
      <c r="F587" s="7">
        <f t="shared" si="66"/>
        <v>421201</v>
      </c>
      <c r="G587" s="7">
        <f t="shared" si="67"/>
        <v>401.88010000000003</v>
      </c>
      <c r="H587" s="7">
        <f t="shared" si="68"/>
        <v>-247.1199</v>
      </c>
      <c r="I587" s="7">
        <f t="shared" si="69"/>
        <v>61068.244976009999</v>
      </c>
      <c r="J587" s="77"/>
      <c r="K587" s="14"/>
      <c r="L587" s="14"/>
      <c r="M587" s="14"/>
      <c r="N587" s="14"/>
      <c r="O587" s="14"/>
      <c r="P587" s="77"/>
      <c r="Q587" s="77"/>
      <c r="R587" s="77"/>
      <c r="S587" s="77"/>
      <c r="T587" s="77"/>
      <c r="U587" s="77"/>
      <c r="V587" s="77"/>
      <c r="W587" s="77"/>
      <c r="X587" s="77"/>
    </row>
    <row r="588" spans="2:24">
      <c r="B588" s="15">
        <v>1.3599999999999999E-2</v>
      </c>
      <c r="C588" s="8">
        <v>441</v>
      </c>
      <c r="D588" s="7">
        <f t="shared" si="64"/>
        <v>5.9975999999999994</v>
      </c>
      <c r="E588" s="7">
        <f t="shared" si="65"/>
        <v>1.8495999999999999E-4</v>
      </c>
      <c r="F588" s="7">
        <f t="shared" si="66"/>
        <v>194481</v>
      </c>
      <c r="G588" s="7">
        <f t="shared" si="67"/>
        <v>383.28030000000001</v>
      </c>
      <c r="H588" s="7">
        <f t="shared" si="68"/>
        <v>-57.719700000000003</v>
      </c>
      <c r="I588" s="7">
        <f t="shared" si="69"/>
        <v>3331.5637680900004</v>
      </c>
      <c r="J588" s="77"/>
      <c r="K588" s="14" t="str">
        <f>"f(0,05);("&amp;M574&amp;","&amp;M575&amp;")="</f>
        <v>f(0,05);(1,118)=</v>
      </c>
      <c r="L588" s="14">
        <f>ROUND(_xlfn.F.INV.RT(L581,M574,M575),4)</f>
        <v>3.9215</v>
      </c>
      <c r="M588" s="14"/>
      <c r="N588" s="14"/>
      <c r="O588" s="14"/>
      <c r="P588" s="77"/>
      <c r="Q588" s="77"/>
      <c r="R588" s="77"/>
      <c r="S588" s="77"/>
      <c r="T588" s="77"/>
      <c r="U588" s="77"/>
      <c r="V588" s="77"/>
      <c r="W588" s="77"/>
      <c r="X588" s="77"/>
    </row>
    <row r="589" spans="2:24">
      <c r="B589" s="15">
        <v>1.1599999999999999E-2</v>
      </c>
      <c r="C589" s="8">
        <v>220</v>
      </c>
      <c r="D589" s="7">
        <f t="shared" si="64"/>
        <v>2.5519999999999996</v>
      </c>
      <c r="E589" s="7">
        <f t="shared" si="65"/>
        <v>1.3455999999999999E-4</v>
      </c>
      <c r="F589" s="7">
        <f t="shared" si="66"/>
        <v>48400</v>
      </c>
      <c r="G589" s="7">
        <f t="shared" si="67"/>
        <v>321.2808</v>
      </c>
      <c r="H589" s="7">
        <f t="shared" si="68"/>
        <v>101.2808</v>
      </c>
      <c r="I589" s="7">
        <f t="shared" si="69"/>
        <v>10257.80044864</v>
      </c>
      <c r="J589" s="77"/>
      <c r="K589" s="14"/>
      <c r="L589" s="14"/>
      <c r="M589" s="14"/>
      <c r="N589" s="14"/>
      <c r="O589" s="14"/>
      <c r="P589" s="77"/>
      <c r="Q589" s="77"/>
      <c r="R589" s="77"/>
      <c r="S589" s="77"/>
      <c r="T589" s="77"/>
      <c r="U589" s="77"/>
      <c r="V589" s="77"/>
      <c r="W589" s="77"/>
      <c r="X589" s="77"/>
    </row>
    <row r="590" spans="2:24">
      <c r="B590" s="15">
        <v>9.9000000000000008E-3</v>
      </c>
      <c r="C590" s="8">
        <v>424</v>
      </c>
      <c r="D590" s="7">
        <f t="shared" si="64"/>
        <v>4.1976000000000004</v>
      </c>
      <c r="E590" s="7">
        <f t="shared" si="65"/>
        <v>9.8010000000000019E-5</v>
      </c>
      <c r="F590" s="7">
        <f t="shared" si="66"/>
        <v>179776</v>
      </c>
      <c r="G590" s="7">
        <f t="shared" si="67"/>
        <v>268.58120000000002</v>
      </c>
      <c r="H590" s="7">
        <f t="shared" si="68"/>
        <v>-155.4188</v>
      </c>
      <c r="I590" s="7">
        <f t="shared" si="69"/>
        <v>24155.003393440002</v>
      </c>
      <c r="J590" s="77"/>
      <c r="K590" s="14" t="str">
        <f>IF(L588&lt;=L585, "R: Como  " &amp;ROUND(L588,4) &amp;" &lt; "&amp;ROUND(L585,4)&amp;" o modelo é significativo","R: Como  " &amp;ROUND(L588,4) &amp;" &gt; "&amp;ROUND(L585,4)&amp;" o modelo não é significativo" )</f>
        <v>R: Como  3,9215 &lt; 713,8745 o modelo é significativo</v>
      </c>
      <c r="L590" s="14"/>
      <c r="M590" s="14"/>
      <c r="N590" s="14"/>
      <c r="O590" s="14"/>
      <c r="P590" s="77"/>
      <c r="Q590" s="77"/>
      <c r="R590" s="77"/>
      <c r="S590" s="77"/>
      <c r="T590" s="77"/>
      <c r="U590" s="77"/>
      <c r="V590" s="77"/>
      <c r="W590" s="77"/>
      <c r="X590" s="77"/>
    </row>
    <row r="591" spans="2:24">
      <c r="B591" s="15">
        <v>8.3000000000000001E-3</v>
      </c>
      <c r="C591" s="8">
        <v>610</v>
      </c>
      <c r="D591" s="7">
        <f t="shared" si="64"/>
        <v>5.0629999999999997</v>
      </c>
      <c r="E591" s="7">
        <f t="shared" si="65"/>
        <v>6.8889999999999999E-5</v>
      </c>
      <c r="F591" s="7">
        <f t="shared" si="66"/>
        <v>372100</v>
      </c>
      <c r="G591" s="7">
        <f t="shared" si="67"/>
        <v>218.98150000000001</v>
      </c>
      <c r="H591" s="7">
        <f t="shared" si="68"/>
        <v>-391.01850000000002</v>
      </c>
      <c r="I591" s="7">
        <f t="shared" si="69"/>
        <v>152895.46734225002</v>
      </c>
    </row>
    <row r="592" spans="2:24">
      <c r="B592" s="15">
        <v>7.6E-3</v>
      </c>
      <c r="C592" s="8">
        <v>636</v>
      </c>
      <c r="D592" s="7">
        <f t="shared" si="64"/>
        <v>4.8335999999999997</v>
      </c>
      <c r="E592" s="7">
        <f t="shared" si="65"/>
        <v>5.7760000000000003E-5</v>
      </c>
      <c r="F592" s="7">
        <f t="shared" si="66"/>
        <v>404496</v>
      </c>
      <c r="G592" s="7">
        <f t="shared" si="67"/>
        <v>197.2817</v>
      </c>
      <c r="H592" s="7">
        <f t="shared" si="68"/>
        <v>-438.7183</v>
      </c>
      <c r="I592" s="7">
        <f t="shared" si="69"/>
        <v>192473.74675488999</v>
      </c>
    </row>
    <row r="593" spans="2:9">
      <c r="B593" s="15">
        <v>6.8999999999999999E-3</v>
      </c>
      <c r="C593" s="8">
        <v>506</v>
      </c>
      <c r="D593" s="7">
        <f t="shared" si="64"/>
        <v>3.4914000000000001</v>
      </c>
      <c r="E593" s="7">
        <f t="shared" si="65"/>
        <v>4.761E-5</v>
      </c>
      <c r="F593" s="7">
        <f t="shared" si="66"/>
        <v>256036</v>
      </c>
      <c r="G593" s="7">
        <f t="shared" si="67"/>
        <v>175.58189999999999</v>
      </c>
      <c r="H593" s="7">
        <f t="shared" si="68"/>
        <v>-330.41809999999998</v>
      </c>
      <c r="I593" s="7">
        <f t="shared" si="69"/>
        <v>109176.12080760999</v>
      </c>
    </row>
    <row r="594" spans="2:9">
      <c r="B594" s="15">
        <v>6.6E-3</v>
      </c>
      <c r="C594" s="8">
        <v>567</v>
      </c>
      <c r="D594" s="7">
        <f t="shared" si="64"/>
        <v>3.7422</v>
      </c>
      <c r="E594" s="7">
        <f t="shared" si="65"/>
        <v>4.3559999999999996E-5</v>
      </c>
      <c r="F594" s="7">
        <f t="shared" si="66"/>
        <v>321489</v>
      </c>
      <c r="G594" s="7">
        <f t="shared" si="67"/>
        <v>166.28190000000001</v>
      </c>
      <c r="H594" s="7">
        <f t="shared" si="68"/>
        <v>-400.71809999999999</v>
      </c>
      <c r="I594" s="7">
        <f t="shared" si="69"/>
        <v>160574.99566761</v>
      </c>
    </row>
    <row r="595" spans="2:9">
      <c r="B595" s="15">
        <v>6.7000000000000002E-3</v>
      </c>
      <c r="C595" s="8">
        <v>478</v>
      </c>
      <c r="D595" s="7">
        <f t="shared" si="64"/>
        <v>3.2025999999999999</v>
      </c>
      <c r="E595" s="7">
        <f t="shared" si="65"/>
        <v>4.4890000000000006E-5</v>
      </c>
      <c r="F595" s="7">
        <f t="shared" si="66"/>
        <v>228484</v>
      </c>
      <c r="G595" s="7">
        <f t="shared" si="67"/>
        <v>169.3819</v>
      </c>
      <c r="H595" s="7">
        <f t="shared" si="68"/>
        <v>-308.61810000000003</v>
      </c>
      <c r="I595" s="7">
        <f t="shared" si="69"/>
        <v>95245.131647610018</v>
      </c>
    </row>
    <row r="596" spans="2:9">
      <c r="B596" s="15">
        <v>7.0000000000000001E-3</v>
      </c>
      <c r="C596" s="8">
        <v>196</v>
      </c>
      <c r="D596" s="7">
        <f t="shared" si="64"/>
        <v>1.3720000000000001</v>
      </c>
      <c r="E596" s="7">
        <f t="shared" si="65"/>
        <v>4.9000000000000005E-5</v>
      </c>
      <c r="F596" s="7">
        <f t="shared" si="66"/>
        <v>38416</v>
      </c>
      <c r="G596" s="7">
        <f t="shared" si="67"/>
        <v>178.68180000000001</v>
      </c>
      <c r="H596" s="7">
        <f t="shared" si="68"/>
        <v>-17.318200000000001</v>
      </c>
      <c r="I596" s="7">
        <f t="shared" si="69"/>
        <v>299.92005124000002</v>
      </c>
    </row>
    <row r="597" spans="2:9">
      <c r="B597" s="15">
        <v>7.4000000000000003E-3</v>
      </c>
      <c r="C597" s="8">
        <v>353</v>
      </c>
      <c r="D597" s="7">
        <f t="shared" si="64"/>
        <v>2.6122000000000001</v>
      </c>
      <c r="E597" s="7">
        <f t="shared" si="65"/>
        <v>5.4760000000000004E-5</v>
      </c>
      <c r="F597" s="7">
        <f t="shared" si="66"/>
        <v>124609</v>
      </c>
      <c r="G597" s="7">
        <f t="shared" si="67"/>
        <v>191.08170000000001</v>
      </c>
      <c r="H597" s="7">
        <f t="shared" si="68"/>
        <v>-161.91829999999999</v>
      </c>
      <c r="I597" s="7">
        <f t="shared" si="69"/>
        <v>26217.535874889996</v>
      </c>
    </row>
    <row r="598" spans="2:9">
      <c r="B598" s="15">
        <v>8.0999999999999996E-3</v>
      </c>
      <c r="C598" s="8">
        <v>572</v>
      </c>
      <c r="D598" s="7">
        <f t="shared" si="64"/>
        <v>4.6331999999999995</v>
      </c>
      <c r="E598" s="7">
        <f t="shared" si="65"/>
        <v>6.560999999999999E-5</v>
      </c>
      <c r="F598" s="7">
        <f t="shared" si="66"/>
        <v>327184</v>
      </c>
      <c r="G598" s="7">
        <f t="shared" si="67"/>
        <v>212.7816</v>
      </c>
      <c r="H598" s="7">
        <f t="shared" si="68"/>
        <v>-359.21839999999997</v>
      </c>
      <c r="I598" s="7">
        <f t="shared" si="69"/>
        <v>129037.85889855998</v>
      </c>
    </row>
    <row r="599" spans="2:9">
      <c r="B599" s="15">
        <v>8.6999999999999994E-3</v>
      </c>
      <c r="C599" s="8">
        <v>470</v>
      </c>
      <c r="D599" s="7">
        <f t="shared" si="64"/>
        <v>4.0889999999999995</v>
      </c>
      <c r="E599" s="7">
        <f t="shared" si="65"/>
        <v>7.5689999999999989E-5</v>
      </c>
      <c r="F599" s="7">
        <f t="shared" si="66"/>
        <v>220900</v>
      </c>
      <c r="G599" s="7">
        <f t="shared" si="67"/>
        <v>231.38140000000001</v>
      </c>
      <c r="H599" s="7">
        <f t="shared" si="68"/>
        <v>-238.61859999999999</v>
      </c>
      <c r="I599" s="7">
        <f t="shared" si="69"/>
        <v>56938.836265959995</v>
      </c>
    </row>
    <row r="600" spans="2:9">
      <c r="B600" s="15">
        <v>9.1000000000000004E-3</v>
      </c>
      <c r="C600" s="8">
        <v>460</v>
      </c>
      <c r="D600" s="7">
        <f t="shared" si="64"/>
        <v>4.1859999999999999</v>
      </c>
      <c r="E600" s="7">
        <f t="shared" si="65"/>
        <v>8.2810000000000002E-5</v>
      </c>
      <c r="F600" s="7">
        <f t="shared" si="66"/>
        <v>211600</v>
      </c>
      <c r="G600" s="7">
        <f t="shared" si="67"/>
        <v>243.78129999999999</v>
      </c>
      <c r="H600" s="7">
        <f t="shared" si="68"/>
        <v>-216.21870000000001</v>
      </c>
      <c r="I600" s="7">
        <f t="shared" si="69"/>
        <v>46750.526229690004</v>
      </c>
    </row>
    <row r="601" spans="2:9">
      <c r="B601" s="15">
        <v>9.1000000000000004E-3</v>
      </c>
      <c r="C601" s="8">
        <v>454</v>
      </c>
      <c r="D601" s="7">
        <f t="shared" si="64"/>
        <v>4.1314000000000002</v>
      </c>
      <c r="E601" s="7">
        <f t="shared" si="65"/>
        <v>8.2810000000000002E-5</v>
      </c>
      <c r="F601" s="7">
        <f t="shared" si="66"/>
        <v>206116</v>
      </c>
      <c r="G601" s="7">
        <f t="shared" si="67"/>
        <v>243.78129999999999</v>
      </c>
      <c r="H601" s="7">
        <f t="shared" si="68"/>
        <v>-210.21870000000001</v>
      </c>
      <c r="I601" s="7">
        <f t="shared" si="69"/>
        <v>44191.901829690003</v>
      </c>
    </row>
    <row r="602" spans="2:9">
      <c r="B602" s="15">
        <v>8.6E-3</v>
      </c>
      <c r="C602" s="8">
        <v>330</v>
      </c>
      <c r="D602" s="7">
        <f t="shared" si="64"/>
        <v>2.8380000000000001</v>
      </c>
      <c r="E602" s="7">
        <f t="shared" si="65"/>
        <v>7.3960000000000003E-5</v>
      </c>
      <c r="F602" s="7">
        <f t="shared" si="66"/>
        <v>108900</v>
      </c>
      <c r="G602" s="7">
        <f t="shared" si="67"/>
        <v>228.28149999999999</v>
      </c>
      <c r="H602" s="7">
        <f t="shared" si="68"/>
        <v>-101.71850000000001</v>
      </c>
      <c r="I602" s="7">
        <f t="shared" si="69"/>
        <v>10346.65324225</v>
      </c>
    </row>
    <row r="603" spans="2:9">
      <c r="B603" s="15">
        <v>8.6E-3</v>
      </c>
      <c r="C603" s="8">
        <v>180</v>
      </c>
      <c r="D603" s="7">
        <f t="shared" si="64"/>
        <v>1.548</v>
      </c>
      <c r="E603" s="7">
        <f t="shared" si="65"/>
        <v>7.3960000000000003E-5</v>
      </c>
      <c r="F603" s="7">
        <f t="shared" si="66"/>
        <v>32400</v>
      </c>
      <c r="G603" s="7">
        <f t="shared" si="67"/>
        <v>228.28149999999999</v>
      </c>
      <c r="H603" s="7">
        <f t="shared" si="68"/>
        <v>48.281500000000001</v>
      </c>
      <c r="I603" s="7">
        <f t="shared" si="69"/>
        <v>2331.1032422500002</v>
      </c>
    </row>
    <row r="604" spans="2:9">
      <c r="B604" s="15">
        <v>8.3999999999999995E-3</v>
      </c>
      <c r="C604" s="8">
        <v>258</v>
      </c>
      <c r="D604" s="7">
        <f t="shared" si="64"/>
        <v>2.1671999999999998</v>
      </c>
      <c r="E604" s="7">
        <f t="shared" si="65"/>
        <v>7.0559999999999989E-5</v>
      </c>
      <c r="F604" s="7">
        <f t="shared" si="66"/>
        <v>66564</v>
      </c>
      <c r="G604" s="7">
        <f t="shared" si="67"/>
        <v>222.08150000000001</v>
      </c>
      <c r="H604" s="7">
        <f t="shared" si="68"/>
        <v>-35.918500000000002</v>
      </c>
      <c r="I604" s="7">
        <f t="shared" si="69"/>
        <v>1290.1386422500002</v>
      </c>
    </row>
    <row r="605" spans="2:9">
      <c r="B605" s="15">
        <v>7.9000000000000008E-3</v>
      </c>
      <c r="C605" s="8">
        <v>387</v>
      </c>
      <c r="D605" s="7">
        <f t="shared" si="64"/>
        <v>3.0573000000000001</v>
      </c>
      <c r="E605" s="7">
        <f t="shared" si="65"/>
        <v>6.2410000000000007E-5</v>
      </c>
      <c r="F605" s="7">
        <f t="shared" si="66"/>
        <v>149769</v>
      </c>
      <c r="G605" s="7">
        <f t="shared" si="67"/>
        <v>206.58160000000001</v>
      </c>
      <c r="H605" s="7">
        <f t="shared" si="68"/>
        <v>-180.41839999999999</v>
      </c>
      <c r="I605" s="7">
        <f t="shared" si="69"/>
        <v>32550.799058559998</v>
      </c>
    </row>
    <row r="606" spans="2:9">
      <c r="B606" s="15">
        <v>7.7000000000000002E-3</v>
      </c>
      <c r="C606" s="8">
        <v>373</v>
      </c>
      <c r="D606" s="7">
        <f t="shared" si="64"/>
        <v>2.8721000000000001</v>
      </c>
      <c r="E606" s="7">
        <f t="shared" si="65"/>
        <v>5.9290000000000003E-5</v>
      </c>
      <c r="F606" s="7">
        <f t="shared" si="66"/>
        <v>139129</v>
      </c>
      <c r="G606" s="7">
        <f t="shared" si="67"/>
        <v>200.3817</v>
      </c>
      <c r="H606" s="7">
        <f t="shared" si="68"/>
        <v>-172.6183</v>
      </c>
      <c r="I606" s="7">
        <f t="shared" si="69"/>
        <v>29797.077494890003</v>
      </c>
    </row>
    <row r="607" spans="2:9">
      <c r="B607" s="15">
        <v>7.9000000000000008E-3</v>
      </c>
      <c r="C607" s="8">
        <v>377</v>
      </c>
      <c r="D607" s="7">
        <f t="shared" si="64"/>
        <v>2.9783000000000004</v>
      </c>
      <c r="E607" s="7">
        <f t="shared" si="65"/>
        <v>6.2410000000000007E-5</v>
      </c>
      <c r="F607" s="7">
        <f t="shared" si="66"/>
        <v>142129</v>
      </c>
      <c r="G607" s="7">
        <f t="shared" si="67"/>
        <v>206.58160000000001</v>
      </c>
      <c r="H607" s="7">
        <f t="shared" si="68"/>
        <v>-170.41839999999999</v>
      </c>
      <c r="I607" s="7">
        <f t="shared" si="69"/>
        <v>29042.431058559996</v>
      </c>
    </row>
    <row r="608" spans="2:9">
      <c r="B608" s="15">
        <v>7.7000000000000002E-3</v>
      </c>
      <c r="C608" s="8">
        <v>406</v>
      </c>
      <c r="D608" s="7">
        <f t="shared" si="64"/>
        <v>3.1262000000000003</v>
      </c>
      <c r="E608" s="7">
        <f t="shared" si="65"/>
        <v>5.9290000000000003E-5</v>
      </c>
      <c r="F608" s="7">
        <f t="shared" si="66"/>
        <v>164836</v>
      </c>
      <c r="G608" s="7">
        <f t="shared" si="67"/>
        <v>200.3817</v>
      </c>
      <c r="H608" s="7">
        <f t="shared" si="68"/>
        <v>-205.6183</v>
      </c>
      <c r="I608" s="7">
        <f t="shared" si="69"/>
        <v>42278.885294890002</v>
      </c>
    </row>
    <row r="609" spans="2:9">
      <c r="B609" s="15">
        <v>7.7000000000000002E-3</v>
      </c>
      <c r="C609" s="8">
        <v>324</v>
      </c>
      <c r="D609" s="7">
        <f t="shared" si="64"/>
        <v>2.4948000000000001</v>
      </c>
      <c r="E609" s="7">
        <f t="shared" si="65"/>
        <v>5.9290000000000003E-5</v>
      </c>
      <c r="F609" s="7">
        <f t="shared" si="66"/>
        <v>104976</v>
      </c>
      <c r="G609" s="7">
        <f t="shared" si="67"/>
        <v>200.3817</v>
      </c>
      <c r="H609" s="7">
        <f t="shared" si="68"/>
        <v>-123.6183</v>
      </c>
      <c r="I609" s="7">
        <f t="shared" si="69"/>
        <v>15281.484094890002</v>
      </c>
    </row>
    <row r="610" spans="2:9">
      <c r="B610" s="15">
        <v>8.0000000000000002E-3</v>
      </c>
      <c r="C610" s="8">
        <v>158</v>
      </c>
      <c r="D610" s="7">
        <f t="shared" si="64"/>
        <v>1.264</v>
      </c>
      <c r="E610" s="7">
        <f t="shared" si="65"/>
        <v>6.3999999999999997E-5</v>
      </c>
      <c r="F610" s="7">
        <f t="shared" si="66"/>
        <v>24964</v>
      </c>
      <c r="G610" s="7">
        <f t="shared" si="67"/>
        <v>209.6816</v>
      </c>
      <c r="H610" s="7">
        <f t="shared" si="68"/>
        <v>51.681600000000003</v>
      </c>
      <c r="I610" s="7">
        <f t="shared" si="69"/>
        <v>2670.9877785600002</v>
      </c>
    </row>
    <row r="611" spans="2:9">
      <c r="B611" s="15">
        <v>8.3999999999999995E-3</v>
      </c>
      <c r="C611" s="8">
        <v>268</v>
      </c>
      <c r="D611" s="7">
        <f t="shared" si="64"/>
        <v>2.2511999999999999</v>
      </c>
      <c r="E611" s="7">
        <f t="shared" si="65"/>
        <v>7.0559999999999989E-5</v>
      </c>
      <c r="F611" s="7">
        <f t="shared" si="66"/>
        <v>71824</v>
      </c>
      <c r="G611" s="7">
        <f t="shared" si="67"/>
        <v>222.08150000000001</v>
      </c>
      <c r="H611" s="7">
        <f t="shared" si="68"/>
        <v>-45.918500000000002</v>
      </c>
      <c r="I611" s="7">
        <f t="shared" si="69"/>
        <v>2108.5086422500003</v>
      </c>
    </row>
    <row r="612" spans="2:9">
      <c r="B612" s="15">
        <v>8.8999999999999999E-3</v>
      </c>
      <c r="C612" s="8">
        <v>485</v>
      </c>
      <c r="D612" s="7">
        <f t="shared" si="64"/>
        <v>4.3164999999999996</v>
      </c>
      <c r="E612" s="7">
        <f t="shared" si="65"/>
        <v>7.9209999999999995E-5</v>
      </c>
      <c r="F612" s="7">
        <f t="shared" si="66"/>
        <v>235225</v>
      </c>
      <c r="G612" s="7">
        <f t="shared" si="67"/>
        <v>237.5814</v>
      </c>
      <c r="H612" s="7">
        <f t="shared" si="68"/>
        <v>-247.4186</v>
      </c>
      <c r="I612" s="7">
        <f t="shared" si="69"/>
        <v>61215.963625960001</v>
      </c>
    </row>
    <row r="613" spans="2:9">
      <c r="B613" s="15">
        <v>9.4000000000000004E-3</v>
      </c>
      <c r="C613" s="8">
        <v>436</v>
      </c>
      <c r="D613" s="7">
        <f t="shared" si="64"/>
        <v>4.0983999999999998</v>
      </c>
      <c r="E613" s="7">
        <f t="shared" si="65"/>
        <v>8.8360000000000001E-5</v>
      </c>
      <c r="F613" s="7">
        <f t="shared" si="66"/>
        <v>190096</v>
      </c>
      <c r="G613" s="7">
        <f t="shared" si="67"/>
        <v>253.0813</v>
      </c>
      <c r="H613" s="7">
        <f t="shared" si="68"/>
        <v>-182.9187</v>
      </c>
      <c r="I613" s="7">
        <f t="shared" si="69"/>
        <v>33459.250809689998</v>
      </c>
    </row>
    <row r="614" spans="2:9">
      <c r="B614" s="15">
        <v>9.7999999999999997E-3</v>
      </c>
      <c r="C614" s="8">
        <v>450</v>
      </c>
      <c r="D614" s="7">
        <f t="shared" si="64"/>
        <v>4.41</v>
      </c>
      <c r="E614" s="7">
        <f t="shared" si="65"/>
        <v>9.6039999999999995E-5</v>
      </c>
      <c r="F614" s="7">
        <f t="shared" si="66"/>
        <v>202500</v>
      </c>
      <c r="G614" s="7">
        <f t="shared" si="67"/>
        <v>265.4812</v>
      </c>
      <c r="H614" s="7">
        <f t="shared" si="68"/>
        <v>-184.5188</v>
      </c>
      <c r="I614" s="7">
        <f t="shared" si="69"/>
        <v>34047.187553440002</v>
      </c>
    </row>
    <row r="615" spans="2:9">
      <c r="B615" s="15">
        <v>0.01</v>
      </c>
      <c r="C615" s="8">
        <v>469</v>
      </c>
      <c r="D615" s="7">
        <f t="shared" si="64"/>
        <v>4.6900000000000004</v>
      </c>
      <c r="E615" s="7">
        <f t="shared" si="65"/>
        <v>1E-4</v>
      </c>
      <c r="F615" s="7">
        <f t="shared" si="66"/>
        <v>219961</v>
      </c>
      <c r="G615" s="7">
        <f t="shared" si="67"/>
        <v>271.68110000000001</v>
      </c>
      <c r="H615" s="7">
        <f t="shared" si="68"/>
        <v>-197.31890000000001</v>
      </c>
      <c r="I615" s="7">
        <f t="shared" si="69"/>
        <v>38934.748297210004</v>
      </c>
    </row>
    <row r="616" spans="2:9">
      <c r="B616" s="15">
        <v>1.01E-2</v>
      </c>
      <c r="C616" s="8">
        <v>334</v>
      </c>
      <c r="D616" s="7">
        <f t="shared" si="64"/>
        <v>3.3733999999999997</v>
      </c>
      <c r="E616" s="7">
        <f t="shared" si="65"/>
        <v>1.0200999999999999E-4</v>
      </c>
      <c r="F616" s="7">
        <f t="shared" si="66"/>
        <v>111556</v>
      </c>
      <c r="G616" s="7">
        <f t="shared" si="67"/>
        <v>274.78109999999998</v>
      </c>
      <c r="H616" s="7">
        <f t="shared" si="68"/>
        <v>-59.218899999999998</v>
      </c>
      <c r="I616" s="7">
        <f t="shared" si="69"/>
        <v>3506.8781172099998</v>
      </c>
    </row>
    <row r="617" spans="2:9">
      <c r="B617" s="15">
        <v>1.01E-2</v>
      </c>
      <c r="C617" s="8">
        <v>199</v>
      </c>
      <c r="D617" s="7">
        <f t="shared" si="64"/>
        <v>2.0099</v>
      </c>
      <c r="E617" s="7">
        <f t="shared" si="65"/>
        <v>1.0200999999999999E-4</v>
      </c>
      <c r="F617" s="7">
        <f t="shared" si="66"/>
        <v>39601</v>
      </c>
      <c r="G617" s="7">
        <f t="shared" si="67"/>
        <v>274.78109999999998</v>
      </c>
      <c r="H617" s="7">
        <f t="shared" si="68"/>
        <v>75.781099999999995</v>
      </c>
      <c r="I617" s="7">
        <f t="shared" si="69"/>
        <v>5742.7751172099988</v>
      </c>
    </row>
    <row r="618" spans="2:9">
      <c r="B618" s="15">
        <v>1.0500000000000001E-2</v>
      </c>
      <c r="C618" s="8">
        <v>386</v>
      </c>
      <c r="D618" s="7">
        <f t="shared" si="64"/>
        <v>4.0529999999999999</v>
      </c>
      <c r="E618" s="7">
        <f t="shared" si="65"/>
        <v>1.1025000000000001E-4</v>
      </c>
      <c r="F618" s="7">
        <f t="shared" si="66"/>
        <v>148996</v>
      </c>
      <c r="G618" s="7">
        <f t="shared" si="67"/>
        <v>287.18099999999998</v>
      </c>
      <c r="H618" s="7">
        <f t="shared" si="68"/>
        <v>-98.819000000000003</v>
      </c>
      <c r="I618" s="7">
        <f t="shared" si="69"/>
        <v>9765.1947610000007</v>
      </c>
    </row>
    <row r="619" spans="2:9">
      <c r="B619" s="15">
        <v>1.06E-2</v>
      </c>
      <c r="C619" s="8">
        <v>511</v>
      </c>
      <c r="D619" s="7">
        <f t="shared" si="64"/>
        <v>5.4165999999999999</v>
      </c>
      <c r="E619" s="7">
        <f t="shared" si="65"/>
        <v>1.1236E-4</v>
      </c>
      <c r="F619" s="7">
        <f t="shared" si="66"/>
        <v>261121</v>
      </c>
      <c r="G619" s="7">
        <f t="shared" si="67"/>
        <v>290.28100000000001</v>
      </c>
      <c r="H619" s="7">
        <f t="shared" si="68"/>
        <v>-220.71899999999999</v>
      </c>
      <c r="I619" s="7">
        <f t="shared" si="69"/>
        <v>48716.876960999994</v>
      </c>
    </row>
    <row r="620" spans="2:9">
      <c r="B620" s="15">
        <v>1.0500000000000001E-2</v>
      </c>
      <c r="C620" s="8">
        <v>451</v>
      </c>
      <c r="D620" s="7">
        <f t="shared" si="64"/>
        <v>4.7355</v>
      </c>
      <c r="E620" s="7">
        <f t="shared" si="65"/>
        <v>1.1025000000000001E-4</v>
      </c>
      <c r="F620" s="7">
        <f t="shared" si="66"/>
        <v>203401</v>
      </c>
      <c r="G620" s="7">
        <f t="shared" si="67"/>
        <v>287.18099999999998</v>
      </c>
      <c r="H620" s="7">
        <f t="shared" si="68"/>
        <v>-163.81899999999999</v>
      </c>
      <c r="I620" s="7">
        <f t="shared" si="69"/>
        <v>26836.664760999996</v>
      </c>
    </row>
    <row r="621" spans="2:9">
      <c r="B621" s="15">
        <v>1.09E-2</v>
      </c>
      <c r="C621" s="8">
        <v>559</v>
      </c>
      <c r="D621" s="7">
        <f t="shared" si="64"/>
        <v>6.0930999999999997</v>
      </c>
      <c r="E621" s="7">
        <f t="shared" si="65"/>
        <v>1.1881E-4</v>
      </c>
      <c r="F621" s="7">
        <f t="shared" si="66"/>
        <v>312481</v>
      </c>
      <c r="G621" s="7">
        <f t="shared" si="67"/>
        <v>299.58089999999999</v>
      </c>
      <c r="H621" s="7">
        <f t="shared" si="68"/>
        <v>-259.41910000000001</v>
      </c>
      <c r="I621" s="7">
        <f t="shared" si="69"/>
        <v>67298.269444810008</v>
      </c>
    </row>
    <row r="622" spans="2:9">
      <c r="B622" s="15">
        <v>1.0999999999999999E-2</v>
      </c>
      <c r="C622" s="8">
        <v>523</v>
      </c>
      <c r="D622" s="7">
        <f t="shared" si="64"/>
        <v>5.7529999999999992</v>
      </c>
      <c r="E622" s="7">
        <f t="shared" si="65"/>
        <v>1.2099999999999999E-4</v>
      </c>
      <c r="F622" s="7">
        <f t="shared" si="66"/>
        <v>273529</v>
      </c>
      <c r="G622" s="7">
        <f t="shared" si="67"/>
        <v>302.68090000000001</v>
      </c>
      <c r="H622" s="7">
        <f t="shared" si="68"/>
        <v>-220.31909999999999</v>
      </c>
      <c r="I622" s="7">
        <f t="shared" si="69"/>
        <v>48540.505824809996</v>
      </c>
    </row>
    <row r="623" spans="2:9">
      <c r="B623" s="15">
        <v>1.1299999999999999E-2</v>
      </c>
      <c r="C623" s="8">
        <v>413</v>
      </c>
      <c r="D623" s="7">
        <f t="shared" si="64"/>
        <v>4.6669</v>
      </c>
      <c r="E623" s="7">
        <f t="shared" si="65"/>
        <v>1.2768999999999999E-4</v>
      </c>
      <c r="F623" s="7">
        <f t="shared" si="66"/>
        <v>170569</v>
      </c>
      <c r="G623" s="7">
        <f t="shared" si="67"/>
        <v>311.98079999999999</v>
      </c>
      <c r="H623" s="7">
        <f t="shared" si="68"/>
        <v>-101.0192</v>
      </c>
      <c r="I623" s="7">
        <f t="shared" si="69"/>
        <v>10204.878768639999</v>
      </c>
    </row>
    <row r="624" spans="2:9">
      <c r="B624" s="15">
        <v>1.15E-2</v>
      </c>
      <c r="C624" s="8">
        <v>241</v>
      </c>
      <c r="D624" s="7">
        <f t="shared" si="64"/>
        <v>2.7715000000000001</v>
      </c>
      <c r="E624" s="7">
        <f t="shared" si="65"/>
        <v>1.3224999999999999E-4</v>
      </c>
      <c r="F624" s="7">
        <f t="shared" si="66"/>
        <v>58081</v>
      </c>
      <c r="G624" s="7">
        <f t="shared" si="67"/>
        <v>318.18079999999998</v>
      </c>
      <c r="H624" s="7">
        <f t="shared" si="68"/>
        <v>77.180800000000005</v>
      </c>
      <c r="I624" s="7">
        <f t="shared" si="69"/>
        <v>5956.875888640001</v>
      </c>
    </row>
    <row r="625" spans="1:20">
      <c r="B625" s="15">
        <v>1.14E-2</v>
      </c>
      <c r="C625" s="8">
        <v>375</v>
      </c>
      <c r="D625" s="7">
        <f t="shared" si="64"/>
        <v>4.2750000000000004</v>
      </c>
      <c r="E625" s="7">
        <f t="shared" si="65"/>
        <v>1.2996000000000001E-4</v>
      </c>
      <c r="F625" s="7">
        <f t="shared" si="66"/>
        <v>140625</v>
      </c>
      <c r="G625" s="7">
        <f t="shared" si="67"/>
        <v>315.08080000000001</v>
      </c>
      <c r="H625" s="7">
        <f t="shared" si="68"/>
        <v>-59.919199999999996</v>
      </c>
      <c r="I625" s="7">
        <f t="shared" si="69"/>
        <v>3590.3105286399996</v>
      </c>
    </row>
    <row r="626" spans="1:20">
      <c r="B626" s="15">
        <v>1.14E-2</v>
      </c>
      <c r="C626" s="8">
        <v>594</v>
      </c>
      <c r="D626" s="7">
        <f t="shared" si="64"/>
        <v>6.7716000000000003</v>
      </c>
      <c r="E626" s="7">
        <f t="shared" si="65"/>
        <v>1.2996000000000001E-4</v>
      </c>
      <c r="F626" s="7">
        <f t="shared" si="66"/>
        <v>352836</v>
      </c>
      <c r="G626" s="7">
        <f t="shared" si="67"/>
        <v>315.08080000000001</v>
      </c>
      <c r="H626" s="7">
        <f t="shared" si="68"/>
        <v>-278.91919999999999</v>
      </c>
      <c r="I626" s="7">
        <f t="shared" si="69"/>
        <v>77795.920128639991</v>
      </c>
    </row>
    <row r="627" spans="1:20">
      <c r="B627" s="15">
        <v>1.15E-2</v>
      </c>
      <c r="C627" s="8">
        <v>572</v>
      </c>
      <c r="D627" s="7">
        <f t="shared" si="64"/>
        <v>6.5780000000000003</v>
      </c>
      <c r="E627" s="7">
        <f t="shared" si="65"/>
        <v>1.3224999999999999E-4</v>
      </c>
      <c r="F627" s="7">
        <f t="shared" si="66"/>
        <v>327184</v>
      </c>
      <c r="G627" s="7">
        <f t="shared" si="67"/>
        <v>318.18079999999998</v>
      </c>
      <c r="H627" s="7">
        <f t="shared" si="68"/>
        <v>-253.8192</v>
      </c>
      <c r="I627" s="7">
        <f t="shared" si="69"/>
        <v>64424.186288639998</v>
      </c>
    </row>
    <row r="628" spans="1:20">
      <c r="B628" s="15">
        <v>1.11E-2</v>
      </c>
      <c r="C628" s="8">
        <v>598</v>
      </c>
      <c r="D628" s="7">
        <f t="shared" si="64"/>
        <v>6.6378000000000004</v>
      </c>
      <c r="E628" s="7">
        <f t="shared" si="65"/>
        <v>1.2321000000000001E-4</v>
      </c>
      <c r="F628" s="7">
        <f t="shared" si="66"/>
        <v>357604</v>
      </c>
      <c r="G628" s="7">
        <f t="shared" si="67"/>
        <v>305.78089999999997</v>
      </c>
      <c r="H628" s="7">
        <f>ROUND(G628-C628,4)</f>
        <v>-292.21910000000003</v>
      </c>
      <c r="I628" s="7">
        <f t="shared" si="69"/>
        <v>85392.002404810017</v>
      </c>
    </row>
    <row r="629" spans="1:20">
      <c r="B629" s="15">
        <v>1.0999999999999999E-2</v>
      </c>
      <c r="C629" s="8">
        <v>609</v>
      </c>
      <c r="D629" s="7">
        <f t="shared" si="64"/>
        <v>6.6989999999999998</v>
      </c>
      <c r="E629" s="7">
        <f t="shared" si="65"/>
        <v>1.2099999999999999E-4</v>
      </c>
      <c r="F629" s="7">
        <f t="shared" si="66"/>
        <v>370881</v>
      </c>
      <c r="G629" s="7">
        <f t="shared" si="67"/>
        <v>302.68090000000001</v>
      </c>
      <c r="H629" s="7">
        <f t="shared" si="68"/>
        <v>-306.31909999999999</v>
      </c>
      <c r="I629" s="7">
        <f t="shared" si="69"/>
        <v>93831.39102481</v>
      </c>
    </row>
    <row r="630" spans="1:20">
      <c r="B630" s="15">
        <v>1.0999999999999999E-2</v>
      </c>
      <c r="C630" s="8">
        <v>445</v>
      </c>
      <c r="D630" s="7">
        <f t="shared" si="64"/>
        <v>4.8949999999999996</v>
      </c>
      <c r="E630" s="7">
        <f t="shared" si="65"/>
        <v>1.2099999999999999E-4</v>
      </c>
      <c r="F630" s="7">
        <f t="shared" si="66"/>
        <v>198025</v>
      </c>
      <c r="G630" s="7">
        <f t="shared" si="67"/>
        <v>302.68090000000001</v>
      </c>
      <c r="H630" s="7">
        <f t="shared" si="68"/>
        <v>-142.31909999999999</v>
      </c>
      <c r="I630" s="7">
        <f t="shared" si="69"/>
        <v>20254.726224809998</v>
      </c>
    </row>
    <row r="631" spans="1:20">
      <c r="B631" s="15">
        <v>1.1299999999999999E-2</v>
      </c>
      <c r="C631" s="9">
        <v>435</v>
      </c>
      <c r="D631" s="4">
        <f t="shared" si="64"/>
        <v>4.9154999999999998</v>
      </c>
      <c r="E631" s="7">
        <f t="shared" si="65"/>
        <v>1.2768999999999999E-4</v>
      </c>
      <c r="F631" s="7">
        <f t="shared" si="66"/>
        <v>189225</v>
      </c>
      <c r="G631" s="7">
        <f t="shared" si="67"/>
        <v>311.98079999999999</v>
      </c>
      <c r="H631" s="7">
        <f t="shared" si="68"/>
        <v>-123.0192</v>
      </c>
      <c r="I631" s="7">
        <f t="shared" si="69"/>
        <v>15133.72356864</v>
      </c>
    </row>
    <row r="632" spans="1:20">
      <c r="A632" s="4" t="s">
        <v>18</v>
      </c>
      <c r="B632" s="4">
        <f t="shared" ref="B632" si="70">SUM(B512:B631)</f>
        <v>4.2930000000000046</v>
      </c>
      <c r="C632" s="4">
        <f t="shared" ref="C632:I632" si="71">SUM(C512:C631)</f>
        <v>128577</v>
      </c>
      <c r="D632" s="4">
        <f t="shared" si="71"/>
        <v>12514.191900000014</v>
      </c>
      <c r="E632" s="4">
        <f t="shared" si="71"/>
        <v>0.40899665999999968</v>
      </c>
      <c r="F632" s="4">
        <f t="shared" si="71"/>
        <v>423547897</v>
      </c>
      <c r="G632" s="4">
        <f t="shared" si="71"/>
        <v>128484.0048</v>
      </c>
      <c r="H632" s="4">
        <f>SUM(H512:H631)</f>
        <v>-92.995200000000565</v>
      </c>
      <c r="I632" s="4">
        <f t="shared" si="71"/>
        <v>40544660.279355489</v>
      </c>
    </row>
    <row r="633" spans="1:20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</row>
    <row r="634" spans="1:20">
      <c r="B634" s="15"/>
      <c r="H634" s="15"/>
    </row>
    <row r="635" spans="1:20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</row>
    <row r="636" spans="1:20">
      <c r="B636" s="3"/>
      <c r="C636" s="3"/>
      <c r="D636" s="3"/>
      <c r="E636" s="3"/>
      <c r="F636" s="3"/>
      <c r="G636" s="3"/>
      <c r="H636" s="15"/>
    </row>
    <row r="637" spans="1:20">
      <c r="B637" s="2" t="s">
        <v>9</v>
      </c>
      <c r="C637" s="2" t="s">
        <v>10</v>
      </c>
      <c r="D637" s="2" t="s">
        <v>11</v>
      </c>
      <c r="E637" s="2" t="s">
        <v>12</v>
      </c>
      <c r="F637" s="2" t="s">
        <v>13</v>
      </c>
      <c r="G637" s="2"/>
      <c r="H637" s="4"/>
      <c r="I637" s="4"/>
    </row>
    <row r="638" spans="1:20">
      <c r="B638" s="15" t="s">
        <v>8</v>
      </c>
      <c r="C638" s="4" t="s">
        <v>1</v>
      </c>
      <c r="D638" s="4"/>
      <c r="E638" s="2"/>
      <c r="F638" s="4"/>
      <c r="G638" s="4"/>
      <c r="H638" s="4"/>
      <c r="I638" s="4"/>
      <c r="K638" s="80" t="s">
        <v>15</v>
      </c>
      <c r="L638" s="80"/>
      <c r="M638" t="s">
        <v>16</v>
      </c>
    </row>
    <row r="639" spans="1:20">
      <c r="B639" s="15">
        <v>80488</v>
      </c>
      <c r="C639" s="7">
        <v>5805</v>
      </c>
      <c r="D639" s="7">
        <f>B639*C639</f>
        <v>467232840</v>
      </c>
      <c r="E639" s="7">
        <f>B639^2</f>
        <v>6478318144</v>
      </c>
      <c r="F639" s="7">
        <f>C639^2</f>
        <v>33698025</v>
      </c>
      <c r="G639" s="7">
        <f>ROUND($M$686+$M$683*B639,4)</f>
        <v>1918.0931</v>
      </c>
      <c r="H639" s="7">
        <f>ROUND(G639-C639,4)</f>
        <v>-3886.9069</v>
      </c>
      <c r="I639" s="7">
        <f>H639^2</f>
        <v>15108045.24926761</v>
      </c>
      <c r="K639" s="80" t="s">
        <v>14</v>
      </c>
      <c r="L639" s="80"/>
      <c r="M639" s="80" t="s">
        <v>26</v>
      </c>
      <c r="N639" s="80"/>
    </row>
    <row r="640" spans="1:20">
      <c r="B640" s="15">
        <v>82431</v>
      </c>
      <c r="C640" s="8">
        <v>5540</v>
      </c>
      <c r="D640" s="7">
        <f t="shared" ref="D640:D703" si="72">B640*C640</f>
        <v>456667740</v>
      </c>
      <c r="E640" s="7">
        <f t="shared" ref="E640:E703" si="73">B640^2</f>
        <v>6794869761</v>
      </c>
      <c r="F640" s="7">
        <f t="shared" ref="F640:F703" si="74">C640^2</f>
        <v>30691600</v>
      </c>
      <c r="G640" s="7">
        <f t="shared" ref="G640:G703" si="75">ROUND($M$686+$M$683*B640,4)</f>
        <v>1915.3729000000001</v>
      </c>
      <c r="H640" s="7">
        <f t="shared" ref="H640:H703" si="76">ROUND(G640-C640,4)</f>
        <v>-3624.6271000000002</v>
      </c>
      <c r="I640" s="7">
        <f t="shared" ref="I640:I703" si="77">H640^2</f>
        <v>13137921.614054412</v>
      </c>
    </row>
    <row r="641" spans="2:12">
      <c r="B641" s="15">
        <v>87588</v>
      </c>
      <c r="C641" s="8">
        <v>9083</v>
      </c>
      <c r="D641" s="7">
        <f t="shared" si="72"/>
        <v>795561804</v>
      </c>
      <c r="E641" s="7">
        <f t="shared" si="73"/>
        <v>7671657744</v>
      </c>
      <c r="F641" s="7">
        <f t="shared" si="74"/>
        <v>82500889</v>
      </c>
      <c r="G641" s="7">
        <f t="shared" si="75"/>
        <v>1908.1531</v>
      </c>
      <c r="H641" s="7">
        <f t="shared" si="76"/>
        <v>-7174.8468999999996</v>
      </c>
      <c r="I641" s="7">
        <f t="shared" si="77"/>
        <v>51478428.038439602</v>
      </c>
    </row>
    <row r="642" spans="2:12">
      <c r="B642" s="15">
        <v>96711</v>
      </c>
      <c r="C642" s="8">
        <v>7914</v>
      </c>
      <c r="D642" s="7">
        <f t="shared" si="72"/>
        <v>765370854</v>
      </c>
      <c r="E642" s="7">
        <f t="shared" si="73"/>
        <v>9353017521</v>
      </c>
      <c r="F642" s="7">
        <f t="shared" si="74"/>
        <v>62631396</v>
      </c>
      <c r="G642" s="7">
        <f t="shared" si="75"/>
        <v>1895.3809000000001</v>
      </c>
      <c r="H642" s="7">
        <f t="shared" si="76"/>
        <v>-6018.6190999999999</v>
      </c>
      <c r="I642" s="7">
        <f t="shared" si="77"/>
        <v>36223775.870884806</v>
      </c>
      <c r="K642" s="80"/>
      <c r="L642" s="80"/>
    </row>
    <row r="643" spans="2:12">
      <c r="B643" s="15">
        <v>106652</v>
      </c>
      <c r="C643" s="8">
        <v>6916</v>
      </c>
      <c r="D643" s="7">
        <f t="shared" si="72"/>
        <v>737605232</v>
      </c>
      <c r="E643" s="7">
        <f t="shared" si="73"/>
        <v>11374649104</v>
      </c>
      <c r="F643" s="7">
        <f t="shared" si="74"/>
        <v>47831056</v>
      </c>
      <c r="G643" s="7">
        <f t="shared" si="75"/>
        <v>1881.4635000000001</v>
      </c>
      <c r="H643" s="7">
        <f t="shared" si="76"/>
        <v>-5034.5365000000002</v>
      </c>
      <c r="I643" s="7">
        <f t="shared" si="77"/>
        <v>25346557.769832253</v>
      </c>
    </row>
    <row r="644" spans="2:12">
      <c r="B644" s="15">
        <v>115522</v>
      </c>
      <c r="C644" s="8">
        <v>6132</v>
      </c>
      <c r="D644" s="7">
        <f t="shared" si="72"/>
        <v>708380904</v>
      </c>
      <c r="E644" s="7">
        <f t="shared" si="73"/>
        <v>13345332484</v>
      </c>
      <c r="F644" s="7">
        <f t="shared" si="74"/>
        <v>37601424</v>
      </c>
      <c r="G644" s="7">
        <f t="shared" si="75"/>
        <v>1869.0454999999999</v>
      </c>
      <c r="H644" s="7">
        <f t="shared" si="76"/>
        <v>-4262.9544999999998</v>
      </c>
      <c r="I644" s="7">
        <f t="shared" si="77"/>
        <v>18172781.06907025</v>
      </c>
    </row>
    <row r="645" spans="2:12">
      <c r="B645" s="15">
        <v>116262</v>
      </c>
      <c r="C645" s="8">
        <v>3508</v>
      </c>
      <c r="D645" s="7">
        <f t="shared" si="72"/>
        <v>407847096</v>
      </c>
      <c r="E645" s="7">
        <f t="shared" si="73"/>
        <v>13516852644</v>
      </c>
      <c r="F645" s="7">
        <f t="shared" si="74"/>
        <v>12306064</v>
      </c>
      <c r="G645" s="7">
        <f t="shared" si="75"/>
        <v>1868.0094999999999</v>
      </c>
      <c r="H645" s="7">
        <f t="shared" si="76"/>
        <v>-1639.9905000000001</v>
      </c>
      <c r="I645" s="7">
        <f t="shared" si="77"/>
        <v>2689568.8400902506</v>
      </c>
    </row>
    <row r="646" spans="2:12">
      <c r="B646" s="15">
        <v>118172</v>
      </c>
      <c r="C646" s="8">
        <v>2505</v>
      </c>
      <c r="D646" s="7">
        <f t="shared" si="72"/>
        <v>296020860</v>
      </c>
      <c r="E646" s="7">
        <f t="shared" si="73"/>
        <v>13964621584</v>
      </c>
      <c r="F646" s="7">
        <f t="shared" si="74"/>
        <v>6275025</v>
      </c>
      <c r="G646" s="7">
        <f t="shared" si="75"/>
        <v>1865.3354999999999</v>
      </c>
      <c r="H646" s="7">
        <f t="shared" si="76"/>
        <v>-639.66449999999998</v>
      </c>
      <c r="I646" s="7">
        <f t="shared" si="77"/>
        <v>409170.67256024998</v>
      </c>
    </row>
    <row r="647" spans="2:12">
      <c r="B647" s="15">
        <v>119614</v>
      </c>
      <c r="C647" s="8">
        <v>2583</v>
      </c>
      <c r="D647" s="7">
        <f t="shared" si="72"/>
        <v>308962962</v>
      </c>
      <c r="E647" s="7">
        <f t="shared" si="73"/>
        <v>14307508996</v>
      </c>
      <c r="F647" s="7">
        <f t="shared" si="74"/>
        <v>6671889</v>
      </c>
      <c r="G647" s="7">
        <f t="shared" si="75"/>
        <v>1863.3167000000001</v>
      </c>
      <c r="H647" s="7">
        <f t="shared" si="76"/>
        <v>-719.68330000000003</v>
      </c>
      <c r="I647" s="7">
        <f t="shared" si="77"/>
        <v>517944.05229889002</v>
      </c>
    </row>
    <row r="648" spans="2:12">
      <c r="B648" s="15">
        <v>130118</v>
      </c>
      <c r="C648" s="8">
        <v>4387</v>
      </c>
      <c r="D648" s="7">
        <f t="shared" si="72"/>
        <v>570827666</v>
      </c>
      <c r="E648" s="7">
        <f t="shared" si="73"/>
        <v>16930693924</v>
      </c>
      <c r="F648" s="7">
        <f t="shared" si="74"/>
        <v>19245769</v>
      </c>
      <c r="G648" s="7">
        <f t="shared" si="75"/>
        <v>1848.6111000000001</v>
      </c>
      <c r="H648" s="7">
        <f t="shared" si="76"/>
        <v>-2538.3888999999999</v>
      </c>
      <c r="I648" s="7">
        <f t="shared" si="77"/>
        <v>6443418.20764321</v>
      </c>
    </row>
    <row r="649" spans="2:12">
      <c r="B649" s="15">
        <v>146637</v>
      </c>
      <c r="C649" s="8">
        <v>3480</v>
      </c>
      <c r="D649" s="7">
        <f t="shared" si="72"/>
        <v>510296760</v>
      </c>
      <c r="E649" s="7">
        <f t="shared" si="73"/>
        <v>21502409769</v>
      </c>
      <c r="F649" s="7">
        <f t="shared" si="74"/>
        <v>12110400</v>
      </c>
      <c r="G649" s="7">
        <f t="shared" si="75"/>
        <v>1825.4845</v>
      </c>
      <c r="H649" s="7">
        <f t="shared" si="76"/>
        <v>-1654.5155</v>
      </c>
      <c r="I649" s="7">
        <f t="shared" si="77"/>
        <v>2737421.53974025</v>
      </c>
    </row>
    <row r="650" spans="2:12">
      <c r="B650" s="15">
        <v>171163</v>
      </c>
      <c r="C650" s="8">
        <v>2854</v>
      </c>
      <c r="D650" s="7">
        <f t="shared" si="72"/>
        <v>488499202</v>
      </c>
      <c r="E650" s="7">
        <f t="shared" si="73"/>
        <v>29296772569</v>
      </c>
      <c r="F650" s="7">
        <f t="shared" si="74"/>
        <v>8145316</v>
      </c>
      <c r="G650" s="7">
        <f t="shared" si="75"/>
        <v>1791.1481000000001</v>
      </c>
      <c r="H650" s="7">
        <f t="shared" si="76"/>
        <v>-1062.8518999999999</v>
      </c>
      <c r="I650" s="7">
        <f t="shared" si="77"/>
        <v>1129654.1613336098</v>
      </c>
    </row>
    <row r="651" spans="2:12">
      <c r="B651" s="15">
        <v>198253</v>
      </c>
      <c r="C651" s="8">
        <v>2856</v>
      </c>
      <c r="D651" s="7">
        <f t="shared" si="72"/>
        <v>566210568</v>
      </c>
      <c r="E651" s="7">
        <f t="shared" si="73"/>
        <v>39304252009</v>
      </c>
      <c r="F651" s="7">
        <f t="shared" si="74"/>
        <v>8156736</v>
      </c>
      <c r="G651" s="7">
        <f t="shared" si="75"/>
        <v>1753.2221</v>
      </c>
      <c r="H651" s="7">
        <f t="shared" si="76"/>
        <v>-1102.7779</v>
      </c>
      <c r="I651" s="7">
        <f t="shared" si="77"/>
        <v>1216119.0967284101</v>
      </c>
    </row>
    <row r="652" spans="2:12">
      <c r="B652" s="15">
        <v>208089</v>
      </c>
      <c r="C652" s="8">
        <v>1677</v>
      </c>
      <c r="D652" s="7">
        <f t="shared" si="72"/>
        <v>348965253</v>
      </c>
      <c r="E652" s="7">
        <f t="shared" si="73"/>
        <v>43301031921</v>
      </c>
      <c r="F652" s="7">
        <f t="shared" si="74"/>
        <v>2812329</v>
      </c>
      <c r="G652" s="7">
        <f t="shared" si="75"/>
        <v>1739.4517000000001</v>
      </c>
      <c r="H652" s="7">
        <f t="shared" si="76"/>
        <v>62.451700000000002</v>
      </c>
      <c r="I652" s="7">
        <f t="shared" si="77"/>
        <v>3900.2148328900003</v>
      </c>
    </row>
    <row r="653" spans="2:12">
      <c r="B653" s="15">
        <v>218125</v>
      </c>
      <c r="C653" s="8">
        <v>1303</v>
      </c>
      <c r="D653" s="7">
        <f t="shared" si="72"/>
        <v>284216875</v>
      </c>
      <c r="E653" s="7">
        <f t="shared" si="73"/>
        <v>47578515625</v>
      </c>
      <c r="F653" s="7">
        <f t="shared" si="74"/>
        <v>1697809</v>
      </c>
      <c r="G653" s="7">
        <f t="shared" si="75"/>
        <v>1725.4013</v>
      </c>
      <c r="H653" s="7">
        <f t="shared" si="76"/>
        <v>422.40129999999999</v>
      </c>
      <c r="I653" s="7">
        <f t="shared" si="77"/>
        <v>178422.85824169</v>
      </c>
    </row>
    <row r="654" spans="2:12">
      <c r="B654" s="15">
        <v>223711</v>
      </c>
      <c r="C654" s="8">
        <v>1502</v>
      </c>
      <c r="D654" s="7">
        <f t="shared" si="72"/>
        <v>336013922</v>
      </c>
      <c r="E654" s="7">
        <f t="shared" si="73"/>
        <v>50046611521</v>
      </c>
      <c r="F654" s="7">
        <f t="shared" si="74"/>
        <v>2256004</v>
      </c>
      <c r="G654" s="7">
        <f t="shared" si="75"/>
        <v>1717.5808999999999</v>
      </c>
      <c r="H654" s="7">
        <f t="shared" si="76"/>
        <v>215.58090000000001</v>
      </c>
      <c r="I654" s="7">
        <f t="shared" si="77"/>
        <v>46475.124444810004</v>
      </c>
    </row>
    <row r="655" spans="2:12">
      <c r="B655" s="15">
        <v>229743</v>
      </c>
      <c r="C655" s="8">
        <v>2324</v>
      </c>
      <c r="D655" s="7">
        <f t="shared" si="72"/>
        <v>533922732</v>
      </c>
      <c r="E655" s="7">
        <f t="shared" si="73"/>
        <v>52781846049</v>
      </c>
      <c r="F655" s="7">
        <f t="shared" si="74"/>
        <v>5400976</v>
      </c>
      <c r="G655" s="7">
        <f t="shared" si="75"/>
        <v>1709.1360999999999</v>
      </c>
      <c r="H655" s="7">
        <f t="shared" si="76"/>
        <v>-614.86389999999994</v>
      </c>
      <c r="I655" s="7">
        <f t="shared" si="77"/>
        <v>378057.61552320991</v>
      </c>
    </row>
    <row r="656" spans="2:12">
      <c r="B656" s="15">
        <v>237696</v>
      </c>
      <c r="C656" s="8">
        <v>1944</v>
      </c>
      <c r="D656" s="7">
        <f t="shared" si="72"/>
        <v>462081024</v>
      </c>
      <c r="E656" s="7">
        <f t="shared" si="73"/>
        <v>56499388416</v>
      </c>
      <c r="F656" s="7">
        <f t="shared" si="74"/>
        <v>3779136</v>
      </c>
      <c r="G656" s="7">
        <f t="shared" si="75"/>
        <v>1698.0019</v>
      </c>
      <c r="H656" s="7">
        <f t="shared" si="76"/>
        <v>-245.99809999999999</v>
      </c>
      <c r="I656" s="7">
        <f t="shared" si="77"/>
        <v>60515.06520361</v>
      </c>
    </row>
    <row r="657" spans="2:15">
      <c r="B657" s="15">
        <v>250400</v>
      </c>
      <c r="C657" s="8">
        <v>1940</v>
      </c>
      <c r="D657" s="7">
        <f t="shared" si="72"/>
        <v>485776000</v>
      </c>
      <c r="E657" s="7">
        <f t="shared" si="73"/>
        <v>62700160000</v>
      </c>
      <c r="F657" s="7">
        <f t="shared" si="74"/>
        <v>3763600</v>
      </c>
      <c r="G657" s="7">
        <f t="shared" si="75"/>
        <v>1680.2163</v>
      </c>
      <c r="H657" s="7">
        <f t="shared" si="76"/>
        <v>-259.78370000000001</v>
      </c>
      <c r="I657" s="7">
        <f t="shared" si="77"/>
        <v>67487.570785690012</v>
      </c>
    </row>
    <row r="658" spans="2:15">
      <c r="B658" s="15">
        <v>263354</v>
      </c>
      <c r="C658" s="8">
        <v>1570</v>
      </c>
      <c r="D658" s="7">
        <f t="shared" si="72"/>
        <v>413465780</v>
      </c>
      <c r="E658" s="7">
        <f t="shared" si="73"/>
        <v>69355329316</v>
      </c>
      <c r="F658" s="7">
        <f t="shared" si="74"/>
        <v>2464900</v>
      </c>
      <c r="G658" s="7">
        <f t="shared" si="75"/>
        <v>1662.0807</v>
      </c>
      <c r="H658" s="7">
        <f t="shared" si="76"/>
        <v>92.080699999999993</v>
      </c>
      <c r="I658" s="7">
        <f t="shared" si="77"/>
        <v>8478.8553124899991</v>
      </c>
    </row>
    <row r="659" spans="2:15">
      <c r="B659" s="15">
        <v>266858</v>
      </c>
      <c r="C659" s="8">
        <v>1186</v>
      </c>
      <c r="D659" s="7">
        <f t="shared" si="72"/>
        <v>316493588</v>
      </c>
      <c r="E659" s="7">
        <f t="shared" si="73"/>
        <v>71213192164</v>
      </c>
      <c r="F659" s="7">
        <f t="shared" si="74"/>
        <v>1406596</v>
      </c>
      <c r="G659" s="7">
        <f t="shared" si="75"/>
        <v>1657.1750999999999</v>
      </c>
      <c r="H659" s="7">
        <f t="shared" si="76"/>
        <v>471.17509999999999</v>
      </c>
      <c r="I659" s="7">
        <f t="shared" si="77"/>
        <v>222005.97486001</v>
      </c>
      <c r="K659" t="s">
        <v>19</v>
      </c>
      <c r="L659" s="11">
        <f>COUNT(B639,B640:B758)</f>
        <v>120</v>
      </c>
    </row>
    <row r="660" spans="2:15">
      <c r="B660" s="15">
        <v>269203</v>
      </c>
      <c r="C660" s="8">
        <v>549</v>
      </c>
      <c r="D660" s="7">
        <f t="shared" si="72"/>
        <v>147792447</v>
      </c>
      <c r="E660" s="7">
        <f t="shared" si="73"/>
        <v>72470255209</v>
      </c>
      <c r="F660" s="7">
        <f t="shared" si="74"/>
        <v>301401</v>
      </c>
      <c r="G660" s="7">
        <f t="shared" si="75"/>
        <v>1653.8921</v>
      </c>
      <c r="H660" s="7">
        <f t="shared" si="76"/>
        <v>1104.8921</v>
      </c>
      <c r="I660" s="7">
        <f t="shared" si="77"/>
        <v>1220786.5526424102</v>
      </c>
      <c r="K660" t="s">
        <v>20</v>
      </c>
      <c r="L660">
        <f>ROUND(AVERAGE(B639:B758),4)</f>
        <v>685215.23329999996</v>
      </c>
    </row>
    <row r="661" spans="2:15">
      <c r="B661" s="15">
        <v>270927</v>
      </c>
      <c r="C661" s="8">
        <v>1032</v>
      </c>
      <c r="D661" s="7">
        <f t="shared" si="72"/>
        <v>279596664</v>
      </c>
      <c r="E661" s="7">
        <f t="shared" si="73"/>
        <v>73401439329</v>
      </c>
      <c r="F661" s="7">
        <f t="shared" si="74"/>
        <v>1065024</v>
      </c>
      <c r="G661" s="7">
        <f t="shared" si="75"/>
        <v>1651.4784999999999</v>
      </c>
      <c r="H661" s="7">
        <f t="shared" si="76"/>
        <v>619.47850000000005</v>
      </c>
      <c r="I661" s="7">
        <f t="shared" si="77"/>
        <v>383753.61196225008</v>
      </c>
      <c r="K661" t="s">
        <v>21</v>
      </c>
      <c r="L661">
        <f>ROUND(AVERAGE(C639:C758),4)</f>
        <v>1071.4749999999999</v>
      </c>
    </row>
    <row r="662" spans="2:15">
      <c r="B662" s="15">
        <v>273148</v>
      </c>
      <c r="C662" s="8">
        <v>1480</v>
      </c>
      <c r="D662" s="7">
        <f t="shared" si="72"/>
        <v>404259040</v>
      </c>
      <c r="E662" s="7">
        <f t="shared" si="73"/>
        <v>74609829904</v>
      </c>
      <c r="F662" s="7">
        <f t="shared" si="74"/>
        <v>2190400</v>
      </c>
      <c r="G662" s="7">
        <f t="shared" si="75"/>
        <v>1648.3690999999999</v>
      </c>
      <c r="H662" s="7">
        <f t="shared" si="76"/>
        <v>168.3691</v>
      </c>
      <c r="I662" s="7">
        <f t="shared" si="77"/>
        <v>28348.15383481</v>
      </c>
    </row>
    <row r="663" spans="2:15">
      <c r="B663" s="15">
        <v>276637</v>
      </c>
      <c r="C663" s="8">
        <v>1160</v>
      </c>
      <c r="D663" s="7">
        <f t="shared" si="72"/>
        <v>320898920</v>
      </c>
      <c r="E663" s="7">
        <f t="shared" si="73"/>
        <v>76528029769</v>
      </c>
      <c r="F663" s="7">
        <f t="shared" si="74"/>
        <v>1345600</v>
      </c>
      <c r="G663" s="7">
        <f t="shared" si="75"/>
        <v>1643.4845</v>
      </c>
      <c r="H663" s="7">
        <f t="shared" si="76"/>
        <v>483.48450000000003</v>
      </c>
      <c r="I663" s="7">
        <f t="shared" si="77"/>
        <v>233757.26174025002</v>
      </c>
    </row>
    <row r="664" spans="2:15">
      <c r="B664" s="15">
        <v>279729</v>
      </c>
      <c r="C664" s="8">
        <v>1027</v>
      </c>
      <c r="D664" s="7">
        <f t="shared" si="72"/>
        <v>287281683</v>
      </c>
      <c r="E664" s="7">
        <f t="shared" si="73"/>
        <v>78248313441</v>
      </c>
      <c r="F664" s="7">
        <f t="shared" si="74"/>
        <v>1054729</v>
      </c>
      <c r="G664" s="7">
        <f t="shared" si="75"/>
        <v>1639.1557</v>
      </c>
      <c r="H664" s="7">
        <f t="shared" si="76"/>
        <v>612.15570000000002</v>
      </c>
      <c r="I664" s="7">
        <f t="shared" si="77"/>
        <v>374734.60104249005</v>
      </c>
      <c r="N664" t="s">
        <v>22</v>
      </c>
      <c r="O664">
        <f>D759-(L659*L660*L661)</f>
        <v>-40766442226.014084</v>
      </c>
    </row>
    <row r="665" spans="2:15">
      <c r="B665" s="15">
        <v>285185</v>
      </c>
      <c r="C665" s="8">
        <v>1071</v>
      </c>
      <c r="D665" s="7">
        <f t="shared" si="72"/>
        <v>305433135</v>
      </c>
      <c r="E665" s="7">
        <f t="shared" si="73"/>
        <v>81330484225</v>
      </c>
      <c r="F665" s="7">
        <f t="shared" si="74"/>
        <v>1147041</v>
      </c>
      <c r="G665" s="7">
        <f t="shared" si="75"/>
        <v>1631.5173</v>
      </c>
      <c r="H665" s="7">
        <f t="shared" si="76"/>
        <v>560.51729999999998</v>
      </c>
      <c r="I665" s="7">
        <f t="shared" si="77"/>
        <v>314179.64359928999</v>
      </c>
    </row>
    <row r="666" spans="2:15">
      <c r="B666" s="15">
        <v>286470</v>
      </c>
      <c r="C666" s="8">
        <v>718</v>
      </c>
      <c r="D666" s="7">
        <f t="shared" si="72"/>
        <v>205685460</v>
      </c>
      <c r="E666" s="7">
        <f t="shared" si="73"/>
        <v>82065060900</v>
      </c>
      <c r="F666" s="7">
        <f t="shared" si="74"/>
        <v>515524</v>
      </c>
      <c r="G666" s="7">
        <f t="shared" si="75"/>
        <v>1629.7183</v>
      </c>
      <c r="H666" s="7">
        <f t="shared" si="76"/>
        <v>911.7183</v>
      </c>
      <c r="I666" s="7">
        <f t="shared" si="77"/>
        <v>831230.25855489005</v>
      </c>
    </row>
    <row r="667" spans="2:15">
      <c r="B667" s="15">
        <v>290637</v>
      </c>
      <c r="C667" s="8">
        <v>394</v>
      </c>
      <c r="D667" s="7">
        <f t="shared" si="72"/>
        <v>114510978</v>
      </c>
      <c r="E667" s="7">
        <f t="shared" si="73"/>
        <v>84469865769</v>
      </c>
      <c r="F667" s="7">
        <f t="shared" si="74"/>
        <v>155236</v>
      </c>
      <c r="G667" s="7">
        <f t="shared" si="75"/>
        <v>1623.8844999999999</v>
      </c>
      <c r="H667" s="7">
        <f t="shared" si="76"/>
        <v>1229.8844999999999</v>
      </c>
      <c r="I667" s="7">
        <f t="shared" si="77"/>
        <v>1512615.8833402498</v>
      </c>
    </row>
    <row r="668" spans="2:15">
      <c r="B668" s="15">
        <v>291987</v>
      </c>
      <c r="C668" s="8">
        <v>691</v>
      </c>
      <c r="D668" s="7">
        <f t="shared" si="72"/>
        <v>201763017</v>
      </c>
      <c r="E668" s="7">
        <f t="shared" si="73"/>
        <v>85256408169</v>
      </c>
      <c r="F668" s="7">
        <f t="shared" si="74"/>
        <v>477481</v>
      </c>
      <c r="G668" s="7">
        <f t="shared" si="75"/>
        <v>1621.9945</v>
      </c>
      <c r="H668" s="7">
        <f t="shared" si="76"/>
        <v>930.99450000000002</v>
      </c>
      <c r="I668" s="7">
        <f t="shared" si="77"/>
        <v>866750.75903025002</v>
      </c>
      <c r="N668" t="s">
        <v>22</v>
      </c>
      <c r="O668">
        <f>E759-(L659*(L660^2))</f>
        <v>29096772545333.195</v>
      </c>
    </row>
    <row r="669" spans="2:15">
      <c r="B669" s="15">
        <v>293652</v>
      </c>
      <c r="C669" s="8">
        <v>979</v>
      </c>
      <c r="D669" s="7">
        <f t="shared" si="72"/>
        <v>287485308</v>
      </c>
      <c r="E669" s="7">
        <f t="shared" si="73"/>
        <v>86231497104</v>
      </c>
      <c r="F669" s="7">
        <f t="shared" si="74"/>
        <v>958441</v>
      </c>
      <c r="G669" s="7">
        <f t="shared" si="75"/>
        <v>1619.6635000000001</v>
      </c>
      <c r="H669" s="7">
        <f t="shared" si="76"/>
        <v>640.6635</v>
      </c>
      <c r="I669" s="7">
        <f t="shared" si="77"/>
        <v>410449.72023224999</v>
      </c>
    </row>
    <row r="670" spans="2:15">
      <c r="B670" s="15">
        <v>298685</v>
      </c>
      <c r="C670" s="8">
        <v>830</v>
      </c>
      <c r="D670" s="7">
        <f t="shared" si="72"/>
        <v>247908550</v>
      </c>
      <c r="E670" s="7">
        <f t="shared" si="73"/>
        <v>89212729225</v>
      </c>
      <c r="F670" s="7">
        <f t="shared" si="74"/>
        <v>688900</v>
      </c>
      <c r="G670" s="7">
        <f t="shared" si="75"/>
        <v>1612.6172999999999</v>
      </c>
      <c r="H670" s="7">
        <f t="shared" si="76"/>
        <v>782.6173</v>
      </c>
      <c r="I670" s="7">
        <f t="shared" si="77"/>
        <v>612489.83825928997</v>
      </c>
    </row>
    <row r="671" spans="2:15">
      <c r="B671" s="15">
        <v>304494</v>
      </c>
      <c r="C671" s="8">
        <v>949</v>
      </c>
      <c r="D671" s="7">
        <f t="shared" si="72"/>
        <v>288964806</v>
      </c>
      <c r="E671" s="7">
        <f t="shared" si="73"/>
        <v>92716596036</v>
      </c>
      <c r="F671" s="7">
        <f t="shared" si="74"/>
        <v>900601</v>
      </c>
      <c r="G671" s="7">
        <f t="shared" si="75"/>
        <v>1604.4847</v>
      </c>
      <c r="H671" s="7">
        <f t="shared" si="76"/>
        <v>655.48469999999998</v>
      </c>
      <c r="I671" s="7">
        <f t="shared" si="77"/>
        <v>429660.19193408999</v>
      </c>
      <c r="N671" t="s">
        <v>22</v>
      </c>
      <c r="O671">
        <f>ROUND((F759-(L659*(L661^2))),4)</f>
        <v>285780855.92500001</v>
      </c>
    </row>
    <row r="672" spans="2:15">
      <c r="B672" s="15">
        <v>313101</v>
      </c>
      <c r="C672" s="8">
        <v>1007</v>
      </c>
      <c r="D672" s="7">
        <f t="shared" si="72"/>
        <v>315292707</v>
      </c>
      <c r="E672" s="7">
        <f t="shared" si="73"/>
        <v>98032236201</v>
      </c>
      <c r="F672" s="7">
        <f t="shared" si="74"/>
        <v>1014049</v>
      </c>
      <c r="G672" s="7">
        <f t="shared" si="75"/>
        <v>1592.4349</v>
      </c>
      <c r="H672" s="7">
        <f t="shared" si="76"/>
        <v>585.43489999999997</v>
      </c>
      <c r="I672" s="7">
        <f t="shared" si="77"/>
        <v>342734.02213800995</v>
      </c>
    </row>
    <row r="673" spans="2:18">
      <c r="B673" s="15">
        <v>317254</v>
      </c>
      <c r="C673" s="8">
        <v>682</v>
      </c>
      <c r="D673" s="7">
        <f t="shared" si="72"/>
        <v>216367228</v>
      </c>
      <c r="E673" s="7">
        <f t="shared" si="73"/>
        <v>100650100516</v>
      </c>
      <c r="F673" s="7">
        <f t="shared" si="74"/>
        <v>465124</v>
      </c>
      <c r="G673" s="7">
        <f t="shared" si="75"/>
        <v>1586.6206999999999</v>
      </c>
      <c r="H673" s="7">
        <f t="shared" si="76"/>
        <v>904.62070000000006</v>
      </c>
      <c r="I673" s="7">
        <f t="shared" si="77"/>
        <v>818338.61086849007</v>
      </c>
    </row>
    <row r="674" spans="2:18">
      <c r="B674" s="15">
        <v>324862</v>
      </c>
      <c r="C674" s="8">
        <v>365</v>
      </c>
      <c r="D674" s="7">
        <f t="shared" si="72"/>
        <v>118574630</v>
      </c>
      <c r="E674" s="7">
        <f t="shared" si="73"/>
        <v>105535319044</v>
      </c>
      <c r="F674" s="7">
        <f t="shared" si="74"/>
        <v>133225</v>
      </c>
      <c r="G674" s="7">
        <f t="shared" si="75"/>
        <v>1575.9694999999999</v>
      </c>
      <c r="H674" s="7">
        <f t="shared" si="76"/>
        <v>1210.9694999999999</v>
      </c>
      <c r="I674" s="7">
        <f t="shared" si="77"/>
        <v>1466447.1299302499</v>
      </c>
      <c r="O674" s="15"/>
      <c r="P674" s="15"/>
      <c r="Q674" s="15"/>
      <c r="R674" s="15"/>
    </row>
    <row r="675" spans="2:18">
      <c r="B675" s="15">
        <v>327040</v>
      </c>
      <c r="C675" s="8">
        <v>847</v>
      </c>
      <c r="D675" s="7">
        <f t="shared" si="72"/>
        <v>277002880</v>
      </c>
      <c r="E675" s="7">
        <f t="shared" si="73"/>
        <v>106955161600</v>
      </c>
      <c r="F675" s="7">
        <f t="shared" si="74"/>
        <v>717409</v>
      </c>
      <c r="G675" s="7">
        <f t="shared" si="75"/>
        <v>1572.9203</v>
      </c>
      <c r="H675" s="7">
        <f t="shared" si="76"/>
        <v>725.9203</v>
      </c>
      <c r="I675" s="7">
        <f t="shared" si="77"/>
        <v>526960.28195208998</v>
      </c>
      <c r="M675" t="s">
        <v>22</v>
      </c>
      <c r="N675">
        <f>O664/(SQRT(O668)*SQRT(O671))</f>
        <v>-0.44705796351031118</v>
      </c>
      <c r="O675" s="15"/>
      <c r="P675" s="15"/>
      <c r="Q675" s="15">
        <f>N675^2</f>
        <v>0.19986082273798672</v>
      </c>
      <c r="R675" s="15"/>
    </row>
    <row r="676" spans="2:18">
      <c r="B676" s="15">
        <v>328946</v>
      </c>
      <c r="C676" s="8">
        <v>642</v>
      </c>
      <c r="D676" s="7">
        <f t="shared" si="72"/>
        <v>211183332</v>
      </c>
      <c r="E676" s="7">
        <f t="shared" si="73"/>
        <v>108205470916</v>
      </c>
      <c r="F676" s="7">
        <f t="shared" si="74"/>
        <v>412164</v>
      </c>
      <c r="G676" s="7">
        <f t="shared" si="75"/>
        <v>1570.2519</v>
      </c>
      <c r="H676" s="7">
        <f t="shared" si="76"/>
        <v>928.25189999999998</v>
      </c>
      <c r="I676" s="7">
        <f t="shared" si="77"/>
        <v>861651.58985360991</v>
      </c>
      <c r="O676" s="15"/>
      <c r="P676" s="15"/>
      <c r="Q676" s="15"/>
      <c r="R676" s="15"/>
    </row>
    <row r="677" spans="2:18">
      <c r="B677" s="15">
        <v>337944</v>
      </c>
      <c r="C677" s="8">
        <v>627</v>
      </c>
      <c r="D677" s="7">
        <f t="shared" si="72"/>
        <v>211890888</v>
      </c>
      <c r="E677" s="7">
        <f t="shared" si="73"/>
        <v>114206147136</v>
      </c>
      <c r="F677" s="7">
        <f t="shared" si="74"/>
        <v>393129</v>
      </c>
      <c r="G677" s="7">
        <f t="shared" si="75"/>
        <v>1557.6547</v>
      </c>
      <c r="H677" s="7">
        <f t="shared" si="76"/>
        <v>930.65470000000005</v>
      </c>
      <c r="I677" s="7">
        <f t="shared" si="77"/>
        <v>866118.17063209007</v>
      </c>
    </row>
    <row r="678" spans="2:18">
      <c r="B678" s="15">
        <v>352247</v>
      </c>
      <c r="C678" s="8">
        <v>577</v>
      </c>
      <c r="D678" s="7">
        <f t="shared" si="72"/>
        <v>203246519</v>
      </c>
      <c r="E678" s="7">
        <f t="shared" si="73"/>
        <v>124077949009</v>
      </c>
      <c r="F678" s="7">
        <f t="shared" si="74"/>
        <v>332929</v>
      </c>
      <c r="G678" s="7">
        <f t="shared" si="75"/>
        <v>1537.6305</v>
      </c>
      <c r="H678" s="7">
        <f t="shared" si="76"/>
        <v>960.63049999999998</v>
      </c>
      <c r="I678" s="7">
        <f t="shared" si="77"/>
        <v>922810.95753024996</v>
      </c>
    </row>
    <row r="679" spans="2:18">
      <c r="B679" s="15">
        <v>365719</v>
      </c>
      <c r="C679" s="8">
        <v>564</v>
      </c>
      <c r="D679" s="7">
        <f t="shared" si="72"/>
        <v>206265516</v>
      </c>
      <c r="E679" s="7">
        <f t="shared" si="73"/>
        <v>133750386961</v>
      </c>
      <c r="F679" s="7">
        <f t="shared" si="74"/>
        <v>318096</v>
      </c>
      <c r="G679" s="7">
        <f t="shared" si="75"/>
        <v>1518.7697000000001</v>
      </c>
      <c r="H679" s="7">
        <f t="shared" si="76"/>
        <v>954.76969999999994</v>
      </c>
      <c r="I679" s="7">
        <f t="shared" si="77"/>
        <v>911585.18003808986</v>
      </c>
    </row>
    <row r="680" spans="2:18">
      <c r="B680" s="15">
        <v>371084</v>
      </c>
      <c r="C680" s="8">
        <v>541</v>
      </c>
      <c r="D680" s="7">
        <f t="shared" si="72"/>
        <v>200756444</v>
      </c>
      <c r="E680" s="7">
        <f t="shared" si="73"/>
        <v>137703335056</v>
      </c>
      <c r="F680" s="7">
        <f t="shared" si="74"/>
        <v>292681</v>
      </c>
      <c r="G680" s="7">
        <f t="shared" si="75"/>
        <v>1511.2587000000001</v>
      </c>
      <c r="H680" s="7">
        <f t="shared" si="76"/>
        <v>970.25869999999998</v>
      </c>
      <c r="I680" s="7">
        <f t="shared" si="77"/>
        <v>941401.94492568995</v>
      </c>
    </row>
    <row r="681" spans="2:18">
      <c r="B681" s="15">
        <v>377464</v>
      </c>
      <c r="C681" s="8">
        <v>256</v>
      </c>
      <c r="D681" s="7">
        <f t="shared" si="72"/>
        <v>96630784</v>
      </c>
      <c r="E681" s="7">
        <f t="shared" si="73"/>
        <v>142479071296</v>
      </c>
      <c r="F681" s="7">
        <f t="shared" si="74"/>
        <v>65536</v>
      </c>
      <c r="G681" s="7">
        <f t="shared" si="75"/>
        <v>1502.3267000000001</v>
      </c>
      <c r="H681" s="7">
        <f t="shared" si="76"/>
        <v>1246.3267000000001</v>
      </c>
      <c r="I681" s="7">
        <f t="shared" si="77"/>
        <v>1553330.2431328902</v>
      </c>
    </row>
    <row r="682" spans="2:18">
      <c r="B682" s="15">
        <v>380479</v>
      </c>
      <c r="C682" s="8">
        <v>384</v>
      </c>
      <c r="D682" s="7">
        <f t="shared" si="72"/>
        <v>146103936</v>
      </c>
      <c r="E682" s="7">
        <f t="shared" si="73"/>
        <v>144764269441</v>
      </c>
      <c r="F682" s="7">
        <f t="shared" si="74"/>
        <v>147456</v>
      </c>
      <c r="G682" s="7">
        <f t="shared" si="75"/>
        <v>1498.1057000000001</v>
      </c>
      <c r="H682" s="7">
        <f t="shared" si="76"/>
        <v>1114.1057000000001</v>
      </c>
      <c r="I682" s="7">
        <f t="shared" si="77"/>
        <v>1241231.5107724902</v>
      </c>
    </row>
    <row r="683" spans="2:18">
      <c r="B683" s="15">
        <v>386426</v>
      </c>
      <c r="C683" s="8">
        <v>673</v>
      </c>
      <c r="D683" s="7">
        <f t="shared" si="72"/>
        <v>260064698</v>
      </c>
      <c r="E683" s="7">
        <f t="shared" si="73"/>
        <v>149325053476</v>
      </c>
      <c r="F683" s="7">
        <f t="shared" si="74"/>
        <v>452929</v>
      </c>
      <c r="G683" s="7">
        <f t="shared" si="75"/>
        <v>1489.7799</v>
      </c>
      <c r="H683" s="7">
        <f t="shared" si="76"/>
        <v>816.7799</v>
      </c>
      <c r="I683" s="7">
        <f t="shared" si="77"/>
        <v>667129.40504401003</v>
      </c>
      <c r="L683" t="s">
        <v>22</v>
      </c>
      <c r="M683">
        <f>ROUND((O664/O668),4)</f>
        <v>-1.4E-3</v>
      </c>
    </row>
    <row r="684" spans="2:18">
      <c r="B684" s="15">
        <v>408323</v>
      </c>
      <c r="C684" s="8">
        <v>485</v>
      </c>
      <c r="D684" s="7">
        <f t="shared" si="72"/>
        <v>198036655</v>
      </c>
      <c r="E684" s="7">
        <f t="shared" si="73"/>
        <v>166727672329</v>
      </c>
      <c r="F684" s="7">
        <f t="shared" si="74"/>
        <v>235225</v>
      </c>
      <c r="G684" s="7">
        <f t="shared" si="75"/>
        <v>1459.1241</v>
      </c>
      <c r="H684" s="7">
        <f t="shared" si="76"/>
        <v>974.1241</v>
      </c>
      <c r="I684" s="7">
        <f t="shared" si="77"/>
        <v>948917.76220081002</v>
      </c>
    </row>
    <row r="685" spans="2:18">
      <c r="B685" s="15">
        <v>441676</v>
      </c>
      <c r="C685" s="8">
        <v>568</v>
      </c>
      <c r="D685" s="7">
        <f t="shared" si="72"/>
        <v>250871968</v>
      </c>
      <c r="E685" s="7">
        <f t="shared" si="73"/>
        <v>195077688976</v>
      </c>
      <c r="F685" s="7">
        <f t="shared" si="74"/>
        <v>322624</v>
      </c>
      <c r="G685" s="7">
        <f t="shared" si="75"/>
        <v>1412.4299000000001</v>
      </c>
      <c r="H685" s="7">
        <f t="shared" si="76"/>
        <v>844.42989999999998</v>
      </c>
      <c r="I685" s="7">
        <f t="shared" si="77"/>
        <v>713061.85601400991</v>
      </c>
    </row>
    <row r="686" spans="2:18">
      <c r="B686" s="15">
        <v>469651</v>
      </c>
      <c r="C686" s="8">
        <v>457</v>
      </c>
      <c r="D686" s="7">
        <f t="shared" si="72"/>
        <v>214630507</v>
      </c>
      <c r="E686" s="7">
        <f t="shared" si="73"/>
        <v>220572061801</v>
      </c>
      <c r="F686" s="7">
        <f t="shared" si="74"/>
        <v>208849</v>
      </c>
      <c r="G686" s="7">
        <f t="shared" si="75"/>
        <v>1373.2648999999999</v>
      </c>
      <c r="H686" s="7">
        <f t="shared" si="76"/>
        <v>916.26490000000001</v>
      </c>
      <c r="I686" s="7">
        <f t="shared" si="77"/>
        <v>839541.36697201</v>
      </c>
      <c r="L686" t="s">
        <v>22</v>
      </c>
      <c r="M686">
        <f>ROUND((L661-(M683*L660)),4)</f>
        <v>2030.7763</v>
      </c>
    </row>
    <row r="687" spans="2:18">
      <c r="B687" s="15">
        <v>482561</v>
      </c>
      <c r="C687" s="8">
        <v>450</v>
      </c>
      <c r="D687" s="7">
        <f t="shared" si="72"/>
        <v>217152450</v>
      </c>
      <c r="E687" s="7">
        <f t="shared" si="73"/>
        <v>232865118721</v>
      </c>
      <c r="F687" s="7">
        <f t="shared" si="74"/>
        <v>202500</v>
      </c>
      <c r="G687" s="7">
        <f t="shared" si="75"/>
        <v>1355.1909000000001</v>
      </c>
      <c r="H687" s="7">
        <f t="shared" si="76"/>
        <v>905.19090000000006</v>
      </c>
      <c r="I687" s="7">
        <f t="shared" si="77"/>
        <v>819370.56544281007</v>
      </c>
    </row>
    <row r="688" spans="2:18">
      <c r="B688" s="15">
        <v>488236</v>
      </c>
      <c r="C688" s="8">
        <v>248</v>
      </c>
      <c r="D688" s="7">
        <f t="shared" si="72"/>
        <v>121082528</v>
      </c>
      <c r="E688" s="7">
        <f t="shared" si="73"/>
        <v>238374391696</v>
      </c>
      <c r="F688" s="7">
        <f t="shared" si="74"/>
        <v>61504</v>
      </c>
      <c r="G688" s="7">
        <f t="shared" si="75"/>
        <v>1347.2458999999999</v>
      </c>
      <c r="H688" s="7">
        <f t="shared" si="76"/>
        <v>1099.2458999999999</v>
      </c>
      <c r="I688" s="7">
        <f t="shared" si="77"/>
        <v>1208341.5486668097</v>
      </c>
    </row>
    <row r="689" spans="2:24">
      <c r="B689" s="15">
        <v>495868</v>
      </c>
      <c r="C689" s="8">
        <v>434</v>
      </c>
      <c r="D689" s="7">
        <f t="shared" si="72"/>
        <v>215206712</v>
      </c>
      <c r="E689" s="7">
        <f t="shared" si="73"/>
        <v>245885073424</v>
      </c>
      <c r="F689" s="7">
        <f t="shared" si="74"/>
        <v>188356</v>
      </c>
      <c r="G689" s="7">
        <f t="shared" si="75"/>
        <v>1336.5610999999999</v>
      </c>
      <c r="H689" s="7">
        <f t="shared" si="76"/>
        <v>902.56110000000001</v>
      </c>
      <c r="I689" s="7">
        <f t="shared" si="77"/>
        <v>814616.53923321003</v>
      </c>
    </row>
    <row r="690" spans="2:24">
      <c r="B690" s="15">
        <v>497940</v>
      </c>
      <c r="C690" s="8">
        <v>575</v>
      </c>
      <c r="D690" s="7">
        <f t="shared" si="72"/>
        <v>286315500</v>
      </c>
      <c r="E690" s="7">
        <f t="shared" si="73"/>
        <v>247944243600</v>
      </c>
      <c r="F690" s="7">
        <f t="shared" si="74"/>
        <v>330625</v>
      </c>
      <c r="G690" s="7">
        <f t="shared" si="75"/>
        <v>1333.6603</v>
      </c>
      <c r="H690" s="7">
        <f t="shared" si="76"/>
        <v>758.66030000000001</v>
      </c>
      <c r="I690" s="7">
        <f t="shared" si="77"/>
        <v>575565.45079609007</v>
      </c>
    </row>
    <row r="691" spans="2:24">
      <c r="B691" s="15">
        <v>501547</v>
      </c>
      <c r="C691" s="8">
        <v>423</v>
      </c>
      <c r="D691" s="7">
        <f t="shared" si="72"/>
        <v>212154381</v>
      </c>
      <c r="E691" s="7">
        <f t="shared" si="73"/>
        <v>251549393209</v>
      </c>
      <c r="F691" s="7">
        <f t="shared" si="74"/>
        <v>178929</v>
      </c>
      <c r="G691" s="7">
        <f t="shared" si="75"/>
        <v>1328.6105</v>
      </c>
      <c r="H691" s="7">
        <f t="shared" si="76"/>
        <v>905.6105</v>
      </c>
      <c r="I691" s="7">
        <f t="shared" si="77"/>
        <v>820130.37771024997</v>
      </c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</row>
    <row r="692" spans="2:24">
      <c r="B692" s="15">
        <v>506051</v>
      </c>
      <c r="C692" s="8">
        <v>488</v>
      </c>
      <c r="D692" s="7">
        <f t="shared" si="72"/>
        <v>246952888</v>
      </c>
      <c r="E692" s="7">
        <f t="shared" si="73"/>
        <v>256087614601</v>
      </c>
      <c r="F692" s="7">
        <f t="shared" si="74"/>
        <v>238144</v>
      </c>
      <c r="G692" s="7">
        <f t="shared" si="75"/>
        <v>1322.3049000000001</v>
      </c>
      <c r="H692" s="7">
        <f t="shared" si="76"/>
        <v>834.30489999999998</v>
      </c>
      <c r="I692" s="7">
        <f t="shared" si="77"/>
        <v>696064.66616400995</v>
      </c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</row>
    <row r="693" spans="2:24">
      <c r="B693" s="15">
        <v>508507</v>
      </c>
      <c r="C693" s="8">
        <v>344</v>
      </c>
      <c r="D693" s="7">
        <f t="shared" si="72"/>
        <v>174926408</v>
      </c>
      <c r="E693" s="7">
        <f t="shared" si="73"/>
        <v>258579369049</v>
      </c>
      <c r="F693" s="7">
        <f t="shared" si="74"/>
        <v>118336</v>
      </c>
      <c r="G693" s="7">
        <f t="shared" si="75"/>
        <v>1318.8665000000001</v>
      </c>
      <c r="H693" s="7">
        <f t="shared" si="76"/>
        <v>974.86649999999997</v>
      </c>
      <c r="I693" s="7">
        <f t="shared" si="77"/>
        <v>950364.69282224996</v>
      </c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</row>
    <row r="694" spans="2:24">
      <c r="B694" s="15">
        <v>510025</v>
      </c>
      <c r="C694" s="8">
        <v>365</v>
      </c>
      <c r="D694" s="7">
        <f t="shared" si="72"/>
        <v>186159125</v>
      </c>
      <c r="E694" s="7">
        <f t="shared" si="73"/>
        <v>260125500625</v>
      </c>
      <c r="F694" s="7">
        <f t="shared" si="74"/>
        <v>133225</v>
      </c>
      <c r="G694" s="7">
        <f t="shared" si="75"/>
        <v>1316.7412999999999</v>
      </c>
      <c r="H694" s="7">
        <f t="shared" si="76"/>
        <v>951.74130000000002</v>
      </c>
      <c r="I694" s="7">
        <f t="shared" si="77"/>
        <v>905811.50212568999</v>
      </c>
      <c r="J694" s="77"/>
      <c r="K694" s="38" t="s">
        <v>41</v>
      </c>
      <c r="L694" s="33">
        <f>ROUND(O671-N694*O664,4)</f>
        <v>228707836.80860001</v>
      </c>
      <c r="M694" s="38"/>
      <c r="N694" s="33">
        <f>M683</f>
        <v>-1.4E-3</v>
      </c>
      <c r="O694" s="77"/>
      <c r="P694" s="77"/>
      <c r="Q694" s="77"/>
      <c r="R694" s="77"/>
      <c r="S694" s="77"/>
      <c r="T694" s="77"/>
      <c r="U694" s="77"/>
      <c r="V694" s="77"/>
      <c r="W694" s="77"/>
      <c r="X694" s="77"/>
    </row>
    <row r="695" spans="2:24">
      <c r="B695" s="15">
        <v>511095</v>
      </c>
      <c r="C695" s="8">
        <v>309</v>
      </c>
      <c r="D695" s="7">
        <f t="shared" si="72"/>
        <v>157928355</v>
      </c>
      <c r="E695" s="7">
        <f t="shared" si="73"/>
        <v>261218099025</v>
      </c>
      <c r="F695" s="7">
        <f t="shared" si="74"/>
        <v>95481</v>
      </c>
      <c r="G695" s="7">
        <f t="shared" si="75"/>
        <v>1315.2433000000001</v>
      </c>
      <c r="H695" s="7">
        <f t="shared" si="76"/>
        <v>1006.2433</v>
      </c>
      <c r="I695" s="7">
        <f t="shared" si="77"/>
        <v>1012525.57879489</v>
      </c>
      <c r="J695" s="77"/>
      <c r="K695" s="36" t="s">
        <v>42</v>
      </c>
      <c r="L695" s="26">
        <f>ROUND((O664^2)/O668,4)</f>
        <v>57116396.987899996</v>
      </c>
      <c r="M695" s="77"/>
      <c r="N695" s="26"/>
      <c r="O695" s="77"/>
      <c r="P695" s="77"/>
      <c r="Q695" s="77"/>
      <c r="R695" s="77"/>
      <c r="S695" s="77"/>
      <c r="T695" s="77"/>
      <c r="U695" s="77"/>
      <c r="V695" s="77"/>
      <c r="W695" s="77"/>
      <c r="X695" s="77"/>
    </row>
    <row r="696" spans="2:24">
      <c r="B696" s="15">
        <v>513723</v>
      </c>
      <c r="C696" s="8">
        <v>388</v>
      </c>
      <c r="D696" s="7">
        <f t="shared" si="72"/>
        <v>199324524</v>
      </c>
      <c r="E696" s="7">
        <f t="shared" si="73"/>
        <v>263911320729</v>
      </c>
      <c r="F696" s="7">
        <f t="shared" si="74"/>
        <v>150544</v>
      </c>
      <c r="G696" s="7">
        <f t="shared" si="75"/>
        <v>1311.5641000000001</v>
      </c>
      <c r="H696" s="7">
        <f t="shared" si="76"/>
        <v>923.56410000000005</v>
      </c>
      <c r="I696" s="7">
        <f t="shared" si="77"/>
        <v>852970.64680881007</v>
      </c>
      <c r="J696" s="77"/>
      <c r="K696" s="36" t="s">
        <v>43</v>
      </c>
      <c r="L696" s="26">
        <f>O671</f>
        <v>285780855.92500001</v>
      </c>
      <c r="M696" s="77"/>
      <c r="N696" s="26">
        <f>M686</f>
        <v>2030.7763</v>
      </c>
      <c r="O696" s="77"/>
      <c r="P696" s="77"/>
      <c r="Q696" s="77"/>
      <c r="R696" s="77"/>
      <c r="S696" s="77"/>
      <c r="T696" s="77"/>
      <c r="U696" s="77"/>
      <c r="V696" s="77"/>
      <c r="W696" s="77"/>
      <c r="X696" s="77"/>
    </row>
    <row r="697" spans="2:24">
      <c r="B697" s="15">
        <v>517319</v>
      </c>
      <c r="C697" s="8">
        <v>618</v>
      </c>
      <c r="D697" s="7">
        <f t="shared" si="72"/>
        <v>319703142</v>
      </c>
      <c r="E697" s="7">
        <f t="shared" si="73"/>
        <v>267618947761</v>
      </c>
      <c r="F697" s="7">
        <f t="shared" si="74"/>
        <v>381924</v>
      </c>
      <c r="G697" s="7">
        <f t="shared" si="75"/>
        <v>1306.5297</v>
      </c>
      <c r="H697" s="7">
        <f t="shared" si="76"/>
        <v>688.52970000000005</v>
      </c>
      <c r="I697" s="7">
        <f t="shared" si="77"/>
        <v>474073.14778209006</v>
      </c>
      <c r="J697" s="77"/>
      <c r="K697" s="36" t="s">
        <v>59</v>
      </c>
      <c r="L697" s="26">
        <f>ROUND(SQRT(L694/(L660-2)),4)</f>
        <v>18.269500000000001</v>
      </c>
      <c r="M697" s="77"/>
      <c r="N697" s="26"/>
      <c r="O697" s="77"/>
      <c r="P697" s="77"/>
      <c r="Q697" s="77"/>
      <c r="R697" s="77"/>
      <c r="S697" s="77"/>
      <c r="T697" s="77"/>
      <c r="U697" s="77"/>
      <c r="V697" s="77"/>
      <c r="W697" s="77"/>
      <c r="X697" s="77"/>
    </row>
    <row r="698" spans="2:24" ht="13.5" thickBot="1">
      <c r="B698" s="15">
        <v>527026</v>
      </c>
      <c r="C698" s="8">
        <v>592</v>
      </c>
      <c r="D698" s="7">
        <f t="shared" si="72"/>
        <v>311999392</v>
      </c>
      <c r="E698" s="7">
        <f t="shared" si="73"/>
        <v>277756404676</v>
      </c>
      <c r="F698" s="7">
        <f t="shared" si="74"/>
        <v>350464</v>
      </c>
      <c r="G698" s="7">
        <f t="shared" si="75"/>
        <v>1292.9399000000001</v>
      </c>
      <c r="H698" s="7">
        <f t="shared" si="76"/>
        <v>700.93989999999997</v>
      </c>
      <c r="I698" s="7">
        <f t="shared" si="77"/>
        <v>491316.74341200996</v>
      </c>
      <c r="J698" s="77"/>
      <c r="K698" s="37"/>
      <c r="L698" s="27"/>
      <c r="M698" s="37"/>
      <c r="N698" s="27">
        <f>ROUND(N694*SQRT(O668/O671),4)</f>
        <v>-0.44669999999999999</v>
      </c>
      <c r="O698" s="77"/>
      <c r="P698" s="77"/>
      <c r="Q698" s="77"/>
      <c r="R698" s="77"/>
      <c r="S698" s="77"/>
      <c r="T698" s="77"/>
      <c r="U698" s="77"/>
      <c r="V698" s="77"/>
      <c r="W698" s="77"/>
      <c r="X698" s="77"/>
    </row>
    <row r="699" spans="2:24">
      <c r="B699" s="15">
        <v>569074</v>
      </c>
      <c r="C699" s="8">
        <v>548</v>
      </c>
      <c r="D699" s="7">
        <f t="shared" si="72"/>
        <v>311852552</v>
      </c>
      <c r="E699" s="7">
        <f t="shared" si="73"/>
        <v>323845217476</v>
      </c>
      <c r="F699" s="7">
        <f t="shared" si="74"/>
        <v>300304</v>
      </c>
      <c r="G699" s="7">
        <f t="shared" si="75"/>
        <v>1234.0726999999999</v>
      </c>
      <c r="H699" s="7">
        <f t="shared" si="76"/>
        <v>686.07270000000005</v>
      </c>
      <c r="I699" s="7">
        <f t="shared" si="77"/>
        <v>470695.74968529009</v>
      </c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</row>
    <row r="700" spans="2:24" ht="13.5" thickBot="1">
      <c r="B700" s="15">
        <v>585830</v>
      </c>
      <c r="C700" s="8">
        <v>280</v>
      </c>
      <c r="D700" s="7">
        <f t="shared" si="72"/>
        <v>164032400</v>
      </c>
      <c r="E700" s="7">
        <f t="shared" si="73"/>
        <v>343196788900</v>
      </c>
      <c r="F700" s="7">
        <f t="shared" si="74"/>
        <v>78400</v>
      </c>
      <c r="G700" s="7">
        <f t="shared" si="75"/>
        <v>1210.6143</v>
      </c>
      <c r="H700" s="7">
        <f t="shared" si="76"/>
        <v>930.61429999999996</v>
      </c>
      <c r="I700" s="7">
        <f t="shared" si="77"/>
        <v>866042.97536448995</v>
      </c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</row>
    <row r="701" spans="2:24">
      <c r="B701" s="15">
        <v>592953</v>
      </c>
      <c r="C701" s="8">
        <v>193</v>
      </c>
      <c r="D701" s="7">
        <f t="shared" si="72"/>
        <v>114439929</v>
      </c>
      <c r="E701" s="7">
        <f t="shared" si="73"/>
        <v>351593260209</v>
      </c>
      <c r="F701" s="7">
        <f t="shared" si="74"/>
        <v>37249</v>
      </c>
      <c r="G701" s="7">
        <f t="shared" si="75"/>
        <v>1200.6421</v>
      </c>
      <c r="H701" s="7">
        <f t="shared" si="76"/>
        <v>1007.6421</v>
      </c>
      <c r="I701" s="7">
        <f t="shared" si="77"/>
        <v>1015342.6016924101</v>
      </c>
      <c r="J701" s="77"/>
      <c r="K701" s="20"/>
      <c r="L701" s="20" t="s">
        <v>55</v>
      </c>
      <c r="M701" s="20" t="s">
        <v>48</v>
      </c>
      <c r="N701" s="20" t="s">
        <v>49</v>
      </c>
      <c r="O701" s="20" t="s">
        <v>50</v>
      </c>
      <c r="P701" s="20" t="s">
        <v>51</v>
      </c>
      <c r="Q701" s="77"/>
      <c r="R701" s="77"/>
      <c r="S701" s="77"/>
      <c r="T701" s="77"/>
      <c r="U701" s="77"/>
      <c r="V701" s="77"/>
      <c r="W701" s="77"/>
      <c r="X701" s="77"/>
    </row>
    <row r="702" spans="2:24">
      <c r="B702" s="15">
        <v>596680</v>
      </c>
      <c r="C702" s="8">
        <v>159</v>
      </c>
      <c r="D702" s="7">
        <f t="shared" si="72"/>
        <v>94872120</v>
      </c>
      <c r="E702" s="7">
        <f t="shared" si="73"/>
        <v>356027022400</v>
      </c>
      <c r="F702" s="7">
        <f t="shared" si="74"/>
        <v>25281</v>
      </c>
      <c r="G702" s="7">
        <f t="shared" si="75"/>
        <v>1195.4242999999999</v>
      </c>
      <c r="H702" s="7">
        <f t="shared" si="76"/>
        <v>1036.4242999999999</v>
      </c>
      <c r="I702" s="7">
        <f t="shared" si="77"/>
        <v>1074175.3296304897</v>
      </c>
      <c r="J702" s="77"/>
      <c r="K702" s="76" t="s">
        <v>56</v>
      </c>
      <c r="L702" s="18" t="s">
        <v>45</v>
      </c>
      <c r="M702" s="18">
        <v>1</v>
      </c>
      <c r="N702" s="18">
        <f>L695</f>
        <v>57116396.987899996</v>
      </c>
      <c r="O702" s="18">
        <f>N702/M702</f>
        <v>57116396.987899996</v>
      </c>
      <c r="P702" s="18">
        <f>O702/O703</f>
        <v>29.468753404425396</v>
      </c>
      <c r="Q702" s="77"/>
      <c r="R702" s="77"/>
      <c r="S702" s="77"/>
      <c r="T702" s="77"/>
      <c r="U702" s="77"/>
      <c r="V702" s="77"/>
      <c r="W702" s="77"/>
      <c r="X702" s="77"/>
    </row>
    <row r="703" spans="2:24">
      <c r="B703" s="15">
        <v>602600</v>
      </c>
      <c r="C703" s="8">
        <v>874</v>
      </c>
      <c r="D703" s="7">
        <f t="shared" si="72"/>
        <v>526672400</v>
      </c>
      <c r="E703" s="7">
        <f t="shared" si="73"/>
        <v>363126760000</v>
      </c>
      <c r="F703" s="7">
        <f t="shared" si="74"/>
        <v>763876</v>
      </c>
      <c r="G703" s="7">
        <f t="shared" si="75"/>
        <v>1187.1362999999999</v>
      </c>
      <c r="H703" s="7">
        <f t="shared" si="76"/>
        <v>313.13630000000001</v>
      </c>
      <c r="I703" s="7">
        <f t="shared" si="77"/>
        <v>98054.342377690002</v>
      </c>
      <c r="J703" s="77"/>
      <c r="K703" s="76" t="s">
        <v>57</v>
      </c>
      <c r="L703" s="18" t="s">
        <v>46</v>
      </c>
      <c r="M703" s="77">
        <v>118</v>
      </c>
      <c r="N703" s="18">
        <f>L694</f>
        <v>228707836.80860001</v>
      </c>
      <c r="O703" s="18">
        <f>N703/M703</f>
        <v>1938202.0068525425</v>
      </c>
      <c r="P703" s="18"/>
      <c r="Q703" s="77"/>
      <c r="R703" s="77"/>
      <c r="S703" s="77"/>
      <c r="T703" s="77"/>
      <c r="U703" s="77"/>
      <c r="V703" s="77"/>
      <c r="W703" s="77"/>
      <c r="X703" s="77"/>
    </row>
    <row r="704" spans="2:24" ht="13.5" thickBot="1">
      <c r="B704" s="15">
        <v>605682</v>
      </c>
      <c r="C704" s="8">
        <v>663</v>
      </c>
      <c r="D704" s="7">
        <f t="shared" ref="D704:D758" si="78">B704*C704</f>
        <v>401567166</v>
      </c>
      <c r="E704" s="7">
        <f t="shared" ref="E704:E758" si="79">B704^2</f>
        <v>366850685124</v>
      </c>
      <c r="F704" s="7">
        <f t="shared" ref="F704:F758" si="80">C704^2</f>
        <v>439569</v>
      </c>
      <c r="G704" s="7">
        <f t="shared" ref="G704:G758" si="81">ROUND($M$686+$M$683*B704,4)</f>
        <v>1182.8215</v>
      </c>
      <c r="H704" s="7">
        <f t="shared" ref="H704:H758" si="82">ROUND(G704-C704,4)</f>
        <v>519.82150000000001</v>
      </c>
      <c r="I704" s="7">
        <f t="shared" ref="I704:I758" si="83">H704^2</f>
        <v>270214.39186224999</v>
      </c>
      <c r="J704" s="77"/>
      <c r="K704" s="24" t="s">
        <v>58</v>
      </c>
      <c r="L704" s="19" t="s">
        <v>47</v>
      </c>
      <c r="M704" s="28">
        <v>119</v>
      </c>
      <c r="N704" s="19">
        <f>L696</f>
        <v>285780855.92500001</v>
      </c>
      <c r="O704" s="19"/>
      <c r="P704" s="19"/>
      <c r="Q704" s="77"/>
      <c r="R704" s="77"/>
      <c r="S704" s="77"/>
      <c r="T704" s="77"/>
      <c r="U704" s="77"/>
      <c r="V704" s="77"/>
      <c r="W704" s="77"/>
      <c r="X704" s="77"/>
    </row>
    <row r="705" spans="2:24">
      <c r="B705" s="15">
        <v>616121</v>
      </c>
      <c r="C705" s="8">
        <v>602</v>
      </c>
      <c r="D705" s="7">
        <f t="shared" si="78"/>
        <v>370904842</v>
      </c>
      <c r="E705" s="7">
        <f t="shared" si="79"/>
        <v>379605086641</v>
      </c>
      <c r="F705" s="7">
        <f t="shared" si="80"/>
        <v>362404</v>
      </c>
      <c r="G705" s="7">
        <f t="shared" si="81"/>
        <v>1168.2068999999999</v>
      </c>
      <c r="H705" s="7">
        <f t="shared" si="82"/>
        <v>566.20690000000002</v>
      </c>
      <c r="I705" s="7">
        <f t="shared" si="83"/>
        <v>320590.25360761001</v>
      </c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</row>
    <row r="706" spans="2:24">
      <c r="B706" s="15">
        <v>631127</v>
      </c>
      <c r="C706" s="8">
        <v>694</v>
      </c>
      <c r="D706" s="7">
        <f t="shared" si="78"/>
        <v>438002138</v>
      </c>
      <c r="E706" s="7">
        <f t="shared" si="79"/>
        <v>398321290129</v>
      </c>
      <c r="F706" s="7">
        <f t="shared" si="80"/>
        <v>481636</v>
      </c>
      <c r="G706" s="7">
        <f t="shared" si="81"/>
        <v>1147.1985</v>
      </c>
      <c r="H706" s="7">
        <f t="shared" si="82"/>
        <v>453.19850000000002</v>
      </c>
      <c r="I706" s="7">
        <f t="shared" si="83"/>
        <v>205388.88040225001</v>
      </c>
      <c r="J706" s="77"/>
      <c r="K706" s="73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</row>
    <row r="707" spans="2:24">
      <c r="B707" s="15">
        <v>643712</v>
      </c>
      <c r="C707" s="8">
        <v>601</v>
      </c>
      <c r="D707" s="7">
        <f t="shared" si="78"/>
        <v>386870912</v>
      </c>
      <c r="E707" s="7">
        <f t="shared" si="79"/>
        <v>414365138944</v>
      </c>
      <c r="F707" s="7">
        <f t="shared" si="80"/>
        <v>361201</v>
      </c>
      <c r="G707" s="7">
        <f t="shared" si="81"/>
        <v>1129.5795000000001</v>
      </c>
      <c r="H707" s="7">
        <f t="shared" si="82"/>
        <v>528.57950000000005</v>
      </c>
      <c r="I707" s="7">
        <f t="shared" si="83"/>
        <v>279396.28782025003</v>
      </c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</row>
    <row r="708" spans="2:24">
      <c r="B708" s="15">
        <v>645818</v>
      </c>
      <c r="C708" s="8">
        <v>566</v>
      </c>
      <c r="D708" s="7">
        <f t="shared" si="78"/>
        <v>365532988</v>
      </c>
      <c r="E708" s="7">
        <f t="shared" si="79"/>
        <v>417080889124</v>
      </c>
      <c r="F708" s="7">
        <f t="shared" si="80"/>
        <v>320356</v>
      </c>
      <c r="G708" s="7">
        <f t="shared" si="81"/>
        <v>1126.6311000000001</v>
      </c>
      <c r="H708" s="7">
        <f t="shared" si="82"/>
        <v>560.63109999999995</v>
      </c>
      <c r="I708" s="7">
        <f t="shared" si="83"/>
        <v>314307.23028720997</v>
      </c>
      <c r="J708" s="77"/>
      <c r="K708" s="14"/>
      <c r="L708" s="14"/>
      <c r="M708" s="14"/>
      <c r="N708" s="14"/>
      <c r="O708" s="14"/>
      <c r="P708" s="77"/>
      <c r="Q708" s="77"/>
      <c r="R708" s="77"/>
      <c r="S708" s="77"/>
      <c r="T708" s="77"/>
      <c r="U708" s="77"/>
      <c r="V708" s="77"/>
      <c r="W708" s="77"/>
      <c r="X708" s="77"/>
    </row>
    <row r="709" spans="2:24">
      <c r="B709" s="15">
        <v>651251</v>
      </c>
      <c r="C709" s="8">
        <v>271</v>
      </c>
      <c r="D709" s="7">
        <f t="shared" si="78"/>
        <v>176489021</v>
      </c>
      <c r="E709" s="7">
        <f t="shared" si="79"/>
        <v>424127865001</v>
      </c>
      <c r="F709" s="7">
        <f t="shared" si="80"/>
        <v>73441</v>
      </c>
      <c r="G709" s="7">
        <f t="shared" si="81"/>
        <v>1119.0248999999999</v>
      </c>
      <c r="H709" s="7">
        <f t="shared" si="82"/>
        <v>848.0249</v>
      </c>
      <c r="I709" s="7">
        <f t="shared" si="83"/>
        <v>719146.23102000996</v>
      </c>
      <c r="J709" s="77"/>
      <c r="K709" s="29" t="s">
        <v>80</v>
      </c>
      <c r="L709" s="14">
        <v>0.05</v>
      </c>
      <c r="M709" s="14"/>
      <c r="N709" s="14"/>
      <c r="O709" s="14"/>
      <c r="P709" s="77"/>
      <c r="Q709" s="77"/>
      <c r="R709" s="77"/>
      <c r="S709" s="77"/>
      <c r="T709" s="77"/>
      <c r="U709" s="77"/>
      <c r="V709" s="77"/>
      <c r="W709" s="77"/>
      <c r="X709" s="77"/>
    </row>
    <row r="710" spans="2:24">
      <c r="B710" s="15">
        <v>653413</v>
      </c>
      <c r="C710" s="8">
        <v>408</v>
      </c>
      <c r="D710" s="7">
        <f t="shared" si="78"/>
        <v>266592504</v>
      </c>
      <c r="E710" s="7">
        <f t="shared" si="79"/>
        <v>426948548569</v>
      </c>
      <c r="F710" s="7">
        <f t="shared" si="80"/>
        <v>166464</v>
      </c>
      <c r="G710" s="7">
        <f t="shared" si="81"/>
        <v>1115.9981</v>
      </c>
      <c r="H710" s="7">
        <f t="shared" si="82"/>
        <v>707.99810000000002</v>
      </c>
      <c r="I710" s="7">
        <f t="shared" si="83"/>
        <v>501261.30960361002</v>
      </c>
      <c r="J710" s="77"/>
      <c r="K710" s="14"/>
      <c r="L710" s="14"/>
      <c r="M710" s="14"/>
      <c r="N710" s="14"/>
      <c r="O710" s="14"/>
      <c r="P710" s="77"/>
      <c r="Q710" s="77"/>
      <c r="R710" s="77"/>
      <c r="S710" s="77"/>
      <c r="T710" s="77"/>
      <c r="U710" s="77"/>
      <c r="V710" s="77"/>
      <c r="W710" s="77"/>
      <c r="X710" s="77"/>
    </row>
    <row r="711" spans="2:24">
      <c r="B711" s="15">
        <v>655193</v>
      </c>
      <c r="C711" s="8">
        <v>684</v>
      </c>
      <c r="D711" s="7">
        <f t="shared" si="78"/>
        <v>448152012</v>
      </c>
      <c r="E711" s="7">
        <f t="shared" si="79"/>
        <v>429277867249</v>
      </c>
      <c r="F711" s="7">
        <f t="shared" si="80"/>
        <v>467856</v>
      </c>
      <c r="G711" s="7">
        <f t="shared" si="81"/>
        <v>1113.5061000000001</v>
      </c>
      <c r="H711" s="7">
        <f t="shared" si="82"/>
        <v>429.5061</v>
      </c>
      <c r="I711" s="7">
        <f t="shared" si="83"/>
        <v>184475.48993720999</v>
      </c>
      <c r="J711" s="77"/>
      <c r="K711" s="14"/>
      <c r="L711" s="14"/>
      <c r="M711" s="14"/>
      <c r="N711" s="14"/>
      <c r="O711" s="14"/>
      <c r="P711" s="77"/>
      <c r="Q711" s="77"/>
      <c r="R711" s="77"/>
      <c r="S711" s="77"/>
      <c r="T711" s="77"/>
      <c r="U711" s="77"/>
      <c r="V711" s="77"/>
      <c r="W711" s="77"/>
      <c r="X711" s="77"/>
    </row>
    <row r="712" spans="2:24">
      <c r="B712" s="15">
        <v>666086</v>
      </c>
      <c r="C712" s="8">
        <v>501</v>
      </c>
      <c r="D712" s="7">
        <f t="shared" si="78"/>
        <v>333709086</v>
      </c>
      <c r="E712" s="7">
        <f t="shared" si="79"/>
        <v>443670559396</v>
      </c>
      <c r="F712" s="7">
        <f t="shared" si="80"/>
        <v>251001</v>
      </c>
      <c r="G712" s="7">
        <f t="shared" si="81"/>
        <v>1098.2559000000001</v>
      </c>
      <c r="H712" s="7">
        <f t="shared" si="82"/>
        <v>597.2559</v>
      </c>
      <c r="I712" s="7">
        <f t="shared" si="83"/>
        <v>356714.61008481</v>
      </c>
      <c r="J712" s="77"/>
      <c r="K712" s="14"/>
      <c r="L712" s="14"/>
      <c r="M712" s="14"/>
      <c r="N712" s="14"/>
      <c r="O712" s="14"/>
      <c r="P712" s="77"/>
      <c r="Q712" s="77"/>
      <c r="R712" s="77"/>
      <c r="S712" s="77"/>
      <c r="T712" s="77"/>
      <c r="U712" s="77"/>
      <c r="V712" s="77"/>
      <c r="W712" s="77"/>
      <c r="X712" s="77"/>
    </row>
    <row r="713" spans="2:24">
      <c r="B713" s="15">
        <v>676217</v>
      </c>
      <c r="C713" s="8">
        <v>553</v>
      </c>
      <c r="D713" s="7">
        <f t="shared" si="78"/>
        <v>373948001</v>
      </c>
      <c r="E713" s="7">
        <f t="shared" si="79"/>
        <v>457269431089</v>
      </c>
      <c r="F713" s="7">
        <f t="shared" si="80"/>
        <v>305809</v>
      </c>
      <c r="G713" s="7">
        <f t="shared" si="81"/>
        <v>1084.0725</v>
      </c>
      <c r="H713" s="7">
        <f t="shared" si="82"/>
        <v>531.07249999999999</v>
      </c>
      <c r="I713" s="7">
        <f t="shared" si="83"/>
        <v>282038.00025624997</v>
      </c>
      <c r="J713" s="77"/>
      <c r="K713" s="29" t="s">
        <v>133</v>
      </c>
      <c r="L713" s="14">
        <f>P702</f>
        <v>29.468753404425396</v>
      </c>
      <c r="M713" s="14"/>
      <c r="N713" s="14"/>
      <c r="O713" s="14"/>
      <c r="P713" s="77"/>
      <c r="Q713" s="77"/>
      <c r="R713" s="77"/>
      <c r="S713" s="77"/>
      <c r="T713" s="77"/>
      <c r="U713" s="77"/>
      <c r="V713" s="77"/>
      <c r="W713" s="77"/>
      <c r="X713" s="77"/>
    </row>
    <row r="714" spans="2:24">
      <c r="B714" s="15">
        <v>696172</v>
      </c>
      <c r="C714" s="8">
        <v>649</v>
      </c>
      <c r="D714" s="7">
        <f t="shared" si="78"/>
        <v>451815628</v>
      </c>
      <c r="E714" s="7">
        <f t="shared" si="79"/>
        <v>484655453584</v>
      </c>
      <c r="F714" s="7">
        <f t="shared" si="80"/>
        <v>421201</v>
      </c>
      <c r="G714" s="7">
        <f t="shared" si="81"/>
        <v>1056.1355000000001</v>
      </c>
      <c r="H714" s="7">
        <f t="shared" si="82"/>
        <v>407.13549999999998</v>
      </c>
      <c r="I714" s="7">
        <f t="shared" si="83"/>
        <v>165759.31536024998</v>
      </c>
      <c r="J714" s="77"/>
      <c r="K714" s="14"/>
      <c r="L714" s="14"/>
      <c r="M714" s="14"/>
      <c r="N714" s="14"/>
      <c r="O714" s="14"/>
      <c r="P714" s="77"/>
      <c r="Q714" s="77"/>
      <c r="R714" s="77"/>
      <c r="S714" s="77"/>
      <c r="T714" s="77"/>
      <c r="U714" s="77"/>
      <c r="V714" s="77"/>
      <c r="W714" s="77"/>
      <c r="X714" s="77"/>
    </row>
    <row r="715" spans="2:24">
      <c r="B715" s="15">
        <v>701102</v>
      </c>
      <c r="C715" s="8">
        <v>441</v>
      </c>
      <c r="D715" s="7">
        <f t="shared" si="78"/>
        <v>309185982</v>
      </c>
      <c r="E715" s="7">
        <f t="shared" si="79"/>
        <v>491544014404</v>
      </c>
      <c r="F715" s="7">
        <f t="shared" si="80"/>
        <v>194481</v>
      </c>
      <c r="G715" s="7">
        <f t="shared" si="81"/>
        <v>1049.2335</v>
      </c>
      <c r="H715" s="7">
        <f t="shared" si="82"/>
        <v>608.23350000000005</v>
      </c>
      <c r="I715" s="7">
        <f t="shared" si="83"/>
        <v>369947.99052225007</v>
      </c>
      <c r="J715" s="77"/>
      <c r="K715" s="14"/>
      <c r="L715" s="14"/>
      <c r="M715" s="14"/>
      <c r="N715" s="14"/>
      <c r="O715" s="14"/>
      <c r="P715" s="77"/>
      <c r="Q715" s="77"/>
      <c r="R715" s="77"/>
      <c r="S715" s="77"/>
      <c r="T715" s="77"/>
      <c r="U715" s="77"/>
      <c r="V715" s="77"/>
      <c r="W715" s="77"/>
      <c r="X715" s="77"/>
    </row>
    <row r="716" spans="2:24">
      <c r="B716" s="15">
        <v>706842</v>
      </c>
      <c r="C716" s="8">
        <v>220</v>
      </c>
      <c r="D716" s="7">
        <f t="shared" si="78"/>
        <v>155505240</v>
      </c>
      <c r="E716" s="7">
        <f t="shared" si="79"/>
        <v>499625612964</v>
      </c>
      <c r="F716" s="7">
        <f t="shared" si="80"/>
        <v>48400</v>
      </c>
      <c r="G716" s="7">
        <f t="shared" si="81"/>
        <v>1041.1975</v>
      </c>
      <c r="H716" s="7">
        <f t="shared" si="82"/>
        <v>821.19749999999999</v>
      </c>
      <c r="I716" s="7">
        <f t="shared" si="83"/>
        <v>674365.33400625002</v>
      </c>
      <c r="J716" s="77"/>
      <c r="K716" s="14" t="str">
        <f>"f(0,05);("&amp;M702&amp;","&amp;M703&amp;")="</f>
        <v>f(0,05);(1,118)=</v>
      </c>
      <c r="L716" s="14">
        <f>ROUND(_xlfn.F.INV.RT(L709,M702,M703),4)</f>
        <v>3.9215</v>
      </c>
      <c r="M716" s="14"/>
      <c r="N716" s="14"/>
      <c r="O716" s="14"/>
      <c r="P716" s="77"/>
      <c r="Q716" s="77"/>
      <c r="R716" s="77"/>
      <c r="S716" s="77"/>
      <c r="T716" s="77"/>
      <c r="U716" s="77"/>
      <c r="V716" s="77"/>
      <c r="W716" s="77"/>
      <c r="X716" s="77"/>
    </row>
    <row r="717" spans="2:24">
      <c r="B717" s="15">
        <v>718009</v>
      </c>
      <c r="C717" s="8">
        <v>424</v>
      </c>
      <c r="D717" s="7">
        <f t="shared" si="78"/>
        <v>304435816</v>
      </c>
      <c r="E717" s="7">
        <f t="shared" si="79"/>
        <v>515536924081</v>
      </c>
      <c r="F717" s="7">
        <f t="shared" si="80"/>
        <v>179776</v>
      </c>
      <c r="G717" s="7">
        <f t="shared" si="81"/>
        <v>1025.5636999999999</v>
      </c>
      <c r="H717" s="7">
        <f t="shared" si="82"/>
        <v>601.56370000000004</v>
      </c>
      <c r="I717" s="7">
        <f t="shared" si="83"/>
        <v>361878.88515769003</v>
      </c>
      <c r="J717" s="77"/>
      <c r="K717" s="14"/>
      <c r="L717" s="14"/>
      <c r="M717" s="14"/>
      <c r="N717" s="14"/>
      <c r="O717" s="14"/>
      <c r="P717" s="77"/>
      <c r="Q717" s="77"/>
      <c r="R717" s="77"/>
      <c r="S717" s="77"/>
      <c r="T717" s="77"/>
      <c r="U717" s="77"/>
      <c r="V717" s="77"/>
      <c r="W717" s="77"/>
      <c r="X717" s="77"/>
    </row>
    <row r="718" spans="2:24">
      <c r="B718" s="15">
        <v>726985</v>
      </c>
      <c r="C718" s="8">
        <v>610</v>
      </c>
      <c r="D718" s="7">
        <f t="shared" si="78"/>
        <v>443460850</v>
      </c>
      <c r="E718" s="7">
        <f t="shared" si="79"/>
        <v>528507190225</v>
      </c>
      <c r="F718" s="7">
        <f t="shared" si="80"/>
        <v>372100</v>
      </c>
      <c r="G718" s="7">
        <f t="shared" si="81"/>
        <v>1012.9973</v>
      </c>
      <c r="H718" s="7">
        <f t="shared" si="82"/>
        <v>402.9973</v>
      </c>
      <c r="I718" s="7">
        <f t="shared" si="83"/>
        <v>162406.82380729</v>
      </c>
      <c r="J718" s="77"/>
      <c r="K718" s="14" t="str">
        <f>IF(L716&lt;=L713, "R: Como  " &amp;ROUND(L716,4) &amp;" &lt; "&amp;ROUND(L713,4)&amp;" o modelo é significativo","R: Como  " &amp;ROUND(L716,4) &amp;" &gt; "&amp;ROUND(L713,4)&amp;" o modelo não é significativo" )</f>
        <v>R: Como  3,9215 &lt; 29,4688 o modelo é significativo</v>
      </c>
      <c r="L718" s="14"/>
      <c r="M718" s="14"/>
      <c r="N718" s="14"/>
      <c r="O718" s="14"/>
      <c r="P718" s="77"/>
      <c r="Q718" s="77"/>
      <c r="R718" s="77"/>
      <c r="S718" s="77"/>
      <c r="T718" s="77"/>
      <c r="U718" s="77"/>
      <c r="V718" s="77"/>
      <c r="W718" s="77"/>
      <c r="X718" s="77"/>
    </row>
    <row r="719" spans="2:24">
      <c r="B719" s="15">
        <v>750872</v>
      </c>
      <c r="C719" s="8">
        <v>636</v>
      </c>
      <c r="D719" s="7">
        <f t="shared" si="78"/>
        <v>477554592</v>
      </c>
      <c r="E719" s="7">
        <f t="shared" si="79"/>
        <v>563808760384</v>
      </c>
      <c r="F719" s="7">
        <f t="shared" si="80"/>
        <v>404496</v>
      </c>
      <c r="G719" s="7">
        <f t="shared" si="81"/>
        <v>979.55550000000005</v>
      </c>
      <c r="H719" s="7">
        <f t="shared" si="82"/>
        <v>343.55549999999999</v>
      </c>
      <c r="I719" s="7">
        <f t="shared" si="83"/>
        <v>118030.38158025</v>
      </c>
    </row>
    <row r="720" spans="2:24">
      <c r="B720" s="15">
        <v>790203</v>
      </c>
      <c r="C720" s="8">
        <v>506</v>
      </c>
      <c r="D720" s="7">
        <f t="shared" si="78"/>
        <v>399842718</v>
      </c>
      <c r="E720" s="7">
        <f t="shared" si="79"/>
        <v>624420781209</v>
      </c>
      <c r="F720" s="7">
        <f t="shared" si="80"/>
        <v>256036</v>
      </c>
      <c r="G720" s="7">
        <f t="shared" si="81"/>
        <v>924.49210000000005</v>
      </c>
      <c r="H720" s="7">
        <f t="shared" si="82"/>
        <v>418.49209999999999</v>
      </c>
      <c r="I720" s="7">
        <f t="shared" si="83"/>
        <v>175135.63776240998</v>
      </c>
    </row>
    <row r="721" spans="2:9">
      <c r="B721" s="15">
        <v>828138</v>
      </c>
      <c r="C721" s="8">
        <v>567</v>
      </c>
      <c r="D721" s="7">
        <f t="shared" si="78"/>
        <v>469554246</v>
      </c>
      <c r="E721" s="7">
        <f t="shared" si="79"/>
        <v>685812547044</v>
      </c>
      <c r="F721" s="7">
        <f t="shared" si="80"/>
        <v>321489</v>
      </c>
      <c r="G721" s="7">
        <f t="shared" si="81"/>
        <v>871.38310000000001</v>
      </c>
      <c r="H721" s="7">
        <f t="shared" si="82"/>
        <v>304.38310000000001</v>
      </c>
      <c r="I721" s="7">
        <f t="shared" si="83"/>
        <v>92649.071565610007</v>
      </c>
    </row>
    <row r="722" spans="2:9">
      <c r="B722" s="15">
        <v>840420</v>
      </c>
      <c r="C722" s="8">
        <v>478</v>
      </c>
      <c r="D722" s="7">
        <f t="shared" si="78"/>
        <v>401720760</v>
      </c>
      <c r="E722" s="7">
        <f t="shared" si="79"/>
        <v>706305776400</v>
      </c>
      <c r="F722" s="7">
        <f t="shared" si="80"/>
        <v>228484</v>
      </c>
      <c r="G722" s="7">
        <f t="shared" si="81"/>
        <v>854.18830000000003</v>
      </c>
      <c r="H722" s="7">
        <f t="shared" si="82"/>
        <v>376.18830000000003</v>
      </c>
      <c r="I722" s="7">
        <f t="shared" si="83"/>
        <v>141517.63705689003</v>
      </c>
    </row>
    <row r="723" spans="2:9">
      <c r="B723" s="15">
        <v>847664</v>
      </c>
      <c r="C723" s="8">
        <v>196</v>
      </c>
      <c r="D723" s="7">
        <f t="shared" si="78"/>
        <v>166142144</v>
      </c>
      <c r="E723" s="7">
        <f t="shared" si="79"/>
        <v>718534256896</v>
      </c>
      <c r="F723" s="7">
        <f t="shared" si="80"/>
        <v>38416</v>
      </c>
      <c r="G723" s="7">
        <f t="shared" si="81"/>
        <v>844.04669999999999</v>
      </c>
      <c r="H723" s="7">
        <f t="shared" si="82"/>
        <v>648.04669999999999</v>
      </c>
      <c r="I723" s="7">
        <f t="shared" si="83"/>
        <v>419964.52538089</v>
      </c>
    </row>
    <row r="724" spans="2:9">
      <c r="B724" s="15">
        <v>856281</v>
      </c>
      <c r="C724" s="8">
        <v>353</v>
      </c>
      <c r="D724" s="7">
        <f t="shared" si="78"/>
        <v>302267193</v>
      </c>
      <c r="E724" s="7">
        <f t="shared" si="79"/>
        <v>733217150961</v>
      </c>
      <c r="F724" s="7">
        <f t="shared" si="80"/>
        <v>124609</v>
      </c>
      <c r="G724" s="7">
        <f t="shared" si="81"/>
        <v>831.98289999999997</v>
      </c>
      <c r="H724" s="7">
        <f t="shared" si="82"/>
        <v>478.98289999999997</v>
      </c>
      <c r="I724" s="7">
        <f t="shared" si="83"/>
        <v>229424.61849240997</v>
      </c>
    </row>
    <row r="725" spans="2:9">
      <c r="B725" s="15">
        <v>866481</v>
      </c>
      <c r="C725" s="8">
        <v>572</v>
      </c>
      <c r="D725" s="7">
        <f t="shared" si="78"/>
        <v>495627132</v>
      </c>
      <c r="E725" s="7">
        <f t="shared" si="79"/>
        <v>750789323361</v>
      </c>
      <c r="F725" s="7">
        <f t="shared" si="80"/>
        <v>327184</v>
      </c>
      <c r="G725" s="7">
        <f t="shared" si="81"/>
        <v>817.7029</v>
      </c>
      <c r="H725" s="7">
        <f t="shared" si="82"/>
        <v>245.7029</v>
      </c>
      <c r="I725" s="7">
        <f t="shared" si="83"/>
        <v>60369.915068410002</v>
      </c>
    </row>
    <row r="726" spans="2:9">
      <c r="B726" s="15">
        <v>885339</v>
      </c>
      <c r="C726" s="8">
        <v>470</v>
      </c>
      <c r="D726" s="7">
        <f t="shared" si="78"/>
        <v>416109330</v>
      </c>
      <c r="E726" s="7">
        <f t="shared" si="79"/>
        <v>783825144921</v>
      </c>
      <c r="F726" s="7">
        <f t="shared" si="80"/>
        <v>220900</v>
      </c>
      <c r="G726" s="7">
        <f t="shared" si="81"/>
        <v>791.30169999999998</v>
      </c>
      <c r="H726" s="7">
        <f t="shared" si="82"/>
        <v>321.30169999999998</v>
      </c>
      <c r="I726" s="7">
        <f t="shared" si="83"/>
        <v>103234.78242288998</v>
      </c>
    </row>
    <row r="727" spans="2:9">
      <c r="B727" s="15">
        <v>903570</v>
      </c>
      <c r="C727" s="8">
        <v>460</v>
      </c>
      <c r="D727" s="7">
        <f t="shared" si="78"/>
        <v>415642200</v>
      </c>
      <c r="E727" s="7">
        <f t="shared" si="79"/>
        <v>816438744900</v>
      </c>
      <c r="F727" s="7">
        <f t="shared" si="80"/>
        <v>211600</v>
      </c>
      <c r="G727" s="7">
        <f t="shared" si="81"/>
        <v>765.77829999999994</v>
      </c>
      <c r="H727" s="7">
        <f t="shared" si="82"/>
        <v>305.7783</v>
      </c>
      <c r="I727" s="7">
        <f t="shared" si="83"/>
        <v>93500.368750890004</v>
      </c>
    </row>
    <row r="728" spans="2:9">
      <c r="B728" s="15">
        <v>920598</v>
      </c>
      <c r="C728" s="8">
        <v>454</v>
      </c>
      <c r="D728" s="7">
        <f t="shared" si="78"/>
        <v>417951492</v>
      </c>
      <c r="E728" s="7">
        <f t="shared" si="79"/>
        <v>847500677604</v>
      </c>
      <c r="F728" s="7">
        <f t="shared" si="80"/>
        <v>206116</v>
      </c>
      <c r="G728" s="7">
        <f t="shared" si="81"/>
        <v>741.93910000000005</v>
      </c>
      <c r="H728" s="7">
        <f t="shared" si="82"/>
        <v>287.9391</v>
      </c>
      <c r="I728" s="7">
        <f t="shared" si="83"/>
        <v>82908.925308809994</v>
      </c>
    </row>
    <row r="729" spans="2:9">
      <c r="B729" s="15">
        <v>930042</v>
      </c>
      <c r="C729" s="8">
        <v>330</v>
      </c>
      <c r="D729" s="7">
        <f t="shared" si="78"/>
        <v>306913860</v>
      </c>
      <c r="E729" s="7">
        <f t="shared" si="79"/>
        <v>864978121764</v>
      </c>
      <c r="F729" s="7">
        <f t="shared" si="80"/>
        <v>108900</v>
      </c>
      <c r="G729" s="7">
        <f t="shared" si="81"/>
        <v>728.71749999999997</v>
      </c>
      <c r="H729" s="7">
        <f t="shared" si="82"/>
        <v>398.71749999999997</v>
      </c>
      <c r="I729" s="7">
        <f t="shared" si="83"/>
        <v>158975.64480624997</v>
      </c>
    </row>
    <row r="730" spans="2:9">
      <c r="B730" s="15">
        <v>939105</v>
      </c>
      <c r="C730" s="8">
        <v>180</v>
      </c>
      <c r="D730" s="7">
        <f t="shared" si="78"/>
        <v>169038900</v>
      </c>
      <c r="E730" s="7">
        <f t="shared" si="79"/>
        <v>881918201025</v>
      </c>
      <c r="F730" s="7">
        <f t="shared" si="80"/>
        <v>32400</v>
      </c>
      <c r="G730" s="7">
        <f t="shared" si="81"/>
        <v>716.02930000000003</v>
      </c>
      <c r="H730" s="7">
        <f t="shared" si="82"/>
        <v>536.02930000000003</v>
      </c>
      <c r="I730" s="7">
        <f t="shared" si="83"/>
        <v>287327.41045849002</v>
      </c>
    </row>
    <row r="731" spans="2:9">
      <c r="B731" s="15">
        <v>952721</v>
      </c>
      <c r="C731" s="8">
        <v>258</v>
      </c>
      <c r="D731" s="7">
        <f t="shared" si="78"/>
        <v>245802018</v>
      </c>
      <c r="E731" s="7">
        <f t="shared" si="79"/>
        <v>907677303841</v>
      </c>
      <c r="F731" s="7">
        <f t="shared" si="80"/>
        <v>66564</v>
      </c>
      <c r="G731" s="7">
        <f t="shared" si="81"/>
        <v>696.96690000000001</v>
      </c>
      <c r="H731" s="7">
        <f t="shared" si="82"/>
        <v>438.96690000000001</v>
      </c>
      <c r="I731" s="7">
        <f t="shared" si="83"/>
        <v>192691.93929561001</v>
      </c>
    </row>
    <row r="732" spans="2:9">
      <c r="B732" s="15">
        <v>969630</v>
      </c>
      <c r="C732" s="8">
        <v>387</v>
      </c>
      <c r="D732" s="7">
        <f t="shared" si="78"/>
        <v>375246810</v>
      </c>
      <c r="E732" s="7">
        <f t="shared" si="79"/>
        <v>940182336900</v>
      </c>
      <c r="F732" s="7">
        <f t="shared" si="80"/>
        <v>149769</v>
      </c>
      <c r="G732" s="7">
        <f t="shared" si="81"/>
        <v>673.29430000000002</v>
      </c>
      <c r="H732" s="7">
        <f t="shared" si="82"/>
        <v>286.29430000000002</v>
      </c>
      <c r="I732" s="7">
        <f t="shared" si="83"/>
        <v>81964.426212490012</v>
      </c>
    </row>
    <row r="733" spans="2:9">
      <c r="B733" s="15">
        <v>1012002</v>
      </c>
      <c r="C733" s="8">
        <v>373</v>
      </c>
      <c r="D733" s="7">
        <f t="shared" si="78"/>
        <v>377476746</v>
      </c>
      <c r="E733" s="7">
        <f t="shared" si="79"/>
        <v>1024148048004</v>
      </c>
      <c r="F733" s="7">
        <f t="shared" si="80"/>
        <v>139129</v>
      </c>
      <c r="G733" s="7">
        <f t="shared" si="81"/>
        <v>613.97349999999994</v>
      </c>
      <c r="H733" s="7">
        <f t="shared" si="82"/>
        <v>240.9735</v>
      </c>
      <c r="I733" s="7">
        <f t="shared" si="83"/>
        <v>58068.227702249998</v>
      </c>
    </row>
    <row r="734" spans="2:9">
      <c r="B734" s="15">
        <v>1063299</v>
      </c>
      <c r="C734" s="8">
        <v>377</v>
      </c>
      <c r="D734" s="7">
        <f t="shared" si="78"/>
        <v>400863723</v>
      </c>
      <c r="E734" s="7">
        <f t="shared" si="79"/>
        <v>1130604763401</v>
      </c>
      <c r="F734" s="7">
        <f t="shared" si="80"/>
        <v>142129</v>
      </c>
      <c r="G734" s="7">
        <f t="shared" si="81"/>
        <v>542.15769999999998</v>
      </c>
      <c r="H734" s="7">
        <f t="shared" si="82"/>
        <v>165.15770000000001</v>
      </c>
      <c r="I734" s="7">
        <f t="shared" si="83"/>
        <v>27277.065869290003</v>
      </c>
    </row>
    <row r="735" spans="2:9">
      <c r="B735" s="15">
        <v>1120117</v>
      </c>
      <c r="C735" s="8">
        <v>406</v>
      </c>
      <c r="D735" s="7">
        <f t="shared" si="78"/>
        <v>454767502</v>
      </c>
      <c r="E735" s="7">
        <f t="shared" si="79"/>
        <v>1254662093689</v>
      </c>
      <c r="F735" s="7">
        <f t="shared" si="80"/>
        <v>164836</v>
      </c>
      <c r="G735" s="7">
        <f t="shared" si="81"/>
        <v>462.61250000000001</v>
      </c>
      <c r="H735" s="7">
        <f t="shared" si="82"/>
        <v>56.612499999999997</v>
      </c>
      <c r="I735" s="7">
        <f t="shared" si="83"/>
        <v>3204.9751562499996</v>
      </c>
    </row>
    <row r="736" spans="2:9">
      <c r="B736" s="15">
        <v>1134005</v>
      </c>
      <c r="C736" s="8">
        <v>324</v>
      </c>
      <c r="D736" s="7">
        <f t="shared" si="78"/>
        <v>367417620</v>
      </c>
      <c r="E736" s="7">
        <f t="shared" si="79"/>
        <v>1285967340025</v>
      </c>
      <c r="F736" s="7">
        <f t="shared" si="80"/>
        <v>104976</v>
      </c>
      <c r="G736" s="7">
        <f t="shared" si="81"/>
        <v>443.16930000000002</v>
      </c>
      <c r="H736" s="7">
        <f t="shared" si="82"/>
        <v>119.16930000000001</v>
      </c>
      <c r="I736" s="7">
        <f t="shared" si="83"/>
        <v>14201.322062490002</v>
      </c>
    </row>
    <row r="737" spans="2:9">
      <c r="B737" s="15">
        <v>1160784</v>
      </c>
      <c r="C737" s="8">
        <v>158</v>
      </c>
      <c r="D737" s="7">
        <f t="shared" si="78"/>
        <v>183403872</v>
      </c>
      <c r="E737" s="7">
        <f t="shared" si="79"/>
        <v>1347419494656</v>
      </c>
      <c r="F737" s="7">
        <f t="shared" si="80"/>
        <v>24964</v>
      </c>
      <c r="G737" s="7">
        <f t="shared" si="81"/>
        <v>405.67869999999999</v>
      </c>
      <c r="H737" s="7">
        <f t="shared" si="82"/>
        <v>247.67869999999999</v>
      </c>
      <c r="I737" s="7">
        <f t="shared" si="83"/>
        <v>61344.73843369</v>
      </c>
    </row>
    <row r="738" spans="2:9">
      <c r="B738" s="15">
        <v>1180469</v>
      </c>
      <c r="C738" s="8">
        <v>268</v>
      </c>
      <c r="D738" s="7">
        <f t="shared" si="78"/>
        <v>316365692</v>
      </c>
      <c r="E738" s="7">
        <f t="shared" si="79"/>
        <v>1393507059961</v>
      </c>
      <c r="F738" s="7">
        <f t="shared" si="80"/>
        <v>71824</v>
      </c>
      <c r="G738" s="7">
        <f t="shared" si="81"/>
        <v>378.11970000000002</v>
      </c>
      <c r="H738" s="7">
        <f t="shared" si="82"/>
        <v>110.11969999999999</v>
      </c>
      <c r="I738" s="7">
        <f t="shared" si="83"/>
        <v>12126.348328089998</v>
      </c>
    </row>
    <row r="739" spans="2:9">
      <c r="B739" s="15">
        <v>1196536</v>
      </c>
      <c r="C739" s="8">
        <v>485</v>
      </c>
      <c r="D739" s="7">
        <f t="shared" si="78"/>
        <v>580319960</v>
      </c>
      <c r="E739" s="7">
        <f t="shared" si="79"/>
        <v>1431698399296</v>
      </c>
      <c r="F739" s="7">
        <f t="shared" si="80"/>
        <v>235225</v>
      </c>
      <c r="G739" s="7">
        <f t="shared" si="81"/>
        <v>355.6259</v>
      </c>
      <c r="H739" s="7">
        <f t="shared" si="82"/>
        <v>-129.3741</v>
      </c>
      <c r="I739" s="7">
        <f t="shared" si="83"/>
        <v>16737.657750809998</v>
      </c>
    </row>
    <row r="740" spans="2:9">
      <c r="B740" s="15">
        <v>1211653</v>
      </c>
      <c r="C740" s="8">
        <v>436</v>
      </c>
      <c r="D740" s="7">
        <f t="shared" si="78"/>
        <v>528280708</v>
      </c>
      <c r="E740" s="7">
        <f t="shared" si="79"/>
        <v>1468102992409</v>
      </c>
      <c r="F740" s="7">
        <f t="shared" si="80"/>
        <v>190096</v>
      </c>
      <c r="G740" s="7">
        <f t="shared" si="81"/>
        <v>334.46210000000002</v>
      </c>
      <c r="H740" s="7">
        <f t="shared" si="82"/>
        <v>-101.53789999999999</v>
      </c>
      <c r="I740" s="7">
        <f t="shared" si="83"/>
        <v>10309.945136409999</v>
      </c>
    </row>
    <row r="741" spans="2:9">
      <c r="B741" s="15">
        <v>1231250</v>
      </c>
      <c r="C741" s="8">
        <v>450</v>
      </c>
      <c r="D741" s="7">
        <f t="shared" si="78"/>
        <v>554062500</v>
      </c>
      <c r="E741" s="7">
        <f t="shared" si="79"/>
        <v>1515976562500</v>
      </c>
      <c r="F741" s="7">
        <f t="shared" si="80"/>
        <v>202500</v>
      </c>
      <c r="G741" s="7">
        <f t="shared" si="81"/>
        <v>307.02629999999999</v>
      </c>
      <c r="H741" s="7">
        <f t="shared" si="82"/>
        <v>-142.97370000000001</v>
      </c>
      <c r="I741" s="7">
        <f t="shared" si="83"/>
        <v>20441.478891690003</v>
      </c>
    </row>
    <row r="742" spans="2:9">
      <c r="B742" s="15">
        <v>1287442</v>
      </c>
      <c r="C742" s="8">
        <v>469</v>
      </c>
      <c r="D742" s="7">
        <f t="shared" si="78"/>
        <v>603810298</v>
      </c>
      <c r="E742" s="7">
        <f t="shared" si="79"/>
        <v>1657506903364</v>
      </c>
      <c r="F742" s="7">
        <f t="shared" si="80"/>
        <v>219961</v>
      </c>
      <c r="G742" s="7">
        <f t="shared" si="81"/>
        <v>228.35749999999999</v>
      </c>
      <c r="H742" s="7">
        <f t="shared" si="82"/>
        <v>-240.64250000000001</v>
      </c>
      <c r="I742" s="7">
        <f t="shared" si="83"/>
        <v>57908.812806250004</v>
      </c>
    </row>
    <row r="743" spans="2:9">
      <c r="B743" s="15">
        <v>1411270</v>
      </c>
      <c r="C743" s="8">
        <v>334</v>
      </c>
      <c r="D743" s="7">
        <f t="shared" si="78"/>
        <v>471364180</v>
      </c>
      <c r="E743" s="7">
        <f t="shared" si="79"/>
        <v>1991683012900</v>
      </c>
      <c r="F743" s="7">
        <f t="shared" si="80"/>
        <v>111556</v>
      </c>
      <c r="G743" s="7">
        <f t="shared" si="81"/>
        <v>54.9983</v>
      </c>
      <c r="H743" s="7">
        <f t="shared" si="82"/>
        <v>-279.00170000000003</v>
      </c>
      <c r="I743" s="7">
        <f t="shared" si="83"/>
        <v>77841.948602890014</v>
      </c>
    </row>
    <row r="744" spans="2:9">
      <c r="B744" s="15">
        <v>1469159</v>
      </c>
      <c r="C744" s="8">
        <v>199</v>
      </c>
      <c r="D744" s="7">
        <f t="shared" si="78"/>
        <v>292362641</v>
      </c>
      <c r="E744" s="7">
        <f t="shared" si="79"/>
        <v>2158428167281</v>
      </c>
      <c r="F744" s="7">
        <f t="shared" si="80"/>
        <v>39601</v>
      </c>
      <c r="G744" s="7">
        <f t="shared" si="81"/>
        <v>-26.046299999999999</v>
      </c>
      <c r="H744" s="7">
        <f t="shared" si="82"/>
        <v>-225.0463</v>
      </c>
      <c r="I744" s="7">
        <f t="shared" si="83"/>
        <v>50645.837143689998</v>
      </c>
    </row>
    <row r="745" spans="2:9">
      <c r="B745" s="15">
        <v>1489854</v>
      </c>
      <c r="C745" s="8">
        <v>386</v>
      </c>
      <c r="D745" s="7">
        <f t="shared" si="78"/>
        <v>575083644</v>
      </c>
      <c r="E745" s="7">
        <f t="shared" si="79"/>
        <v>2219664941316</v>
      </c>
      <c r="F745" s="7">
        <f t="shared" si="80"/>
        <v>148996</v>
      </c>
      <c r="G745" s="7">
        <f t="shared" si="81"/>
        <v>-55.019300000000001</v>
      </c>
      <c r="H745" s="7">
        <f t="shared" si="82"/>
        <v>-441.01929999999999</v>
      </c>
      <c r="I745" s="7">
        <f t="shared" si="83"/>
        <v>194498.02297249</v>
      </c>
    </row>
    <row r="746" spans="2:9">
      <c r="B746" s="15">
        <v>1513415</v>
      </c>
      <c r="C746" s="8">
        <v>511</v>
      </c>
      <c r="D746" s="7">
        <f t="shared" si="78"/>
        <v>773355065</v>
      </c>
      <c r="E746" s="7">
        <f t="shared" si="79"/>
        <v>2290424962225</v>
      </c>
      <c r="F746" s="7">
        <f t="shared" si="80"/>
        <v>261121</v>
      </c>
      <c r="G746" s="7">
        <f t="shared" si="81"/>
        <v>-88.0047</v>
      </c>
      <c r="H746" s="7">
        <f t="shared" si="82"/>
        <v>-599.00469999999996</v>
      </c>
      <c r="I746" s="7">
        <f t="shared" si="83"/>
        <v>358806.63062208996</v>
      </c>
    </row>
    <row r="747" spans="2:9">
      <c r="B747" s="15">
        <v>1539964</v>
      </c>
      <c r="C747" s="8">
        <v>451</v>
      </c>
      <c r="D747" s="7">
        <f t="shared" si="78"/>
        <v>694523764</v>
      </c>
      <c r="E747" s="7">
        <f t="shared" si="79"/>
        <v>2371489121296</v>
      </c>
      <c r="F747" s="7">
        <f t="shared" si="80"/>
        <v>203401</v>
      </c>
      <c r="G747" s="7">
        <f t="shared" si="81"/>
        <v>-125.1733</v>
      </c>
      <c r="H747" s="7">
        <f t="shared" si="82"/>
        <v>-576.17330000000004</v>
      </c>
      <c r="I747" s="7">
        <f t="shared" si="83"/>
        <v>331975.67163289007</v>
      </c>
    </row>
    <row r="748" spans="2:9">
      <c r="B748" s="15">
        <v>1568208</v>
      </c>
      <c r="C748" s="8">
        <v>559</v>
      </c>
      <c r="D748" s="7">
        <f t="shared" si="78"/>
        <v>876628272</v>
      </c>
      <c r="E748" s="7">
        <f t="shared" si="79"/>
        <v>2459276331264</v>
      </c>
      <c r="F748" s="7">
        <f t="shared" si="80"/>
        <v>312481</v>
      </c>
      <c r="G748" s="7">
        <f t="shared" si="81"/>
        <v>-164.7149</v>
      </c>
      <c r="H748" s="7">
        <f t="shared" si="82"/>
        <v>-723.71489999999994</v>
      </c>
      <c r="I748" s="7">
        <f t="shared" si="83"/>
        <v>523763.25648200989</v>
      </c>
    </row>
    <row r="749" spans="2:9">
      <c r="B749" s="15">
        <v>1604322</v>
      </c>
      <c r="C749" s="8">
        <v>523</v>
      </c>
      <c r="D749" s="7">
        <f t="shared" si="78"/>
        <v>839060406</v>
      </c>
      <c r="E749" s="7">
        <f t="shared" si="79"/>
        <v>2573849079684</v>
      </c>
      <c r="F749" s="7">
        <f t="shared" si="80"/>
        <v>273529</v>
      </c>
      <c r="G749" s="7">
        <f t="shared" si="81"/>
        <v>-215.27449999999999</v>
      </c>
      <c r="H749" s="7">
        <f t="shared" si="82"/>
        <v>-738.27449999999999</v>
      </c>
      <c r="I749" s="7">
        <f t="shared" si="83"/>
        <v>545049.23735025001</v>
      </c>
    </row>
    <row r="750" spans="2:9">
      <c r="B750" s="15">
        <v>1638859</v>
      </c>
      <c r="C750" s="8">
        <v>413</v>
      </c>
      <c r="D750" s="7">
        <f t="shared" si="78"/>
        <v>676848767</v>
      </c>
      <c r="E750" s="7">
        <f t="shared" si="79"/>
        <v>2685858821881</v>
      </c>
      <c r="F750" s="7">
        <f t="shared" si="80"/>
        <v>170569</v>
      </c>
      <c r="G750" s="7">
        <f t="shared" si="81"/>
        <v>-263.62630000000001</v>
      </c>
      <c r="H750" s="7">
        <f t="shared" si="82"/>
        <v>-676.62630000000001</v>
      </c>
      <c r="I750" s="7">
        <f t="shared" si="83"/>
        <v>457823.14985169005</v>
      </c>
    </row>
    <row r="751" spans="2:9">
      <c r="B751" s="15">
        <v>1701479</v>
      </c>
      <c r="C751" s="8">
        <v>241</v>
      </c>
      <c r="D751" s="7">
        <f t="shared" si="78"/>
        <v>410056439</v>
      </c>
      <c r="E751" s="7">
        <f t="shared" si="79"/>
        <v>2895030787441</v>
      </c>
      <c r="F751" s="7">
        <f t="shared" si="80"/>
        <v>58081</v>
      </c>
      <c r="G751" s="7">
        <f t="shared" si="81"/>
        <v>-351.29430000000002</v>
      </c>
      <c r="H751" s="7">
        <f t="shared" si="82"/>
        <v>-592.29430000000002</v>
      </c>
      <c r="I751" s="7">
        <f t="shared" si="83"/>
        <v>350812.53781249002</v>
      </c>
    </row>
    <row r="752" spans="2:9">
      <c r="B752" s="15">
        <v>1725903</v>
      </c>
      <c r="C752" s="8">
        <v>375</v>
      </c>
      <c r="D752" s="7">
        <f t="shared" si="78"/>
        <v>647213625</v>
      </c>
      <c r="E752" s="7">
        <f t="shared" si="79"/>
        <v>2978741165409</v>
      </c>
      <c r="F752" s="7">
        <f t="shared" si="80"/>
        <v>140625</v>
      </c>
      <c r="G752" s="7">
        <f t="shared" si="81"/>
        <v>-385.48790000000002</v>
      </c>
      <c r="H752" s="7">
        <f t="shared" si="82"/>
        <v>-760.48789999999997</v>
      </c>
      <c r="I752" s="7">
        <f t="shared" si="83"/>
        <v>578341.84604640992</v>
      </c>
    </row>
    <row r="753" spans="1:22">
      <c r="B753" s="15">
        <v>1745225</v>
      </c>
      <c r="C753" s="8">
        <v>594</v>
      </c>
      <c r="D753" s="7">
        <f t="shared" si="78"/>
        <v>1036663650</v>
      </c>
      <c r="E753" s="7">
        <f t="shared" si="79"/>
        <v>3045810300625</v>
      </c>
      <c r="F753" s="7">
        <f t="shared" si="80"/>
        <v>352836</v>
      </c>
      <c r="G753" s="7">
        <f t="shared" si="81"/>
        <v>-412.53870000000001</v>
      </c>
      <c r="H753" s="7">
        <f t="shared" si="82"/>
        <v>-1006.5386999999999</v>
      </c>
      <c r="I753" s="7">
        <f t="shared" si="83"/>
        <v>1013120.1545976899</v>
      </c>
    </row>
    <row r="754" spans="1:22">
      <c r="B754" s="15">
        <v>1788676</v>
      </c>
      <c r="C754" s="8">
        <v>572</v>
      </c>
      <c r="D754" s="7">
        <f t="shared" si="78"/>
        <v>1023122672</v>
      </c>
      <c r="E754" s="7">
        <f t="shared" si="79"/>
        <v>3199361832976</v>
      </c>
      <c r="F754" s="7">
        <f t="shared" si="80"/>
        <v>327184</v>
      </c>
      <c r="G754" s="7">
        <f t="shared" si="81"/>
        <v>-473.37009999999998</v>
      </c>
      <c r="H754" s="7">
        <f t="shared" si="82"/>
        <v>-1045.3701000000001</v>
      </c>
      <c r="I754" s="7">
        <f t="shared" si="83"/>
        <v>1092798.6459740102</v>
      </c>
    </row>
    <row r="755" spans="1:22">
      <c r="B755" s="15">
        <v>1845836</v>
      </c>
      <c r="C755" s="8">
        <v>598</v>
      </c>
      <c r="D755" s="7">
        <f t="shared" si="78"/>
        <v>1103809928</v>
      </c>
      <c r="E755" s="7">
        <f t="shared" si="79"/>
        <v>3407110538896</v>
      </c>
      <c r="F755" s="7">
        <f t="shared" si="80"/>
        <v>357604</v>
      </c>
      <c r="G755" s="7">
        <f t="shared" si="81"/>
        <v>-553.39409999999998</v>
      </c>
      <c r="H755" s="7">
        <f t="shared" si="82"/>
        <v>-1151.3941</v>
      </c>
      <c r="I755" s="7">
        <f t="shared" si="83"/>
        <v>1325708.3735148099</v>
      </c>
    </row>
    <row r="756" spans="1:22">
      <c r="B756" s="15">
        <v>1910212</v>
      </c>
      <c r="C756" s="8">
        <v>609</v>
      </c>
      <c r="D756" s="7">
        <f t="shared" si="78"/>
        <v>1163319108</v>
      </c>
      <c r="E756" s="7">
        <f t="shared" si="79"/>
        <v>3648909884944</v>
      </c>
      <c r="F756" s="7">
        <f t="shared" si="80"/>
        <v>370881</v>
      </c>
      <c r="G756" s="7">
        <f t="shared" si="81"/>
        <v>-643.52049999999997</v>
      </c>
      <c r="H756" s="7">
        <f t="shared" si="82"/>
        <v>-1252.5205000000001</v>
      </c>
      <c r="I756" s="7">
        <f t="shared" si="83"/>
        <v>1568807.6029202503</v>
      </c>
    </row>
    <row r="757" spans="1:22">
      <c r="B757" s="15">
        <v>1949349</v>
      </c>
      <c r="C757" s="8">
        <v>445</v>
      </c>
      <c r="D757" s="7">
        <f t="shared" si="78"/>
        <v>867460305</v>
      </c>
      <c r="E757" s="7">
        <f t="shared" si="79"/>
        <v>3799961523801</v>
      </c>
      <c r="F757" s="7">
        <f t="shared" si="80"/>
        <v>198025</v>
      </c>
      <c r="G757" s="7">
        <f t="shared" si="81"/>
        <v>-698.31230000000005</v>
      </c>
      <c r="H757" s="7">
        <f t="shared" si="82"/>
        <v>-1143.3123000000001</v>
      </c>
      <c r="I757" s="7">
        <f t="shared" si="83"/>
        <v>1307163.0153312902</v>
      </c>
    </row>
    <row r="758" spans="1:22">
      <c r="B758" s="15">
        <v>2054154</v>
      </c>
      <c r="C758" s="9">
        <v>435</v>
      </c>
      <c r="D758" s="4">
        <f t="shared" si="78"/>
        <v>893556990</v>
      </c>
      <c r="E758" s="7">
        <f t="shared" si="79"/>
        <v>4219548655716</v>
      </c>
      <c r="F758" s="7">
        <f t="shared" si="80"/>
        <v>189225</v>
      </c>
      <c r="G758" s="7">
        <f t="shared" si="81"/>
        <v>-845.03930000000003</v>
      </c>
      <c r="H758" s="7">
        <f t="shared" si="82"/>
        <v>-1280.0392999999999</v>
      </c>
      <c r="I758" s="7">
        <f t="shared" si="83"/>
        <v>1638500.6095444898</v>
      </c>
    </row>
    <row r="759" spans="1:22">
      <c r="A759" s="4" t="s">
        <v>18</v>
      </c>
      <c r="B759" s="4">
        <f t="shared" ref="B759" si="84">SUM(B639:B758)</f>
        <v>82225828</v>
      </c>
      <c r="C759" s="4">
        <f t="shared" ref="C759:I759" si="85">SUM(C639:C758)</f>
        <v>128577</v>
      </c>
      <c r="D759" s="4">
        <f t="shared" si="85"/>
        <v>47336476826</v>
      </c>
      <c r="E759" s="4">
        <f t="shared" si="85"/>
        <v>85439162458898</v>
      </c>
      <c r="F759" s="4">
        <f t="shared" si="85"/>
        <v>423547897</v>
      </c>
      <c r="G759" s="4">
        <f t="shared" si="85"/>
        <v>128576.99680000005</v>
      </c>
      <c r="H759" s="4">
        <f>SUM(H639:H758)</f>
        <v>-3.1999999982872396E-3</v>
      </c>
      <c r="I759" s="4">
        <f t="shared" si="85"/>
        <v>228664491.85826898</v>
      </c>
    </row>
    <row r="760" spans="1:2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</row>
    <row r="761" spans="1:22">
      <c r="H761" s="15"/>
    </row>
    <row r="762" spans="1:2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</row>
    <row r="764" spans="1:22">
      <c r="C764" s="78" t="s">
        <v>137</v>
      </c>
      <c r="D764" s="78" t="s">
        <v>137</v>
      </c>
      <c r="E764" s="78" t="s">
        <v>137</v>
      </c>
      <c r="F764" s="79" t="s">
        <v>138</v>
      </c>
      <c r="G764" s="78" t="s">
        <v>137</v>
      </c>
      <c r="H764" s="78" t="s">
        <v>137</v>
      </c>
      <c r="J764" s="78" t="s">
        <v>137</v>
      </c>
    </row>
    <row r="765" spans="1:22">
      <c r="B765" s="4" t="s">
        <v>30</v>
      </c>
      <c r="C765" s="4">
        <f>ROUND(N40,4)</f>
        <v>-0.40029999999999999</v>
      </c>
      <c r="D765" s="4">
        <f>ROUND(N167,4)</f>
        <v>0.77370000000000005</v>
      </c>
      <c r="E765" s="4">
        <f>ROUND(N294,4)</f>
        <v>0.85589999999999999</v>
      </c>
      <c r="F765" s="4">
        <f>ROUND(N421,4)</f>
        <v>5.7599999999999998E-2</v>
      </c>
      <c r="G765" s="4">
        <f>ROUND(N548,4)</f>
        <v>0.9264</v>
      </c>
      <c r="H765" s="4">
        <f>ROUND(N675,4)</f>
        <v>-0.4471</v>
      </c>
      <c r="I765" s="12"/>
      <c r="J765" s="79" t="s">
        <v>138</v>
      </c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</row>
    <row r="766" spans="1:22">
      <c r="B766" s="4" t="s">
        <v>39</v>
      </c>
      <c r="C766" s="4">
        <f>ROUND(C765^2,4)</f>
        <v>0.16020000000000001</v>
      </c>
      <c r="D766" s="4">
        <f t="shared" ref="D766:H766" si="86">ROUND(D765^2,4)</f>
        <v>0.59860000000000002</v>
      </c>
      <c r="E766" s="4">
        <f t="shared" si="86"/>
        <v>0.73260000000000003</v>
      </c>
      <c r="F766" s="4">
        <f t="shared" si="86"/>
        <v>3.3E-3</v>
      </c>
      <c r="G766" s="4">
        <f t="shared" si="86"/>
        <v>0.85819999999999996</v>
      </c>
      <c r="H766" s="4">
        <f t="shared" si="86"/>
        <v>0.19989999999999999</v>
      </c>
    </row>
    <row r="767" spans="1:22">
      <c r="B767" s="80" t="s">
        <v>31</v>
      </c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</row>
    <row r="769" spans="1:20">
      <c r="B769" s="35" t="s">
        <v>32</v>
      </c>
      <c r="C769" s="33">
        <f>MAX(C765:H765)</f>
        <v>0.9264</v>
      </c>
      <c r="D769" s="32" t="s">
        <v>20</v>
      </c>
      <c r="E769" s="33">
        <f>L533</f>
        <v>3.5799999999999998E-2</v>
      </c>
      <c r="F769" s="81" t="s">
        <v>53</v>
      </c>
      <c r="G769" s="81"/>
      <c r="H769" s="34" t="s">
        <v>41</v>
      </c>
      <c r="I769" s="33">
        <f>ROUND(E773-K769*E771,4)</f>
        <v>40537532.608499996</v>
      </c>
      <c r="J769" s="38"/>
      <c r="K769" s="33">
        <f>M556</f>
        <v>30999.763500000001</v>
      </c>
    </row>
    <row r="770" spans="1:20">
      <c r="B770" s="30" t="s">
        <v>40</v>
      </c>
      <c r="C770" s="26">
        <f>MAX(C766:H766)</f>
        <v>0.85819999999999996</v>
      </c>
      <c r="D770" s="23" t="s">
        <v>21</v>
      </c>
      <c r="E770" s="26">
        <f>L534</f>
        <v>1071.4749999999999</v>
      </c>
      <c r="F770" s="82" t="s">
        <v>54</v>
      </c>
      <c r="G770" s="82"/>
      <c r="H770" s="16" t="s">
        <v>42</v>
      </c>
      <c r="I770" s="26">
        <f>ROUND((E771^2)/E772,4)</f>
        <v>245243323.1543</v>
      </c>
      <c r="K770" s="26"/>
    </row>
    <row r="771" spans="1:20">
      <c r="B771" s="30" t="s">
        <v>19</v>
      </c>
      <c r="C771" s="14">
        <v>120</v>
      </c>
      <c r="D771" s="30" t="s">
        <v>63</v>
      </c>
      <c r="E771" s="26">
        <f>O537</f>
        <v>7911.1353000000154</v>
      </c>
      <c r="F771" s="82" t="s">
        <v>52</v>
      </c>
      <c r="G771" s="82"/>
      <c r="H771" s="16" t="s">
        <v>43</v>
      </c>
      <c r="I771" s="26">
        <f>E773</f>
        <v>285780855.92500001</v>
      </c>
      <c r="K771" s="26">
        <f>M559</f>
        <v>-38.316499999999998</v>
      </c>
    </row>
    <row r="772" spans="1:20">
      <c r="B772" s="36"/>
      <c r="C772" s="14"/>
      <c r="D772" s="30" t="s">
        <v>64</v>
      </c>
      <c r="E772" s="26">
        <f>O541</f>
        <v>0.25519985999999972</v>
      </c>
      <c r="H772" s="16" t="s">
        <v>59</v>
      </c>
      <c r="I772" s="26">
        <f>ROUND(SQRT(I769/(C771-2)),4)</f>
        <v>586.12149999999997</v>
      </c>
      <c r="K772" s="26"/>
    </row>
    <row r="773" spans="1:20" ht="13.5" thickBot="1">
      <c r="B773" s="37"/>
      <c r="C773" s="28"/>
      <c r="D773" s="30" t="s">
        <v>65</v>
      </c>
      <c r="E773" s="27">
        <f>O544</f>
        <v>285780855.92500001</v>
      </c>
      <c r="H773" s="28"/>
      <c r="I773" s="27"/>
      <c r="J773" s="37"/>
      <c r="K773" s="27">
        <f>ROUND(K769*SQRT(E772/E773),4)</f>
        <v>0.9264</v>
      </c>
    </row>
    <row r="774" spans="1:20">
      <c r="A774" s="20"/>
      <c r="B774" s="20" t="s">
        <v>55</v>
      </c>
      <c r="C774" s="20" t="s">
        <v>48</v>
      </c>
      <c r="D774" s="20" t="s">
        <v>49</v>
      </c>
      <c r="E774" s="20" t="s">
        <v>50</v>
      </c>
      <c r="F774" s="20" t="s">
        <v>51</v>
      </c>
      <c r="G774" s="22"/>
    </row>
    <row r="775" spans="1:20">
      <c r="A775" s="23" t="s">
        <v>56</v>
      </c>
      <c r="B775" s="18" t="s">
        <v>45</v>
      </c>
      <c r="C775" s="18">
        <v>1</v>
      </c>
      <c r="D775" s="18">
        <f>I770</f>
        <v>245243323.1543</v>
      </c>
      <c r="E775" s="18">
        <f>D775/C775</f>
        <v>245243323.1543</v>
      </c>
      <c r="F775" s="18">
        <f>E775/E776</f>
        <v>713.87453231772349</v>
      </c>
      <c r="G775" s="18"/>
    </row>
    <row r="776" spans="1:20">
      <c r="A776" s="23" t="s">
        <v>57</v>
      </c>
      <c r="B776" s="18" t="s">
        <v>46</v>
      </c>
      <c r="C776" s="18">
        <f>C771-2</f>
        <v>118</v>
      </c>
      <c r="D776" s="18">
        <f>I769</f>
        <v>40537532.608499996</v>
      </c>
      <c r="E776" s="18">
        <f>D776/C776</f>
        <v>343538.41193644062</v>
      </c>
      <c r="F776" s="18"/>
      <c r="G776" s="18"/>
      <c r="I776" s="16"/>
    </row>
    <row r="777" spans="1:20" ht="13.5" thickBot="1">
      <c r="A777" s="24" t="s">
        <v>58</v>
      </c>
      <c r="B777" s="19" t="s">
        <v>47</v>
      </c>
      <c r="C777" s="19">
        <f>C771-1</f>
        <v>119</v>
      </c>
      <c r="D777" s="19">
        <f>I771</f>
        <v>285780855.92500001</v>
      </c>
      <c r="E777" s="19"/>
      <c r="F777" s="19"/>
      <c r="G777" s="19"/>
    </row>
    <row r="780" spans="1:20">
      <c r="A780" s="72"/>
      <c r="B780" s="72"/>
      <c r="C780" s="72"/>
      <c r="D780" s="72"/>
      <c r="E780" s="72"/>
      <c r="F780" s="72"/>
      <c r="G780" s="50"/>
      <c r="H780" s="50"/>
      <c r="I780" s="50"/>
      <c r="J780" s="50"/>
    </row>
    <row r="781" spans="1:20">
      <c r="A781" s="14"/>
      <c r="B781" s="18"/>
      <c r="C781" s="18"/>
      <c r="D781" s="18"/>
      <c r="E781" s="18"/>
      <c r="F781" s="18"/>
      <c r="G781" s="18"/>
      <c r="H781" s="18"/>
      <c r="I781" s="18"/>
      <c r="J781" s="18"/>
    </row>
    <row r="782" spans="1:20">
      <c r="A782" s="18"/>
      <c r="B782" s="18"/>
      <c r="C782" s="18"/>
      <c r="D782" s="18"/>
      <c r="E782" s="18"/>
      <c r="F782" s="18"/>
      <c r="G782" s="18"/>
      <c r="H782" s="18"/>
      <c r="I782" s="18"/>
      <c r="J782" s="18"/>
    </row>
    <row r="783" spans="1:20" ht="13.5" thickBot="1"/>
    <row r="784" spans="1:20">
      <c r="B784" s="39"/>
      <c r="C784" s="40" t="s">
        <v>61</v>
      </c>
      <c r="D784" s="41">
        <v>0.95</v>
      </c>
      <c r="E784" s="41"/>
      <c r="F784" s="41"/>
      <c r="G784" s="41"/>
      <c r="H784" s="41"/>
      <c r="I784" s="41"/>
      <c r="J784" s="42"/>
      <c r="L784" s="39"/>
      <c r="M784" s="40" t="s">
        <v>61</v>
      </c>
      <c r="N784" s="41">
        <v>0.9</v>
      </c>
      <c r="O784" s="41"/>
      <c r="P784" s="41"/>
      <c r="Q784" s="41"/>
      <c r="R784" s="41"/>
      <c r="S784" s="41"/>
      <c r="T784" s="42"/>
    </row>
    <row r="785" spans="1:20">
      <c r="A785" s="21" t="s">
        <v>78</v>
      </c>
      <c r="B785" s="43"/>
      <c r="C785" s="44" t="s">
        <v>62</v>
      </c>
      <c r="D785" s="14">
        <f>1-D784</f>
        <v>5.0000000000000044E-2</v>
      </c>
      <c r="E785" s="14"/>
      <c r="F785" s="14"/>
      <c r="G785" s="14">
        <f>ROUND(SQRT(1/C771+(E769^2/E772)),4)</f>
        <v>0.11559999999999999</v>
      </c>
      <c r="H785" s="14"/>
      <c r="I785" s="29" t="s">
        <v>66</v>
      </c>
      <c r="J785" s="45">
        <f>ROUND(SQRT((I769)/(C771-2)),4)</f>
        <v>586.12149999999997</v>
      </c>
      <c r="L785" s="43"/>
      <c r="M785" s="44" t="s">
        <v>62</v>
      </c>
      <c r="N785" s="14">
        <f>1-N784</f>
        <v>9.9999999999999978E-2</v>
      </c>
      <c r="O785" s="14"/>
      <c r="P785" s="14"/>
      <c r="Q785" s="14">
        <f>ROUND(SQRT(1/C771+(E769^2/E772)),4)</f>
        <v>0.11559999999999999</v>
      </c>
      <c r="R785" s="14"/>
      <c r="S785" s="29" t="s">
        <v>66</v>
      </c>
      <c r="T785" s="45">
        <f>ROUND(SQRT((I769)/(C771-2)),4)</f>
        <v>586.12149999999997</v>
      </c>
    </row>
    <row r="786" spans="1:20">
      <c r="A786" t="s">
        <v>69</v>
      </c>
      <c r="B786" s="43"/>
      <c r="C786" s="14"/>
      <c r="D786" s="14">
        <f>ROUND(_xlfn.T.INV(1-D785/2,C771-2),2)</f>
        <v>1.98</v>
      </c>
      <c r="E786" s="14"/>
      <c r="F786" s="14"/>
      <c r="G786" s="14"/>
      <c r="H786" s="14"/>
      <c r="I786" s="14"/>
      <c r="J786" s="45"/>
      <c r="L786" s="43"/>
      <c r="M786" s="14"/>
      <c r="N786" s="14">
        <f>ROUND(_xlfn.T.INV(1-N785/2,C771-2),2)</f>
        <v>1.66</v>
      </c>
      <c r="O786" s="14"/>
      <c r="P786" s="14"/>
      <c r="Q786" s="14"/>
      <c r="R786" s="14"/>
      <c r="S786" s="14"/>
      <c r="T786" s="45"/>
    </row>
    <row r="787" spans="1:20">
      <c r="A787" s="21" t="s">
        <v>70</v>
      </c>
      <c r="B787" s="46"/>
      <c r="C787" s="14"/>
      <c r="D787" s="14"/>
      <c r="E787" s="14"/>
      <c r="F787" s="14"/>
      <c r="G787" s="14"/>
      <c r="H787" s="14"/>
      <c r="I787" s="14"/>
      <c r="J787" s="45"/>
      <c r="L787" s="46"/>
      <c r="M787" s="14"/>
      <c r="N787" s="14"/>
      <c r="O787" s="14"/>
      <c r="P787" s="14"/>
      <c r="Q787" s="14"/>
      <c r="R787" s="14"/>
      <c r="S787" s="14"/>
      <c r="T787" s="45"/>
    </row>
    <row r="788" spans="1:20">
      <c r="B788" s="46" t="s">
        <v>60</v>
      </c>
      <c r="C788" s="14">
        <f>ROUND(D786*G785*J785,4)</f>
        <v>134.15620000000001</v>
      </c>
      <c r="D788" s="14"/>
      <c r="E788" s="29" t="s">
        <v>67</v>
      </c>
      <c r="F788" s="14">
        <f>K771-C788</f>
        <v>-172.4727</v>
      </c>
      <c r="G788" s="14"/>
      <c r="H788" s="14"/>
      <c r="I788" s="14"/>
      <c r="J788" s="45"/>
      <c r="L788" s="46" t="s">
        <v>60</v>
      </c>
      <c r="M788" s="14">
        <f>ROUND(N786*Q785*T785,4)</f>
        <v>112.4744</v>
      </c>
      <c r="N788" s="14"/>
      <c r="O788" s="29" t="s">
        <v>67</v>
      </c>
      <c r="P788" s="14">
        <f>K771-M788</f>
        <v>-150.79089999999999</v>
      </c>
      <c r="Q788" s="14"/>
      <c r="R788" s="14"/>
      <c r="S788" s="14"/>
      <c r="T788" s="45"/>
    </row>
    <row r="789" spans="1:20" ht="13.5" thickBot="1">
      <c r="B789" s="47"/>
      <c r="C789" s="28"/>
      <c r="D789" s="28"/>
      <c r="E789" s="48" t="s">
        <v>68</v>
      </c>
      <c r="F789" s="28">
        <f>K771+C788</f>
        <v>95.839700000000022</v>
      </c>
      <c r="G789" s="28"/>
      <c r="H789" s="28"/>
      <c r="I789" s="28"/>
      <c r="J789" s="49"/>
      <c r="L789" s="47"/>
      <c r="M789" s="28"/>
      <c r="N789" s="28"/>
      <c r="O789" s="48" t="s">
        <v>68</v>
      </c>
      <c r="P789" s="28">
        <f>K771+M788</f>
        <v>74.157900000000012</v>
      </c>
      <c r="Q789" s="28"/>
      <c r="R789" s="28"/>
      <c r="S789" s="28"/>
      <c r="T789" s="49"/>
    </row>
    <row r="790" spans="1:20" ht="13.5" thickBot="1"/>
    <row r="791" spans="1:20">
      <c r="A791" s="17"/>
      <c r="B791" s="39"/>
      <c r="C791" s="40" t="s">
        <v>61</v>
      </c>
      <c r="D791" s="41">
        <v>0.95</v>
      </c>
      <c r="E791" s="41"/>
      <c r="F791" s="41"/>
      <c r="G791" s="41"/>
      <c r="H791" s="41"/>
      <c r="I791" s="41"/>
      <c r="J791" s="42"/>
      <c r="L791" s="39"/>
      <c r="M791" s="40" t="s">
        <v>61</v>
      </c>
      <c r="N791" s="41">
        <v>0.9</v>
      </c>
      <c r="O791" s="41"/>
      <c r="P791" s="41"/>
      <c r="Q791" s="41"/>
      <c r="R791" s="41"/>
      <c r="S791" s="41"/>
      <c r="T791" s="42"/>
    </row>
    <row r="792" spans="1:20">
      <c r="A792" s="21" t="s">
        <v>78</v>
      </c>
      <c r="B792" s="43"/>
      <c r="C792" s="44" t="s">
        <v>62</v>
      </c>
      <c r="D792" s="14">
        <f>1-D791</f>
        <v>5.0000000000000044E-2</v>
      </c>
      <c r="E792" s="14"/>
      <c r="F792" s="14"/>
      <c r="G792" s="14">
        <f>ROUND(SQRT(1/E772),4)</f>
        <v>1.9795</v>
      </c>
      <c r="H792" s="14"/>
      <c r="I792" s="29" t="s">
        <v>66</v>
      </c>
      <c r="J792" s="45">
        <f>ROUND(SQRT((I769)/(C771-2)),4)</f>
        <v>586.12149999999997</v>
      </c>
      <c r="L792" s="43"/>
      <c r="M792" s="44" t="s">
        <v>62</v>
      </c>
      <c r="N792" s="14">
        <f>1-N791</f>
        <v>9.9999999999999978E-2</v>
      </c>
      <c r="O792" s="14"/>
      <c r="P792" s="14"/>
      <c r="Q792" s="14">
        <f>ROUND(SQRT(1/E772),4)</f>
        <v>1.9795</v>
      </c>
      <c r="R792" s="14"/>
      <c r="S792" s="29" t="s">
        <v>66</v>
      </c>
      <c r="T792" s="45">
        <f>ROUND(SQRT((I769)/(C771-2)),4)</f>
        <v>586.12149999999997</v>
      </c>
    </row>
    <row r="793" spans="1:20">
      <c r="A793" s="17" t="s">
        <v>69</v>
      </c>
      <c r="B793" s="43"/>
      <c r="C793" s="14"/>
      <c r="D793" s="14">
        <f>ROUND(_xlfn.T.INV(1-D792/2,C771-2),2)</f>
        <v>1.98</v>
      </c>
      <c r="E793" s="14"/>
      <c r="F793" s="14"/>
      <c r="G793" s="14"/>
      <c r="H793" s="14"/>
      <c r="I793" s="14"/>
      <c r="J793" s="45"/>
      <c r="L793" s="43"/>
      <c r="M793" s="14"/>
      <c r="N793" s="14">
        <f>ROUND(_xlfn.T.INV(1-N785/2,C771-2),2)</f>
        <v>1.66</v>
      </c>
      <c r="O793" s="14"/>
      <c r="P793" s="14"/>
      <c r="Q793" s="14"/>
      <c r="R793" s="14"/>
      <c r="S793" s="14"/>
      <c r="T793" s="45"/>
    </row>
    <row r="794" spans="1:20">
      <c r="A794" s="21" t="s">
        <v>71</v>
      </c>
      <c r="B794" s="46"/>
      <c r="C794" s="14"/>
      <c r="D794" s="14"/>
      <c r="E794" s="14"/>
      <c r="F794" s="14"/>
      <c r="G794" s="14"/>
      <c r="H794" s="14"/>
      <c r="I794" s="14"/>
      <c r="J794" s="45"/>
      <c r="L794" s="46"/>
      <c r="M794" s="14"/>
      <c r="N794" s="14"/>
      <c r="O794" s="14"/>
      <c r="P794" s="14"/>
      <c r="Q794" s="14"/>
      <c r="R794" s="14"/>
      <c r="S794" s="14"/>
      <c r="T794" s="45"/>
    </row>
    <row r="795" spans="1:20">
      <c r="A795" s="17"/>
      <c r="B795" s="46" t="s">
        <v>60</v>
      </c>
      <c r="C795" s="14">
        <f>D793*G792*J792</f>
        <v>2297.250468315</v>
      </c>
      <c r="D795" s="14"/>
      <c r="E795" s="29" t="s">
        <v>67</v>
      </c>
      <c r="F795" s="14">
        <f>K769-C795</f>
        <v>28702.513031685001</v>
      </c>
      <c r="G795" s="14"/>
      <c r="H795" s="14"/>
      <c r="I795" s="14"/>
      <c r="J795" s="45"/>
      <c r="L795" s="46" t="s">
        <v>60</v>
      </c>
      <c r="M795" s="14">
        <f>N793*Q792*T792</f>
        <v>1925.9776653549998</v>
      </c>
      <c r="N795" s="14"/>
      <c r="O795" s="29" t="s">
        <v>67</v>
      </c>
      <c r="P795" s="14">
        <f>K769-M795</f>
        <v>29073.785834645001</v>
      </c>
      <c r="Q795" s="14"/>
      <c r="R795" s="14"/>
      <c r="S795" s="14"/>
      <c r="T795" s="45"/>
    </row>
    <row r="796" spans="1:20" ht="13.5" thickBot="1">
      <c r="A796" s="17"/>
      <c r="B796" s="47"/>
      <c r="C796" s="28"/>
      <c r="D796" s="28"/>
      <c r="E796" s="48" t="s">
        <v>68</v>
      </c>
      <c r="F796" s="28">
        <f>K769+C795</f>
        <v>33297.013968315005</v>
      </c>
      <c r="G796" s="28"/>
      <c r="H796" s="28"/>
      <c r="I796" s="28"/>
      <c r="J796" s="49"/>
      <c r="L796" s="47"/>
      <c r="M796" s="28"/>
      <c r="N796" s="28"/>
      <c r="O796" s="48" t="s">
        <v>68</v>
      </c>
      <c r="P796" s="28">
        <f>K769+M795</f>
        <v>32925.741165355001</v>
      </c>
      <c r="Q796" s="28"/>
      <c r="R796" s="28"/>
      <c r="S796" s="28"/>
      <c r="T796" s="49"/>
    </row>
    <row r="799" spans="1:20" ht="13.5" thickBot="1"/>
    <row r="800" spans="1:20">
      <c r="A800" s="21" t="s">
        <v>78</v>
      </c>
      <c r="B800" s="39"/>
      <c r="C800" s="40" t="s">
        <v>61</v>
      </c>
      <c r="D800" s="41">
        <v>0.95</v>
      </c>
      <c r="E800" s="41"/>
      <c r="F800" s="41"/>
      <c r="G800" s="41"/>
      <c r="H800" s="41"/>
      <c r="I800" s="41"/>
      <c r="J800" s="42"/>
      <c r="L800" s="39"/>
      <c r="M800" s="40" t="s">
        <v>61</v>
      </c>
      <c r="N800" s="41">
        <v>0.9</v>
      </c>
      <c r="O800" s="41"/>
      <c r="P800" s="41"/>
      <c r="Q800" s="41"/>
      <c r="R800" s="41"/>
      <c r="S800" s="41"/>
      <c r="T800" s="42"/>
    </row>
    <row r="801" spans="1:20">
      <c r="A801" s="21" t="s">
        <v>91</v>
      </c>
      <c r="B801" s="43"/>
      <c r="C801" s="44" t="s">
        <v>62</v>
      </c>
      <c r="D801" s="14">
        <f>1-D800</f>
        <v>5.0000000000000044E-2</v>
      </c>
      <c r="E801" s="14"/>
      <c r="F801" s="14"/>
      <c r="G801" s="14">
        <f>ROUND(SQRT(1/C771+((I803-E769)^2/E772)),4)</f>
        <v>0.34449999999999997</v>
      </c>
      <c r="H801" s="14"/>
      <c r="I801" s="29" t="s">
        <v>66</v>
      </c>
      <c r="J801" s="45">
        <f>ROUND(SQRT((I769)/(C771-2)),4)</f>
        <v>586.12149999999997</v>
      </c>
      <c r="L801" s="43"/>
      <c r="M801" s="44" t="s">
        <v>62</v>
      </c>
      <c r="N801" s="14">
        <f>1-N800</f>
        <v>9.9999999999999978E-2</v>
      </c>
      <c r="O801" s="14"/>
      <c r="P801" s="14"/>
      <c r="Q801" s="14">
        <f>ROUND(SQRT(1/C771+((I803-E769)^2/E772)),4)</f>
        <v>0.34449999999999997</v>
      </c>
      <c r="R801" s="14"/>
      <c r="S801" s="29" t="s">
        <v>66</v>
      </c>
      <c r="T801" s="45">
        <f>ROUND(SQRT((I769)/(C771-2)),4)</f>
        <v>586.12149999999997</v>
      </c>
    </row>
    <row r="802" spans="1:20">
      <c r="A802" s="21" t="s">
        <v>92</v>
      </c>
      <c r="B802" s="43"/>
      <c r="C802" s="14"/>
      <c r="D802" s="14">
        <f>ROUND(_xlfn.T.INV(1-D801/2,120-2),2)</f>
        <v>1.98</v>
      </c>
      <c r="E802" s="14"/>
      <c r="F802" s="14"/>
      <c r="G802" s="14"/>
      <c r="H802" s="14"/>
      <c r="I802" s="14"/>
      <c r="J802" s="45"/>
      <c r="L802" s="43"/>
      <c r="M802" s="14"/>
      <c r="N802" s="14">
        <f>ROUND(_xlfn.T.INV(1-N801/2,120-2),2)</f>
        <v>1.66</v>
      </c>
      <c r="O802" s="14"/>
      <c r="P802" s="14"/>
      <c r="Q802" s="14"/>
      <c r="R802" s="14"/>
      <c r="S802" s="14"/>
      <c r="T802" s="45"/>
    </row>
    <row r="803" spans="1:20">
      <c r="A803" s="21" t="s">
        <v>93</v>
      </c>
      <c r="B803" s="46"/>
      <c r="C803" s="14"/>
      <c r="D803" s="14"/>
      <c r="E803" s="14"/>
      <c r="F803" s="14"/>
      <c r="G803" s="14"/>
      <c r="H803" s="14" t="s">
        <v>127</v>
      </c>
      <c r="I803" s="14">
        <f>B512</f>
        <v>0.2036</v>
      </c>
      <c r="J803" s="45"/>
      <c r="L803" s="46"/>
      <c r="M803" s="14"/>
      <c r="N803" s="14"/>
      <c r="O803" s="14"/>
      <c r="P803" s="14"/>
      <c r="Q803" s="14"/>
      <c r="R803" s="14" t="s">
        <v>127</v>
      </c>
      <c r="S803" s="14">
        <f>B512</f>
        <v>0.2036</v>
      </c>
      <c r="T803" s="45"/>
    </row>
    <row r="804" spans="1:20">
      <c r="A804" s="21" t="s">
        <v>94</v>
      </c>
      <c r="B804" s="46" t="s">
        <v>60</v>
      </c>
      <c r="C804" s="14">
        <f>ROUND(D802*G801*J801,4)</f>
        <v>399.79930000000002</v>
      </c>
      <c r="D804" s="14"/>
      <c r="E804" s="29" t="s">
        <v>67</v>
      </c>
      <c r="F804" s="14">
        <f>I804-C804</f>
        <v>5873.4360000000006</v>
      </c>
      <c r="G804" s="14"/>
      <c r="H804" s="14" t="str">
        <f>"y("&amp;B512&amp;")="</f>
        <v>y(0,2036)=</v>
      </c>
      <c r="I804" s="14">
        <f>ROUND(K771+K769*I803,4)</f>
        <v>6273.2353000000003</v>
      </c>
      <c r="J804" s="45"/>
      <c r="L804" s="46" t="s">
        <v>60</v>
      </c>
      <c r="M804" s="14">
        <f>ROUND(N802*Q801*T801,4)</f>
        <v>335.18529999999998</v>
      </c>
      <c r="N804" s="14"/>
      <c r="O804" s="29" t="s">
        <v>67</v>
      </c>
      <c r="P804" s="14">
        <f>S804-M804</f>
        <v>5938.05</v>
      </c>
      <c r="Q804" s="14"/>
      <c r="R804" s="14" t="str">
        <f>"y("&amp;L512&amp;")="</f>
        <v>y()=</v>
      </c>
      <c r="S804" s="14">
        <f>ROUND(K771+K769*I803,4)</f>
        <v>6273.2353000000003</v>
      </c>
      <c r="T804" s="45"/>
    </row>
    <row r="805" spans="1:20">
      <c r="B805" s="43"/>
      <c r="C805" s="14"/>
      <c r="D805" s="14"/>
      <c r="E805" s="29" t="s">
        <v>68</v>
      </c>
      <c r="F805" s="14">
        <f>I804+C804</f>
        <v>6673.0346</v>
      </c>
      <c r="G805" s="14"/>
      <c r="H805" s="14"/>
      <c r="I805" s="14"/>
      <c r="J805" s="45"/>
      <c r="L805" s="43"/>
      <c r="M805" s="14"/>
      <c r="N805" s="14"/>
      <c r="O805" s="29" t="s">
        <v>68</v>
      </c>
      <c r="P805" s="14">
        <f>S804+M804</f>
        <v>6608.4206000000004</v>
      </c>
      <c r="Q805" s="14"/>
      <c r="R805" s="14"/>
      <c r="S805" s="14"/>
      <c r="T805" s="45"/>
    </row>
    <row r="806" spans="1:20">
      <c r="B806" s="43"/>
      <c r="C806" s="14"/>
      <c r="D806" s="14"/>
      <c r="E806" s="14"/>
      <c r="F806" s="14"/>
      <c r="G806" s="14"/>
      <c r="H806" s="14"/>
      <c r="I806" s="14"/>
      <c r="J806" s="45"/>
      <c r="L806" s="43"/>
      <c r="M806" s="14"/>
      <c r="N806" s="14"/>
      <c r="O806" s="14"/>
      <c r="P806" s="14"/>
      <c r="Q806" s="14"/>
      <c r="R806" s="14"/>
      <c r="S806" s="14"/>
      <c r="T806" s="45"/>
    </row>
    <row r="807" spans="1:20" ht="16.5" thickBot="1">
      <c r="B807" s="47"/>
      <c r="C807" s="28"/>
      <c r="D807" s="28"/>
      <c r="E807" s="28" t="s">
        <v>98</v>
      </c>
      <c r="F807" s="28" t="str">
        <f>"]"&amp;F804&amp;";"&amp;F805&amp;"["</f>
        <v>]5873,436;6673,0346[</v>
      </c>
      <c r="G807" s="28"/>
      <c r="H807" s="28"/>
      <c r="I807" s="28"/>
      <c r="J807" s="49"/>
      <c r="L807" s="47"/>
      <c r="M807" s="28"/>
      <c r="N807" s="28"/>
      <c r="O807" s="28" t="s">
        <v>139</v>
      </c>
      <c r="P807" s="28" t="str">
        <f>"]"&amp;P804&amp;";"&amp;P805&amp;"["</f>
        <v>]5938,05;6608,4206[</v>
      </c>
      <c r="Q807" s="28"/>
      <c r="R807" s="28"/>
      <c r="S807" s="28"/>
      <c r="T807" s="49"/>
    </row>
    <row r="809" spans="1:20" ht="13.5" thickBot="1"/>
    <row r="810" spans="1:20">
      <c r="A810" s="21" t="s">
        <v>78</v>
      </c>
      <c r="B810" s="39"/>
      <c r="C810" s="40" t="s">
        <v>61</v>
      </c>
      <c r="D810" s="41">
        <v>0.95</v>
      </c>
      <c r="E810" s="41"/>
      <c r="F810" s="41"/>
      <c r="G810" s="41"/>
      <c r="H810" s="41"/>
      <c r="I810" s="41"/>
      <c r="J810" s="42"/>
      <c r="L810" s="39"/>
      <c r="M810" s="40" t="s">
        <v>61</v>
      </c>
      <c r="N810" s="41">
        <v>0.9</v>
      </c>
      <c r="O810" s="41"/>
      <c r="P810" s="41"/>
      <c r="Q810" s="41"/>
      <c r="R810" s="41"/>
      <c r="S810" s="41"/>
      <c r="T810" s="42"/>
    </row>
    <row r="811" spans="1:20">
      <c r="A811" s="21" t="s">
        <v>99</v>
      </c>
      <c r="B811" s="43"/>
      <c r="C811" s="44" t="s">
        <v>62</v>
      </c>
      <c r="D811" s="14">
        <f>1-D810</f>
        <v>5.0000000000000044E-2</v>
      </c>
      <c r="E811" s="14"/>
      <c r="F811" s="14"/>
      <c r="G811" s="14">
        <f>ROUND(SQRT(1+1/C771+((I803-E769)^2/E772)),4)</f>
        <v>1.0577000000000001</v>
      </c>
      <c r="H811" s="14"/>
      <c r="I811" s="29" t="s">
        <v>66</v>
      </c>
      <c r="J811" s="45">
        <f>ROUND(SQRT((I769)/(C771-2)),4)</f>
        <v>586.12149999999997</v>
      </c>
      <c r="L811" s="43"/>
      <c r="M811" s="44" t="s">
        <v>62</v>
      </c>
      <c r="N811" s="14">
        <f>1-N810</f>
        <v>9.9999999999999978E-2</v>
      </c>
      <c r="O811" s="14"/>
      <c r="P811" s="14"/>
      <c r="Q811" s="14">
        <f>ROUND(SQRT(1+1/C771+((I803-E769)^2/E772)),4)</f>
        <v>1.0577000000000001</v>
      </c>
      <c r="R811" s="14"/>
      <c r="S811" s="29" t="s">
        <v>66</v>
      </c>
      <c r="T811" s="45">
        <f>ROUND(SQRT((I769)/(C771-2)),4)</f>
        <v>586.12149999999997</v>
      </c>
    </row>
    <row r="812" spans="1:20">
      <c r="A812" s="21" t="s">
        <v>100</v>
      </c>
      <c r="B812" s="43"/>
      <c r="C812" s="14"/>
      <c r="D812" s="14">
        <f>ROUND(_xlfn.T.INV(1-D811/2,120-2),2)</f>
        <v>1.98</v>
      </c>
      <c r="E812" s="14"/>
      <c r="F812" s="14"/>
      <c r="G812" s="14"/>
      <c r="H812" s="14"/>
      <c r="I812" s="14"/>
      <c r="J812" s="45"/>
      <c r="L812" s="43"/>
      <c r="M812" s="14"/>
      <c r="N812" s="14">
        <f>ROUND(_xlfn.T.INV(1-N811/2,120-2),2)</f>
        <v>1.66</v>
      </c>
      <c r="O812" s="14"/>
      <c r="P812" s="14"/>
      <c r="Q812" s="14"/>
      <c r="R812" s="14"/>
      <c r="S812" s="14"/>
      <c r="T812" s="45"/>
    </row>
    <row r="813" spans="1:20">
      <c r="A813" s="21" t="s">
        <v>101</v>
      </c>
      <c r="B813" s="46"/>
      <c r="C813" s="14"/>
      <c r="D813" s="14"/>
      <c r="E813" s="14"/>
      <c r="F813" s="14"/>
      <c r="G813" s="14"/>
      <c r="H813" s="14" t="s">
        <v>127</v>
      </c>
      <c r="I813" s="14">
        <f>B512</f>
        <v>0.2036</v>
      </c>
      <c r="J813" s="45"/>
      <c r="L813" s="46"/>
      <c r="M813" s="14"/>
      <c r="N813" s="14"/>
      <c r="O813" s="14"/>
      <c r="P813" s="14"/>
      <c r="Q813" s="14"/>
      <c r="R813" s="14" t="s">
        <v>127</v>
      </c>
      <c r="S813" s="14">
        <f>B512</f>
        <v>0.2036</v>
      </c>
      <c r="T813" s="45"/>
    </row>
    <row r="814" spans="1:20">
      <c r="A814" s="21" t="s">
        <v>102</v>
      </c>
      <c r="B814" s="46" t="s">
        <v>60</v>
      </c>
      <c r="C814" s="14">
        <f>ROUND(D812*G811*J811,4)</f>
        <v>1227.4826</v>
      </c>
      <c r="D814" s="14"/>
      <c r="E814" s="29" t="s">
        <v>67</v>
      </c>
      <c r="F814" s="14">
        <f>I814-C814</f>
        <v>5045.7527</v>
      </c>
      <c r="G814" s="14"/>
      <c r="H814" s="14" t="str">
        <f>"y("&amp;B522&amp;")="</f>
        <v>y(0,1211)=</v>
      </c>
      <c r="I814" s="14">
        <f>ROUND(K771+K769*I803,4)</f>
        <v>6273.2353000000003</v>
      </c>
      <c r="J814" s="45"/>
      <c r="L814" s="46" t="s">
        <v>60</v>
      </c>
      <c r="M814" s="14">
        <f>ROUND(N812*Q811*T811,4)</f>
        <v>1029.1016</v>
      </c>
      <c r="N814" s="14"/>
      <c r="O814" s="29" t="s">
        <v>67</v>
      </c>
      <c r="P814" s="14">
        <f>S814-M814</f>
        <v>5244.1337000000003</v>
      </c>
      <c r="Q814" s="14"/>
      <c r="R814" s="14" t="str">
        <f>"y("&amp;L522&amp;")="</f>
        <v>y()=</v>
      </c>
      <c r="S814" s="14">
        <f>ROUND(K771+K769*I803,4)</f>
        <v>6273.2353000000003</v>
      </c>
      <c r="T814" s="45"/>
    </row>
    <row r="815" spans="1:20">
      <c r="A815" s="21" t="s">
        <v>94</v>
      </c>
      <c r="B815" s="43"/>
      <c r="C815" s="14"/>
      <c r="D815" s="14"/>
      <c r="E815" s="29" t="s">
        <v>68</v>
      </c>
      <c r="F815" s="14">
        <f>I814+C814</f>
        <v>7500.7179000000006</v>
      </c>
      <c r="G815" s="14"/>
      <c r="H815" s="14"/>
      <c r="I815" s="14"/>
      <c r="J815" s="45"/>
      <c r="L815" s="43"/>
      <c r="M815" s="14"/>
      <c r="N815" s="14"/>
      <c r="O815" s="29" t="s">
        <v>68</v>
      </c>
      <c r="P815" s="14">
        <f>S814+M814</f>
        <v>7302.3369000000002</v>
      </c>
      <c r="Q815" s="14"/>
      <c r="R815" s="14"/>
      <c r="S815" s="14"/>
      <c r="T815" s="45"/>
    </row>
    <row r="816" spans="1:20">
      <c r="B816" s="43"/>
      <c r="C816" s="14"/>
      <c r="D816" s="14"/>
      <c r="E816" s="14"/>
      <c r="F816" s="14"/>
      <c r="G816" s="14"/>
      <c r="H816" s="14"/>
      <c r="I816" s="14"/>
      <c r="J816" s="45"/>
      <c r="L816" s="43"/>
      <c r="M816" s="14"/>
      <c r="N816" s="14"/>
      <c r="O816" s="14"/>
      <c r="P816" s="14"/>
      <c r="Q816" s="14"/>
      <c r="R816" s="14"/>
      <c r="S816" s="14"/>
      <c r="T816" s="45"/>
    </row>
    <row r="817" spans="1:24" ht="16.5" thickBot="1">
      <c r="B817" s="47"/>
      <c r="C817" s="28"/>
      <c r="D817" s="28"/>
      <c r="E817" s="28" t="s">
        <v>98</v>
      </c>
      <c r="F817" s="28" t="str">
        <f>"]"&amp;F814&amp;";"&amp;F815&amp;"["</f>
        <v>]5045,7527;7500,7179[</v>
      </c>
      <c r="G817" s="28"/>
      <c r="H817" s="28"/>
      <c r="I817" s="28"/>
      <c r="J817" s="49"/>
      <c r="L817" s="47"/>
      <c r="M817" s="28"/>
      <c r="N817" s="28"/>
      <c r="O817" s="28" t="s">
        <v>139</v>
      </c>
      <c r="P817" s="28" t="str">
        <f>"]"&amp;P814&amp;";"&amp;P815&amp;"["</f>
        <v>]5244,1337;7302,3369[</v>
      </c>
      <c r="Q817" s="28"/>
      <c r="R817" s="28"/>
      <c r="S817" s="28"/>
      <c r="T817" s="49"/>
    </row>
    <row r="819" spans="1:24" ht="13.5" thickBot="1"/>
    <row r="820" spans="1:24">
      <c r="A820" s="68"/>
      <c r="B820" s="39"/>
      <c r="C820" s="41"/>
      <c r="D820" s="41"/>
      <c r="E820" s="41"/>
      <c r="F820" s="41"/>
      <c r="G820" s="41"/>
      <c r="H820" s="41"/>
      <c r="I820" s="41"/>
      <c r="J820" s="41"/>
      <c r="K820" s="41"/>
      <c r="L820" s="42"/>
      <c r="N820" s="39"/>
      <c r="O820" s="41"/>
      <c r="P820" s="41"/>
      <c r="Q820" s="41"/>
      <c r="R820" s="41"/>
      <c r="S820" s="41"/>
      <c r="T820" s="41"/>
      <c r="U820" s="41"/>
      <c r="V820" s="41"/>
      <c r="W820" s="41"/>
      <c r="X820" s="42"/>
    </row>
    <row r="821" spans="1:24">
      <c r="A821" s="21" t="s">
        <v>103</v>
      </c>
      <c r="B821" s="43"/>
      <c r="C821" s="14"/>
      <c r="D821" s="14"/>
      <c r="E821" s="14"/>
      <c r="F821" s="14"/>
      <c r="G821" s="29" t="str">
        <f>A824&amp;"0="</f>
        <v>a0=</v>
      </c>
      <c r="H821" s="14">
        <v>0</v>
      </c>
      <c r="I821" s="14"/>
      <c r="J821" s="14"/>
      <c r="K821" s="14"/>
      <c r="L821" s="45"/>
      <c r="N821" s="43"/>
      <c r="O821" s="14"/>
      <c r="P821" s="14"/>
      <c r="Q821" s="14"/>
      <c r="R821" s="14"/>
      <c r="S821" s="29" t="str">
        <f>M824&amp;"0="</f>
        <v>0=</v>
      </c>
      <c r="T821" s="14">
        <v>0</v>
      </c>
      <c r="U821" s="14"/>
      <c r="V821" s="14"/>
      <c r="W821" s="14"/>
      <c r="X821" s="45"/>
    </row>
    <row r="822" spans="1:24">
      <c r="A822" s="21" t="s">
        <v>83</v>
      </c>
      <c r="B822" s="43"/>
      <c r="C822" s="14"/>
      <c r="D822" s="14"/>
      <c r="E822" s="14"/>
      <c r="F822" s="14"/>
      <c r="G822" s="14"/>
      <c r="H822" s="14"/>
      <c r="I822" s="14"/>
      <c r="J822" s="14"/>
      <c r="K822" s="14"/>
      <c r="L822" s="45"/>
      <c r="N822" s="43"/>
      <c r="O822" s="14"/>
      <c r="P822" s="14"/>
      <c r="Q822" s="14"/>
      <c r="R822" s="14"/>
      <c r="S822" s="14"/>
      <c r="T822" s="14"/>
      <c r="U822" s="14"/>
      <c r="V822" s="14"/>
      <c r="W822" s="14"/>
      <c r="X822" s="45"/>
    </row>
    <row r="823" spans="1:24">
      <c r="A823" s="21" t="s">
        <v>104</v>
      </c>
      <c r="B823" s="43"/>
      <c r="C823" s="14"/>
      <c r="D823" s="14"/>
      <c r="E823" s="14"/>
      <c r="F823" s="14"/>
      <c r="G823" s="14"/>
      <c r="H823" s="14">
        <f>M559</f>
        <v>-38.316499999999998</v>
      </c>
      <c r="I823" s="14"/>
      <c r="J823" s="14"/>
      <c r="K823" s="14"/>
      <c r="L823" s="45"/>
      <c r="N823" s="43"/>
      <c r="O823" s="14"/>
      <c r="P823" s="14"/>
      <c r="Q823" s="14"/>
      <c r="R823" s="14"/>
      <c r="S823" s="14"/>
      <c r="T823" s="14">
        <f>M559</f>
        <v>-38.316499999999998</v>
      </c>
      <c r="U823" s="14"/>
      <c r="V823" s="14"/>
      <c r="W823" s="14"/>
      <c r="X823" s="45"/>
    </row>
    <row r="824" spans="1:24">
      <c r="A824" s="21" t="s">
        <v>70</v>
      </c>
      <c r="B824" s="43"/>
      <c r="C824" s="14"/>
      <c r="D824" s="14"/>
      <c r="E824" s="14"/>
      <c r="F824" s="14"/>
      <c r="G824" s="14"/>
      <c r="H824" s="14"/>
      <c r="I824" s="14"/>
      <c r="J824" s="14"/>
      <c r="K824" s="14"/>
      <c r="L824" s="45"/>
      <c r="N824" s="43"/>
      <c r="O824" s="14"/>
      <c r="P824" s="14"/>
      <c r="Q824" s="14"/>
      <c r="R824" s="14"/>
      <c r="S824" s="14"/>
      <c r="T824" s="14"/>
      <c r="U824" s="14"/>
      <c r="V824" s="14"/>
      <c r="W824" s="14"/>
      <c r="X824" s="45"/>
    </row>
    <row r="825" spans="1:24">
      <c r="A825" s="68"/>
      <c r="B825" s="43"/>
      <c r="C825" s="14"/>
      <c r="D825" s="14">
        <f>SQRT((1/120)/(E769^2/E772))</f>
        <v>1.2881503807841093</v>
      </c>
      <c r="E825" s="14"/>
      <c r="F825" s="14"/>
      <c r="G825" s="29" t="s">
        <v>132</v>
      </c>
      <c r="H825" s="14">
        <f>I772</f>
        <v>586.12149999999997</v>
      </c>
      <c r="I825" s="14"/>
      <c r="J825" s="14"/>
      <c r="K825" s="14"/>
      <c r="L825" s="45"/>
      <c r="N825" s="43"/>
      <c r="O825" s="14"/>
      <c r="P825" s="14">
        <f>SQRT((1/120)/(E769^2/E772))</f>
        <v>1.2881503807841093</v>
      </c>
      <c r="Q825" s="14"/>
      <c r="R825" s="14"/>
      <c r="S825" s="29" t="s">
        <v>132</v>
      </c>
      <c r="T825" s="14">
        <f>I772</f>
        <v>586.12149999999997</v>
      </c>
      <c r="U825" s="14"/>
      <c r="V825" s="14"/>
      <c r="W825" s="14"/>
      <c r="X825" s="45"/>
    </row>
    <row r="826" spans="1:24">
      <c r="A826" s="68"/>
      <c r="B826" s="43"/>
      <c r="C826" s="14"/>
      <c r="D826" s="14"/>
      <c r="E826" s="14"/>
      <c r="F826" s="14"/>
      <c r="G826" s="14"/>
      <c r="H826" s="14"/>
      <c r="I826" s="14"/>
      <c r="J826" s="14"/>
      <c r="K826" s="14"/>
      <c r="L826" s="45"/>
      <c r="N826" s="43"/>
      <c r="O826" s="14"/>
      <c r="P826" s="14"/>
      <c r="Q826" s="14"/>
      <c r="R826" s="14"/>
      <c r="S826" s="14"/>
      <c r="T826" s="14"/>
      <c r="U826" s="14"/>
      <c r="V826" s="14"/>
      <c r="W826" s="14"/>
      <c r="X826" s="45"/>
    </row>
    <row r="827" spans="1:24">
      <c r="A827" s="68"/>
      <c r="B827" s="43"/>
      <c r="C827" s="14"/>
      <c r="D827" s="14"/>
      <c r="E827" s="14"/>
      <c r="F827" s="14"/>
      <c r="G827" s="14"/>
      <c r="H827" s="14"/>
      <c r="I827" s="14"/>
      <c r="J827" s="14"/>
      <c r="K827" s="14"/>
      <c r="L827" s="45"/>
      <c r="N827" s="43"/>
      <c r="O827" s="14"/>
      <c r="P827" s="14"/>
      <c r="Q827" s="14"/>
      <c r="R827" s="14"/>
      <c r="S827" s="14"/>
      <c r="T827" s="14"/>
      <c r="U827" s="14"/>
      <c r="V827" s="14"/>
      <c r="W827" s="14"/>
      <c r="X827" s="45"/>
    </row>
    <row r="828" spans="1:24">
      <c r="A828" s="68"/>
      <c r="B828" s="43"/>
      <c r="C828" s="44" t="s">
        <v>105</v>
      </c>
      <c r="D828" s="14">
        <v>0.05</v>
      </c>
      <c r="E828" s="14"/>
      <c r="F828" s="14"/>
      <c r="G828" s="29" t="s">
        <v>108</v>
      </c>
      <c r="H828" s="14" t="str">
        <f>"]-∞;-"&amp;ROUND(D830,4)&amp;"[ U ]"&amp;ROUND(D830,4)&amp;";+∞["</f>
        <v>]-∞;-1,98[ U ]1,98;+∞[</v>
      </c>
      <c r="I828" s="14"/>
      <c r="J828" s="14"/>
      <c r="K828" s="14"/>
      <c r="L828" s="45"/>
      <c r="N828" s="43"/>
      <c r="O828" s="44" t="s">
        <v>105</v>
      </c>
      <c r="P828" s="14">
        <v>0.01</v>
      </c>
      <c r="Q828" s="14"/>
      <c r="R828" s="14"/>
      <c r="S828" s="29" t="s">
        <v>108</v>
      </c>
      <c r="T828" s="14" t="str">
        <f>"]-∞;-"&amp;ROUND(P830,4)&amp;"[ U ]"&amp;ROUND(P830,4)&amp;";+∞["</f>
        <v>]-∞;-2,62[ U ]2,62;+∞[</v>
      </c>
      <c r="U828" s="14"/>
      <c r="V828" s="14"/>
      <c r="W828" s="14"/>
      <c r="X828" s="45"/>
    </row>
    <row r="829" spans="1:24">
      <c r="A829" s="68"/>
      <c r="B829" s="43"/>
      <c r="C829" s="44"/>
      <c r="D829" s="14"/>
      <c r="E829" s="14"/>
      <c r="F829" s="14"/>
      <c r="G829" s="14"/>
      <c r="H829" s="14"/>
      <c r="I829" s="14"/>
      <c r="J829" s="14"/>
      <c r="K829" s="14"/>
      <c r="L829" s="45"/>
      <c r="N829" s="43"/>
      <c r="O829" s="44"/>
      <c r="P829" s="14"/>
      <c r="Q829" s="14"/>
      <c r="R829" s="14"/>
      <c r="S829" s="14"/>
      <c r="T829" s="14"/>
      <c r="U829" s="14"/>
      <c r="V829" s="14"/>
      <c r="W829" s="14"/>
      <c r="X829" s="45"/>
    </row>
    <row r="830" spans="1:24">
      <c r="A830" s="68"/>
      <c r="B830" s="43"/>
      <c r="C830" s="14"/>
      <c r="D830" s="14">
        <f>ROUND(_xlfn.T.INV(1-D828/2,120-(6+1)),2)</f>
        <v>1.98</v>
      </c>
      <c r="E830" s="14"/>
      <c r="F830" s="14"/>
      <c r="G830" s="14"/>
      <c r="H830" s="14"/>
      <c r="I830" s="14"/>
      <c r="J830" s="14"/>
      <c r="K830" s="14"/>
      <c r="L830" s="45"/>
      <c r="N830" s="43"/>
      <c r="O830" s="14"/>
      <c r="P830" s="14">
        <f>ROUND(_xlfn.T.INV(1-P828/2,120-(6+1)),2)</f>
        <v>2.62</v>
      </c>
      <c r="Q830" s="14"/>
      <c r="R830" s="14"/>
      <c r="S830" s="14"/>
      <c r="T830" s="14"/>
      <c r="U830" s="14"/>
      <c r="V830" s="14"/>
      <c r="W830" s="14"/>
      <c r="X830" s="45"/>
    </row>
    <row r="831" spans="1:24">
      <c r="A831" s="68"/>
      <c r="B831" s="43"/>
      <c r="C831" s="29"/>
      <c r="D831" s="14"/>
      <c r="E831" s="14"/>
      <c r="F831" s="14"/>
      <c r="G831" s="14"/>
      <c r="H831" s="14"/>
      <c r="I831" s="14"/>
      <c r="J831" s="14"/>
      <c r="K831" s="14"/>
      <c r="L831" s="45"/>
      <c r="N831" s="43"/>
      <c r="O831" s="29"/>
      <c r="P831" s="14"/>
      <c r="Q831" s="14"/>
      <c r="R831" s="14"/>
      <c r="S831" s="14"/>
      <c r="T831" s="14"/>
      <c r="U831" s="14"/>
      <c r="V831" s="14"/>
      <c r="W831" s="14"/>
      <c r="X831" s="45"/>
    </row>
    <row r="832" spans="1:24">
      <c r="A832" s="68"/>
      <c r="B832" s="43"/>
      <c r="C832" s="14"/>
      <c r="D832" s="14"/>
      <c r="E832" s="14"/>
      <c r="F832" s="14"/>
      <c r="G832" s="14"/>
      <c r="H832" s="14"/>
      <c r="I832" s="14"/>
      <c r="J832" s="14"/>
      <c r="K832" s="14"/>
      <c r="L832" s="45"/>
      <c r="N832" s="43"/>
      <c r="O832" s="14"/>
      <c r="P832" s="14"/>
      <c r="Q832" s="14"/>
      <c r="R832" s="14"/>
      <c r="S832" s="14"/>
      <c r="T832" s="14"/>
      <c r="U832" s="14"/>
      <c r="V832" s="14"/>
      <c r="W832" s="14"/>
      <c r="X832" s="45"/>
    </row>
    <row r="833" spans="1:24">
      <c r="A833" s="68"/>
      <c r="B833" s="43"/>
      <c r="C833" s="14"/>
      <c r="D833" s="14"/>
      <c r="E833" s="14"/>
      <c r="F833" s="14"/>
      <c r="G833" s="14"/>
      <c r="H833" s="14"/>
      <c r="I833" s="14"/>
      <c r="J833" s="14"/>
      <c r="K833" s="14"/>
      <c r="L833" s="45"/>
      <c r="N833" s="43"/>
      <c r="O833" s="14"/>
      <c r="P833" s="14"/>
      <c r="Q833" s="14"/>
      <c r="R833" s="14"/>
      <c r="S833" s="14"/>
      <c r="T833" s="14"/>
      <c r="U833" s="14"/>
      <c r="V833" s="14"/>
      <c r="W833" s="14"/>
      <c r="X833" s="45"/>
    </row>
    <row r="834" spans="1:24">
      <c r="A834" s="68"/>
      <c r="B834" s="43"/>
      <c r="C834" s="29" t="s">
        <v>106</v>
      </c>
      <c r="D834" s="14">
        <f>ROUND((H823-H821)/(H825*D825),4)</f>
        <v>-5.0700000000000002E-2</v>
      </c>
      <c r="E834" s="14"/>
      <c r="F834" s="14"/>
      <c r="G834" s="14"/>
      <c r="H834" s="14"/>
      <c r="I834" s="14"/>
      <c r="J834" s="14"/>
      <c r="K834" s="14"/>
      <c r="L834" s="45"/>
      <c r="N834" s="43"/>
      <c r="O834" s="29" t="s">
        <v>106</v>
      </c>
      <c r="P834" s="14">
        <f>ROUND((T823-T821)/(T825*P825),4)</f>
        <v>-5.0700000000000002E-2</v>
      </c>
      <c r="Q834" s="14"/>
      <c r="R834" s="14"/>
      <c r="S834" s="14"/>
      <c r="T834" s="14"/>
      <c r="U834" s="14"/>
      <c r="V834" s="14"/>
      <c r="W834" s="14"/>
      <c r="X834" s="45"/>
    </row>
    <row r="835" spans="1:24">
      <c r="A835" s="68"/>
      <c r="B835" s="43"/>
      <c r="C835" s="29" t="s">
        <v>107</v>
      </c>
      <c r="D835" s="14">
        <f>ABS(D834)</f>
        <v>5.0700000000000002E-2</v>
      </c>
      <c r="E835" s="14"/>
      <c r="F835" s="14"/>
      <c r="G835" s="14"/>
      <c r="H835" s="14"/>
      <c r="I835" s="14"/>
      <c r="J835" s="14"/>
      <c r="K835" s="14"/>
      <c r="L835" s="45"/>
      <c r="N835" s="43"/>
      <c r="O835" s="29" t="s">
        <v>107</v>
      </c>
      <c r="P835" s="14">
        <f>ABS(P834)</f>
        <v>5.0700000000000002E-2</v>
      </c>
      <c r="Q835" s="14"/>
      <c r="R835" s="14"/>
      <c r="S835" s="14"/>
      <c r="T835" s="14"/>
      <c r="U835" s="14"/>
      <c r="V835" s="14"/>
      <c r="W835" s="14"/>
      <c r="X835" s="45"/>
    </row>
    <row r="836" spans="1:24" ht="13.5" thickBot="1">
      <c r="A836" s="68"/>
      <c r="B836" s="47" t="str">
        <f>IF(ABS(D834)&gt;ROUND(D830,4), "Como |"&amp;ROUND(D834,2)&amp;"| &gt; "&amp;ROUND(D830,4)&amp;" então rejeita-se H0, logo a um nível de significância de "&amp;D828*100&amp;"% há evidencia estatística suficiente para se concluir que a2 é não nulo","Como |"&amp;ROUND(D834,2)&amp;"|  ≤ "&amp;ROUND(D830,4)&amp;" então não se rejeita H0, logo a um nível de significância de "&amp;D828*100&amp;"% há evidencia estatística suficiente para se concluir que a é nulo")</f>
        <v>Como |-0,05|  ≤ 1,98 então não se rejeita H0, logo a um nível de significância de 5% há evidencia estatística suficiente para se concluir que a é nulo</v>
      </c>
      <c r="C836" s="28"/>
      <c r="D836" s="28"/>
      <c r="E836" s="28"/>
      <c r="F836" s="28"/>
      <c r="G836" s="28"/>
      <c r="H836" s="28"/>
      <c r="I836" s="28"/>
      <c r="J836" s="28"/>
      <c r="K836" s="49"/>
      <c r="L836" s="49"/>
      <c r="N836" s="47" t="str">
        <f>IF(ABS(P834)&gt;ROUND(P830,4), "Como |"&amp;ROUND(P834,2)&amp;"| &gt; "&amp;ROUND(P830,4)&amp;" então rejeita-se H0, logo a um nível de significância de "&amp;P828*100&amp;"% há evidencia estatística suficiente para se concluir que beta2 é não nulo","Como |"&amp;ROUND(P834,2)&amp;"|  ≤ "&amp;ROUND(P830,4)&amp;" então não se rejeita H0, logo a um nível de significância de "&amp;P828*100&amp;"% há evidencia estatística suficiente para se concluir que a é nulo")</f>
        <v>Como |-0,05|  ≤ 2,62 então não se rejeita H0, logo a um nível de significância de 1% há evidencia estatística suficiente para se concluir que a é nulo</v>
      </c>
      <c r="O836" s="28"/>
      <c r="P836" s="28"/>
      <c r="Q836" s="28"/>
      <c r="R836" s="28"/>
      <c r="S836" s="28"/>
      <c r="T836" s="28"/>
      <c r="U836" s="28"/>
      <c r="V836" s="28"/>
      <c r="W836" s="49"/>
      <c r="X836" s="49"/>
    </row>
    <row r="837" spans="1:24" ht="13.5" thickBot="1"/>
    <row r="838" spans="1:24">
      <c r="A838" s="68"/>
      <c r="B838" s="39"/>
      <c r="C838" s="41"/>
      <c r="D838" s="41"/>
      <c r="E838" s="41"/>
      <c r="F838" s="41"/>
      <c r="G838" s="41"/>
      <c r="H838" s="41"/>
      <c r="I838" s="41"/>
      <c r="J838" s="41"/>
      <c r="K838" s="41"/>
      <c r="L838" s="42"/>
      <c r="N838" s="39"/>
      <c r="O838" s="41"/>
      <c r="P838" s="41"/>
      <c r="Q838" s="41"/>
      <c r="R838" s="41"/>
      <c r="S838" s="41"/>
      <c r="T838" s="41"/>
      <c r="U838" s="41"/>
      <c r="V838" s="41"/>
      <c r="W838" s="41"/>
      <c r="X838" s="42"/>
    </row>
    <row r="839" spans="1:24">
      <c r="A839" s="21" t="s">
        <v>103</v>
      </c>
      <c r="B839" s="43"/>
      <c r="C839" s="14"/>
      <c r="D839" s="14"/>
      <c r="E839" s="14"/>
      <c r="F839" s="14"/>
      <c r="G839" s="29" t="str">
        <f>A842&amp;"0="</f>
        <v>b0=</v>
      </c>
      <c r="H839" s="14">
        <v>0</v>
      </c>
      <c r="I839" s="14"/>
      <c r="J839" s="14"/>
      <c r="K839" s="14"/>
      <c r="L839" s="45"/>
      <c r="N839" s="43"/>
      <c r="O839" s="14"/>
      <c r="P839" s="14"/>
      <c r="Q839" s="14"/>
      <c r="R839" s="14"/>
      <c r="S839" s="29" t="str">
        <f>M842&amp;"0="</f>
        <v>0=</v>
      </c>
      <c r="T839" s="14">
        <v>0</v>
      </c>
      <c r="U839" s="14"/>
      <c r="V839" s="14"/>
      <c r="W839" s="14"/>
      <c r="X839" s="45"/>
    </row>
    <row r="840" spans="1:24">
      <c r="A840" s="21" t="s">
        <v>83</v>
      </c>
      <c r="B840" s="43"/>
      <c r="C840" s="14"/>
      <c r="D840" s="14"/>
      <c r="E840" s="14"/>
      <c r="F840" s="14"/>
      <c r="G840" s="14"/>
      <c r="H840" s="14"/>
      <c r="I840" s="14"/>
      <c r="J840" s="14"/>
      <c r="K840" s="14"/>
      <c r="L840" s="45"/>
      <c r="N840" s="43"/>
      <c r="O840" s="14"/>
      <c r="P840" s="14"/>
      <c r="Q840" s="14"/>
      <c r="R840" s="14"/>
      <c r="S840" s="14"/>
      <c r="T840" s="14"/>
      <c r="U840" s="14"/>
      <c r="V840" s="14"/>
      <c r="W840" s="14"/>
      <c r="X840" s="45"/>
    </row>
    <row r="841" spans="1:24">
      <c r="A841" s="21" t="s">
        <v>104</v>
      </c>
      <c r="B841" s="43"/>
      <c r="C841" s="14"/>
      <c r="D841" s="14"/>
      <c r="E841" s="14"/>
      <c r="F841" s="14"/>
      <c r="G841" s="14"/>
      <c r="H841" s="14">
        <f>M556</f>
        <v>30999.763500000001</v>
      </c>
      <c r="I841" s="14"/>
      <c r="J841" s="14"/>
      <c r="K841" s="14"/>
      <c r="L841" s="45"/>
      <c r="N841" s="43"/>
      <c r="O841" s="14"/>
      <c r="P841" s="14"/>
      <c r="Q841" s="14"/>
      <c r="R841" s="14"/>
      <c r="S841" s="14"/>
      <c r="T841" s="14">
        <f>M556</f>
        <v>30999.763500000001</v>
      </c>
      <c r="U841" s="14"/>
      <c r="V841" s="14"/>
      <c r="W841" s="14"/>
      <c r="X841" s="45"/>
    </row>
    <row r="842" spans="1:24">
      <c r="A842" s="21" t="s">
        <v>71</v>
      </c>
      <c r="B842" s="43"/>
      <c r="C842" s="14"/>
      <c r="D842" s="14"/>
      <c r="E842" s="14"/>
      <c r="F842" s="14"/>
      <c r="G842" s="14"/>
      <c r="H842" s="14"/>
      <c r="I842" s="14"/>
      <c r="J842" s="14"/>
      <c r="K842" s="14"/>
      <c r="L842" s="45"/>
      <c r="N842" s="43"/>
      <c r="O842" s="14"/>
      <c r="P842" s="14"/>
      <c r="Q842" s="14"/>
      <c r="R842" s="14"/>
      <c r="S842" s="14"/>
      <c r="T842" s="14"/>
      <c r="U842" s="14"/>
      <c r="V842" s="14"/>
      <c r="W842" s="14"/>
      <c r="X842" s="45"/>
    </row>
    <row r="843" spans="1:24">
      <c r="A843" s="68"/>
      <c r="B843" s="43"/>
      <c r="C843" s="14"/>
      <c r="D843" s="14">
        <f>SQRT(1/E772)</f>
        <v>1.9795194991339646</v>
      </c>
      <c r="E843" s="14"/>
      <c r="F843" s="14"/>
      <c r="G843" s="29" t="s">
        <v>132</v>
      </c>
      <c r="H843" s="14">
        <f>I772</f>
        <v>586.12149999999997</v>
      </c>
      <c r="I843" s="14"/>
      <c r="J843" s="14"/>
      <c r="K843" s="14"/>
      <c r="L843" s="45"/>
      <c r="N843" s="43"/>
      <c r="O843" s="14"/>
      <c r="P843" s="14">
        <f>SQRT(1/E772)</f>
        <v>1.9795194991339646</v>
      </c>
      <c r="Q843" s="14"/>
      <c r="R843" s="14"/>
      <c r="S843" s="29" t="s">
        <v>132</v>
      </c>
      <c r="T843" s="14">
        <f>I772</f>
        <v>586.12149999999997</v>
      </c>
      <c r="U843" s="14"/>
      <c r="V843" s="14"/>
      <c r="W843" s="14"/>
      <c r="X843" s="45"/>
    </row>
    <row r="844" spans="1:24">
      <c r="A844" s="68"/>
      <c r="B844" s="43"/>
      <c r="C844" s="14"/>
      <c r="D844" s="14"/>
      <c r="E844" s="14"/>
      <c r="F844" s="14"/>
      <c r="G844" s="14"/>
      <c r="H844" s="14"/>
      <c r="I844" s="14"/>
      <c r="J844" s="14"/>
      <c r="K844" s="14"/>
      <c r="L844" s="45"/>
      <c r="N844" s="43"/>
      <c r="O844" s="14"/>
      <c r="P844" s="14"/>
      <c r="Q844" s="14"/>
      <c r="R844" s="14"/>
      <c r="S844" s="14"/>
      <c r="T844" s="14"/>
      <c r="U844" s="14"/>
      <c r="V844" s="14"/>
      <c r="W844" s="14"/>
      <c r="X844" s="45"/>
    </row>
    <row r="845" spans="1:24">
      <c r="A845" s="68"/>
      <c r="B845" s="43"/>
      <c r="C845" s="14"/>
      <c r="D845" s="14"/>
      <c r="E845" s="14"/>
      <c r="F845" s="14"/>
      <c r="G845" s="14"/>
      <c r="H845" s="14"/>
      <c r="I845" s="14"/>
      <c r="J845" s="14"/>
      <c r="K845" s="14"/>
      <c r="L845" s="45"/>
      <c r="N845" s="43"/>
      <c r="O845" s="14"/>
      <c r="P845" s="14"/>
      <c r="Q845" s="14"/>
      <c r="R845" s="14"/>
      <c r="S845" s="14"/>
      <c r="T845" s="14"/>
      <c r="U845" s="14"/>
      <c r="V845" s="14"/>
      <c r="W845" s="14"/>
      <c r="X845" s="45"/>
    </row>
    <row r="846" spans="1:24">
      <c r="A846" s="68"/>
      <c r="B846" s="43"/>
      <c r="C846" s="44" t="s">
        <v>105</v>
      </c>
      <c r="D846" s="14">
        <v>0.05</v>
      </c>
      <c r="E846" s="14"/>
      <c r="F846" s="14"/>
      <c r="G846" s="29" t="s">
        <v>108</v>
      </c>
      <c r="H846" s="14" t="str">
        <f>"]-∞;-"&amp;ROUND(D848,4)&amp;"[ U ]"&amp;ROUND(D848,4)&amp;";+∞["</f>
        <v>]-∞;-1,98[ U ]1,98;+∞[</v>
      </c>
      <c r="I846" s="14"/>
      <c r="J846" s="14"/>
      <c r="K846" s="14"/>
      <c r="L846" s="45"/>
      <c r="N846" s="43"/>
      <c r="O846" s="44" t="s">
        <v>105</v>
      </c>
      <c r="P846" s="14">
        <v>0.01</v>
      </c>
      <c r="Q846" s="14"/>
      <c r="R846" s="14"/>
      <c r="S846" s="29" t="s">
        <v>108</v>
      </c>
      <c r="T846" s="14" t="str">
        <f>"]-∞;-"&amp;ROUND(P848,4)&amp;"[ U ]"&amp;ROUND(P848,4)&amp;";+∞["</f>
        <v>]-∞;-2,62[ U ]2,62;+∞[</v>
      </c>
      <c r="U846" s="14"/>
      <c r="V846" s="14"/>
      <c r="W846" s="14"/>
      <c r="X846" s="45"/>
    </row>
    <row r="847" spans="1:24">
      <c r="A847" s="68"/>
      <c r="B847" s="43"/>
      <c r="C847" s="44"/>
      <c r="D847" s="14"/>
      <c r="E847" s="14"/>
      <c r="F847" s="14"/>
      <c r="G847" s="14"/>
      <c r="H847" s="14"/>
      <c r="I847" s="14"/>
      <c r="J847" s="14"/>
      <c r="K847" s="14"/>
      <c r="L847" s="45"/>
      <c r="N847" s="43"/>
      <c r="O847" s="44"/>
      <c r="P847" s="14"/>
      <c r="Q847" s="14"/>
      <c r="R847" s="14"/>
      <c r="S847" s="14"/>
      <c r="T847" s="14"/>
      <c r="U847" s="14"/>
      <c r="V847" s="14"/>
      <c r="W847" s="14"/>
      <c r="X847" s="45"/>
    </row>
    <row r="848" spans="1:24">
      <c r="A848" s="68"/>
      <c r="B848" s="43"/>
      <c r="C848" s="14"/>
      <c r="D848" s="14">
        <f>ROUND(_xlfn.T.INV(1-D846/2,120-(6+1)),2)</f>
        <v>1.98</v>
      </c>
      <c r="E848" s="14"/>
      <c r="F848" s="14"/>
      <c r="G848" s="14"/>
      <c r="H848" s="14"/>
      <c r="I848" s="14"/>
      <c r="J848" s="14"/>
      <c r="K848" s="14"/>
      <c r="L848" s="45"/>
      <c r="N848" s="43"/>
      <c r="O848" s="14"/>
      <c r="P848" s="14">
        <f>ROUND(_xlfn.T.INV(1-P846/2,120-(6+1)),2)</f>
        <v>2.62</v>
      </c>
      <c r="Q848" s="14"/>
      <c r="R848" s="14"/>
      <c r="S848" s="14"/>
      <c r="T848" s="14"/>
      <c r="U848" s="14"/>
      <c r="V848" s="14"/>
      <c r="W848" s="14"/>
      <c r="X848" s="45"/>
    </row>
    <row r="849" spans="1:24">
      <c r="A849" s="68"/>
      <c r="B849" s="43"/>
      <c r="C849" s="29"/>
      <c r="D849" s="14"/>
      <c r="E849" s="14"/>
      <c r="F849" s="14"/>
      <c r="G849" s="14"/>
      <c r="H849" s="14"/>
      <c r="I849" s="14"/>
      <c r="J849" s="14"/>
      <c r="K849" s="14"/>
      <c r="L849" s="45"/>
      <c r="N849" s="43"/>
      <c r="O849" s="29"/>
      <c r="P849" s="14"/>
      <c r="Q849" s="14"/>
      <c r="R849" s="14"/>
      <c r="S849" s="14"/>
      <c r="T849" s="14"/>
      <c r="U849" s="14"/>
      <c r="V849" s="14"/>
      <c r="W849" s="14"/>
      <c r="X849" s="45"/>
    </row>
    <row r="850" spans="1:24">
      <c r="A850" s="68"/>
      <c r="B850" s="43"/>
      <c r="C850" s="14"/>
      <c r="D850" s="14"/>
      <c r="E850" s="14"/>
      <c r="F850" s="14"/>
      <c r="G850" s="14"/>
      <c r="H850" s="14"/>
      <c r="I850" s="14"/>
      <c r="J850" s="14"/>
      <c r="K850" s="14"/>
      <c r="L850" s="45"/>
      <c r="N850" s="43"/>
      <c r="O850" s="14"/>
      <c r="P850" s="14"/>
      <c r="Q850" s="14"/>
      <c r="R850" s="14"/>
      <c r="S850" s="14"/>
      <c r="T850" s="14"/>
      <c r="U850" s="14"/>
      <c r="V850" s="14"/>
      <c r="W850" s="14"/>
      <c r="X850" s="45"/>
    </row>
    <row r="851" spans="1:24">
      <c r="A851" s="68"/>
      <c r="B851" s="43"/>
      <c r="C851" s="14"/>
      <c r="D851" s="14"/>
      <c r="E851" s="14"/>
      <c r="F851" s="14"/>
      <c r="G851" s="14"/>
      <c r="H851" s="14"/>
      <c r="I851" s="14"/>
      <c r="J851" s="14"/>
      <c r="K851" s="14"/>
      <c r="L851" s="45"/>
      <c r="N851" s="43"/>
      <c r="O851" s="14"/>
      <c r="P851" s="14"/>
      <c r="Q851" s="14"/>
      <c r="R851" s="14"/>
      <c r="S851" s="14"/>
      <c r="T851" s="14"/>
      <c r="U851" s="14"/>
      <c r="V851" s="14"/>
      <c r="W851" s="14"/>
      <c r="X851" s="45"/>
    </row>
    <row r="852" spans="1:24">
      <c r="A852" s="68"/>
      <c r="B852" s="43"/>
      <c r="C852" s="29" t="s">
        <v>106</v>
      </c>
      <c r="D852" s="14">
        <f>ROUND((H841-H839)/(H843*D843),4)</f>
        <v>26.718399999999999</v>
      </c>
      <c r="E852" s="14"/>
      <c r="F852" s="14"/>
      <c r="G852" s="14"/>
      <c r="H852" s="14"/>
      <c r="I852" s="14"/>
      <c r="J852" s="14"/>
      <c r="K852" s="14"/>
      <c r="L852" s="45"/>
      <c r="N852" s="43"/>
      <c r="O852" s="29" t="s">
        <v>106</v>
      </c>
      <c r="P852" s="14">
        <f>ROUND((T841-T839)/(T843*P843),4)</f>
        <v>26.718399999999999</v>
      </c>
      <c r="Q852" s="14"/>
      <c r="R852" s="14"/>
      <c r="S852" s="14"/>
      <c r="T852" s="14"/>
      <c r="U852" s="14"/>
      <c r="V852" s="14"/>
      <c r="W852" s="14"/>
      <c r="X852" s="45"/>
    </row>
    <row r="853" spans="1:24">
      <c r="A853" s="68"/>
      <c r="B853" s="43"/>
      <c r="C853" s="29" t="s">
        <v>107</v>
      </c>
      <c r="D853" s="14">
        <f>ABS(D852)</f>
        <v>26.718399999999999</v>
      </c>
      <c r="E853" s="14"/>
      <c r="F853" s="14"/>
      <c r="G853" s="14"/>
      <c r="H853" s="14"/>
      <c r="I853" s="14"/>
      <c r="J853" s="14"/>
      <c r="K853" s="14"/>
      <c r="L853" s="45"/>
      <c r="N853" s="43"/>
      <c r="O853" s="29" t="s">
        <v>107</v>
      </c>
      <c r="P853" s="14">
        <f>ABS(P852)</f>
        <v>26.718399999999999</v>
      </c>
      <c r="Q853" s="14"/>
      <c r="R853" s="14"/>
      <c r="S853" s="14"/>
      <c r="T853" s="14"/>
      <c r="U853" s="14"/>
      <c r="V853" s="14"/>
      <c r="W853" s="14"/>
      <c r="X853" s="45"/>
    </row>
    <row r="854" spans="1:24" ht="13.5" thickBot="1">
      <c r="A854" s="68"/>
      <c r="B854" s="47" t="str">
        <f>IF(ABS(D852)&gt;ROUND(D848,4), "Como |"&amp;ROUND(D852,2)&amp;"| &gt; "&amp;ROUND(D848,4)&amp;" então rejeita-se H0, logo a um nível de significância de "&amp;D846*100&amp;"% há evidencia estatística suficiente para se concluir que b é não nulo","Como |"&amp;ROUND(D852,2)&amp;"|  ≤ "&amp;ROUND(D848,4)&amp;" então não se rejeita H0, logo a um nível de significância de "&amp;D846*100&amp;"% há evidencia estatística suficiente para se concluir que beta2 é nulo")</f>
        <v>Como |26,72| &gt; 1,98 então rejeita-se H0, logo a um nível de significância de 5% há evidencia estatística suficiente para se concluir que b é não nulo</v>
      </c>
      <c r="C854" s="28"/>
      <c r="D854" s="28"/>
      <c r="E854" s="28"/>
      <c r="F854" s="28"/>
      <c r="G854" s="28"/>
      <c r="H854" s="28"/>
      <c r="I854" s="28"/>
      <c r="J854" s="28"/>
      <c r="K854" s="49"/>
      <c r="L854" s="49"/>
      <c r="N854" s="47" t="str">
        <f>IF(ABS(P852)&gt;ROUND(P848,4), "Como |"&amp;ROUND(P852,2)&amp;"| &gt; "&amp;ROUND(P848,4)&amp;" então rejeita-se H0, logo a um nível de significância de "&amp;P846*100&amp;"% há evidencia estatística suficiente para se concluir que b é não nulo","Como |"&amp;ROUND(P852,2)&amp;"|  ≤ "&amp;ROUND(P848,4)&amp;" então não se rejeita H0, logo a um nível de significância de "&amp;P846*100&amp;"% há evidencia estatística suficiente para se concluir que beta2 é nulo")</f>
        <v>Como |26,72| &gt; 2,62 então rejeita-se H0, logo a um nível de significância de 1% há evidencia estatística suficiente para se concluir que b é não nulo</v>
      </c>
      <c r="O854" s="28"/>
      <c r="P854" s="28"/>
      <c r="Q854" s="28"/>
      <c r="R854" s="28"/>
      <c r="S854" s="28"/>
      <c r="T854" s="28"/>
      <c r="U854" s="28"/>
      <c r="V854" s="28"/>
      <c r="W854" s="49"/>
      <c r="X854" s="49"/>
    </row>
    <row r="855" spans="1:24" ht="13.5" thickBot="1"/>
    <row r="856" spans="1:24">
      <c r="A856" t="s">
        <v>128</v>
      </c>
      <c r="B856" s="39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2"/>
    </row>
    <row r="857" spans="1:24">
      <c r="A857" t="s">
        <v>129</v>
      </c>
      <c r="B857" s="46" t="s">
        <v>80</v>
      </c>
      <c r="C857" s="14">
        <v>0.05</v>
      </c>
      <c r="D857" s="14"/>
      <c r="E857" s="14"/>
      <c r="F857" s="14"/>
      <c r="G857" s="14"/>
      <c r="H857" s="14"/>
      <c r="I857" s="14"/>
      <c r="J857" s="14"/>
      <c r="K857" s="14"/>
      <c r="L857" s="14"/>
      <c r="M857" s="45"/>
    </row>
    <row r="858" spans="1:24">
      <c r="A858" t="s">
        <v>130</v>
      </c>
      <c r="B858" s="43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45"/>
    </row>
    <row r="859" spans="1:24">
      <c r="A859" t="s">
        <v>129</v>
      </c>
      <c r="B859" s="43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45"/>
    </row>
    <row r="860" spans="1:24">
      <c r="A860" t="s">
        <v>131</v>
      </c>
      <c r="B860" s="43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45"/>
    </row>
    <row r="861" spans="1:24">
      <c r="B861" s="46" t="s">
        <v>133</v>
      </c>
      <c r="C861" s="14">
        <f>F775</f>
        <v>713.87453231772349</v>
      </c>
      <c r="D861" s="14"/>
      <c r="E861" s="14"/>
      <c r="F861" s="14"/>
      <c r="G861" s="14"/>
      <c r="H861" s="14"/>
      <c r="I861" s="14"/>
      <c r="J861" s="14"/>
      <c r="K861" s="14"/>
      <c r="L861" s="14"/>
      <c r="M861" s="45"/>
    </row>
    <row r="862" spans="1:24">
      <c r="B862" s="43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45"/>
    </row>
    <row r="863" spans="1:24">
      <c r="B863" s="43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45"/>
    </row>
    <row r="864" spans="1:24">
      <c r="B864" s="43" t="str">
        <f>"f(0,05);("&amp;C775&amp;","&amp;C776&amp;")="</f>
        <v>f(0,05);(1,118)=</v>
      </c>
      <c r="C864" s="14">
        <f>ROUND(_xlfn.F.INV.RT(C857,C775,C776),4)</f>
        <v>3.9215</v>
      </c>
      <c r="D864" s="14"/>
      <c r="E864" s="14"/>
      <c r="F864" s="14"/>
      <c r="G864" s="14"/>
      <c r="H864" s="14"/>
      <c r="I864" s="14"/>
      <c r="J864" s="14"/>
      <c r="K864" s="14"/>
      <c r="L864" s="14"/>
      <c r="M864" s="45"/>
    </row>
    <row r="865" spans="2:13">
      <c r="B865" s="43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45"/>
    </row>
    <row r="866" spans="2:13">
      <c r="B866" s="43" t="str">
        <f>IF(C864&lt;=C861, "R: Como  " &amp;ROUND(C864,4) &amp;" &lt; "&amp;ROUND(C861,4)&amp;" o modelo é significativo","R: Como  " &amp;ROUND(C864,4) &amp;" &gt; "&amp;ROUND(C861,4)&amp;" o modelo não é significativo" )</f>
        <v>R: Como  3,9215 &lt; 713,8745 o modelo é significativo</v>
      </c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45"/>
    </row>
    <row r="867" spans="2:13">
      <c r="B867" s="43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45"/>
    </row>
    <row r="868" spans="2:13">
      <c r="B868" s="43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45"/>
    </row>
    <row r="869" spans="2:13">
      <c r="B869" s="43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45"/>
    </row>
    <row r="870" spans="2:13">
      <c r="B870" s="43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45"/>
    </row>
    <row r="871" spans="2:13" ht="13.5" thickBot="1">
      <c r="B871" s="47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49"/>
    </row>
  </sheetData>
  <mergeCells count="28">
    <mergeCell ref="F769:G769"/>
    <mergeCell ref="F771:G771"/>
    <mergeCell ref="F770:G770"/>
    <mergeCell ref="B767:O767"/>
    <mergeCell ref="K515:L515"/>
    <mergeCell ref="K638:L638"/>
    <mergeCell ref="K639:L639"/>
    <mergeCell ref="M639:N639"/>
    <mergeCell ref="K642:L642"/>
    <mergeCell ref="K385:L385"/>
    <mergeCell ref="M385:N385"/>
    <mergeCell ref="K388:L388"/>
    <mergeCell ref="K511:L511"/>
    <mergeCell ref="K512:L512"/>
    <mergeCell ref="M512:N512"/>
    <mergeCell ref="K384:L384"/>
    <mergeCell ref="K3:L3"/>
    <mergeCell ref="K4:L4"/>
    <mergeCell ref="M4:N4"/>
    <mergeCell ref="K7:L7"/>
    <mergeCell ref="K130:L130"/>
    <mergeCell ref="K131:L131"/>
    <mergeCell ref="M131:N131"/>
    <mergeCell ref="K134:L134"/>
    <mergeCell ref="K257:L257"/>
    <mergeCell ref="K258:L258"/>
    <mergeCell ref="M258:N258"/>
    <mergeCell ref="K261:L26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BC17B-E54D-4610-B640-AEB0D5D90726}">
  <dimension ref="A1:Y871"/>
  <sheetViews>
    <sheetView topLeftCell="A779" zoomScaleNormal="100" workbookViewId="0">
      <selection activeCell="P797" sqref="P797"/>
    </sheetView>
  </sheetViews>
  <sheetFormatPr defaultRowHeight="12.75"/>
  <cols>
    <col min="2" max="2" width="16.5703125" customWidth="1"/>
    <col min="3" max="3" width="15.7109375" customWidth="1"/>
  </cols>
  <sheetData>
    <row r="1" spans="1:20">
      <c r="A1" s="6"/>
      <c r="B1" s="3"/>
      <c r="C1" s="3"/>
      <c r="D1" s="3"/>
      <c r="E1" s="3"/>
      <c r="F1" s="3"/>
      <c r="G1" s="3"/>
      <c r="H1" s="15"/>
      <c r="I1" s="15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>
      <c r="A2" s="6"/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/>
      <c r="H2" s="4"/>
      <c r="I2" s="4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>
      <c r="A3" s="6"/>
      <c r="B3" s="4" t="s">
        <v>3</v>
      </c>
      <c r="C3" s="15" t="s">
        <v>2</v>
      </c>
      <c r="D3" s="4"/>
      <c r="E3" s="2"/>
      <c r="F3" s="4"/>
      <c r="G3" s="4"/>
      <c r="H3" s="4"/>
      <c r="I3" s="4"/>
      <c r="J3" s="6"/>
      <c r="K3" s="80" t="s">
        <v>15</v>
      </c>
      <c r="L3" s="80"/>
      <c r="M3" s="6" t="s">
        <v>29</v>
      </c>
      <c r="N3" s="6"/>
      <c r="O3" s="6"/>
      <c r="P3" s="6"/>
      <c r="Q3" s="6"/>
      <c r="R3" s="6"/>
      <c r="S3" s="6"/>
      <c r="T3" s="6"/>
    </row>
    <row r="4" spans="1:20">
      <c r="A4" s="6"/>
      <c r="B4" s="7">
        <v>0.82</v>
      </c>
      <c r="C4" s="15">
        <v>275</v>
      </c>
      <c r="D4" s="7">
        <f>B4*C4</f>
        <v>225.5</v>
      </c>
      <c r="E4" s="7">
        <f>B4^2</f>
        <v>0.67239999999999989</v>
      </c>
      <c r="F4" s="7">
        <f>C4^2</f>
        <v>75625</v>
      </c>
      <c r="G4" s="7">
        <f>ROUND($M$51+$M$48*B4,4)</f>
        <v>40.024700000000003</v>
      </c>
      <c r="H4" s="7">
        <f>ROUND(G4-C4,4)</f>
        <v>-234.9753</v>
      </c>
      <c r="I4" s="7">
        <f>H4^2</f>
        <v>55213.391610090002</v>
      </c>
      <c r="J4" s="6"/>
      <c r="K4" s="80" t="s">
        <v>14</v>
      </c>
      <c r="L4" s="80"/>
      <c r="M4" s="80" t="s">
        <v>17</v>
      </c>
      <c r="N4" s="80"/>
      <c r="O4" s="6"/>
      <c r="P4" s="6"/>
      <c r="Q4" s="6"/>
      <c r="R4" s="6"/>
      <c r="S4" s="6"/>
      <c r="T4" s="6"/>
    </row>
    <row r="5" spans="1:20">
      <c r="A5" s="6"/>
      <c r="B5" s="8">
        <v>0.76</v>
      </c>
      <c r="C5" s="15">
        <v>260</v>
      </c>
      <c r="D5" s="7">
        <f t="shared" ref="D5:D68" si="0">B5*C5</f>
        <v>197.6</v>
      </c>
      <c r="E5" s="7">
        <f t="shared" ref="E5:F68" si="1">B5^2</f>
        <v>0.5776</v>
      </c>
      <c r="F5" s="7">
        <f t="shared" si="1"/>
        <v>67600</v>
      </c>
      <c r="G5" s="7">
        <f t="shared" ref="G5:G68" si="2">ROUND($M$51+$M$48*B5,4)</f>
        <v>50.507300000000001</v>
      </c>
      <c r="H5" s="7">
        <f t="shared" ref="H5:H68" si="3">ROUND(G5-C5,4)</f>
        <v>-209.49270000000001</v>
      </c>
      <c r="I5" s="7">
        <f t="shared" ref="I5:I68" si="4">H5^2</f>
        <v>43887.191353290007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</row>
    <row r="6" spans="1:20">
      <c r="A6" s="6"/>
      <c r="B6" s="8">
        <v>0.71</v>
      </c>
      <c r="C6" s="15">
        <v>240</v>
      </c>
      <c r="D6" s="7">
        <f t="shared" si="0"/>
        <v>170.39999999999998</v>
      </c>
      <c r="E6" s="7">
        <f t="shared" si="1"/>
        <v>0.50409999999999999</v>
      </c>
      <c r="F6" s="7">
        <f t="shared" si="1"/>
        <v>57600</v>
      </c>
      <c r="G6" s="7">
        <f t="shared" si="2"/>
        <v>59.242699999999999</v>
      </c>
      <c r="H6" s="7">
        <f t="shared" si="3"/>
        <v>-180.75729999999999</v>
      </c>
      <c r="I6" s="7">
        <f t="shared" si="4"/>
        <v>32673.201503289994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>
      <c r="A7" s="6"/>
      <c r="B7" s="8">
        <v>0.67</v>
      </c>
      <c r="C7" s="15">
        <v>225</v>
      </c>
      <c r="D7" s="7">
        <f t="shared" si="0"/>
        <v>150.75</v>
      </c>
      <c r="E7" s="7">
        <f t="shared" si="1"/>
        <v>0.44890000000000008</v>
      </c>
      <c r="F7" s="7">
        <f t="shared" si="1"/>
        <v>50625</v>
      </c>
      <c r="G7" s="7">
        <f t="shared" si="2"/>
        <v>66.231099999999998</v>
      </c>
      <c r="H7" s="7">
        <f t="shared" si="3"/>
        <v>-158.7689</v>
      </c>
      <c r="I7" s="7">
        <f t="shared" si="4"/>
        <v>25207.563607210002</v>
      </c>
      <c r="J7" s="6"/>
      <c r="K7" s="80"/>
      <c r="L7" s="80"/>
      <c r="M7" s="6"/>
      <c r="N7" s="6"/>
      <c r="O7" s="6"/>
      <c r="P7" s="6"/>
      <c r="Q7" s="6"/>
      <c r="R7" s="6"/>
      <c r="S7" s="6"/>
      <c r="T7" s="6"/>
    </row>
    <row r="8" spans="1:20">
      <c r="A8" s="6"/>
      <c r="B8" s="8">
        <v>0.64</v>
      </c>
      <c r="C8" s="15">
        <v>258</v>
      </c>
      <c r="D8" s="7">
        <f t="shared" si="0"/>
        <v>165.12</v>
      </c>
      <c r="E8" s="7">
        <f t="shared" si="1"/>
        <v>0.40960000000000002</v>
      </c>
      <c r="F8" s="7">
        <f t="shared" si="1"/>
        <v>66564</v>
      </c>
      <c r="G8" s="7">
        <f t="shared" si="2"/>
        <v>71.472399999999993</v>
      </c>
      <c r="H8" s="7">
        <f t="shared" si="3"/>
        <v>-186.52760000000001</v>
      </c>
      <c r="I8" s="7">
        <f t="shared" si="4"/>
        <v>34792.545561760002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>
      <c r="A9" s="6"/>
      <c r="B9" s="8">
        <v>0.62</v>
      </c>
      <c r="C9" s="15">
        <v>214</v>
      </c>
      <c r="D9" s="7">
        <f t="shared" si="0"/>
        <v>132.68</v>
      </c>
      <c r="E9" s="7">
        <f t="shared" si="1"/>
        <v>0.38440000000000002</v>
      </c>
      <c r="F9" s="7">
        <f t="shared" si="1"/>
        <v>45796</v>
      </c>
      <c r="G9" s="7">
        <f t="shared" si="2"/>
        <v>74.9666</v>
      </c>
      <c r="H9" s="7">
        <f t="shared" si="3"/>
        <v>-139.0334</v>
      </c>
      <c r="I9" s="7">
        <f t="shared" si="4"/>
        <v>19330.286315559999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>
      <c r="A10" s="6"/>
      <c r="B10" s="8">
        <v>0.59</v>
      </c>
      <c r="C10" s="15">
        <v>204</v>
      </c>
      <c r="D10" s="7">
        <f t="shared" si="0"/>
        <v>120.36</v>
      </c>
      <c r="E10" s="7">
        <f t="shared" si="1"/>
        <v>0.34809999999999997</v>
      </c>
      <c r="F10" s="7">
        <f t="shared" si="1"/>
        <v>41616</v>
      </c>
      <c r="G10" s="7">
        <f t="shared" si="2"/>
        <v>80.207899999999995</v>
      </c>
      <c r="H10" s="7">
        <f t="shared" si="3"/>
        <v>-123.7921</v>
      </c>
      <c r="I10" s="7">
        <f t="shared" si="4"/>
        <v>15324.484022410001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>
      <c r="A11" s="6"/>
      <c r="B11" s="8">
        <v>0.56000000000000005</v>
      </c>
      <c r="C11" s="15">
        <v>196</v>
      </c>
      <c r="D11" s="7">
        <f t="shared" si="0"/>
        <v>109.76</v>
      </c>
      <c r="E11" s="7">
        <f t="shared" si="1"/>
        <v>0.31360000000000005</v>
      </c>
      <c r="F11" s="7">
        <f t="shared" si="1"/>
        <v>38416</v>
      </c>
      <c r="G11" s="7">
        <f t="shared" si="2"/>
        <v>85.449200000000005</v>
      </c>
      <c r="H11" s="7">
        <f t="shared" si="3"/>
        <v>-110.5508</v>
      </c>
      <c r="I11" s="7">
        <f t="shared" si="4"/>
        <v>12221.479380639999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>
      <c r="A12" s="6"/>
      <c r="B12" s="8">
        <v>0.53</v>
      </c>
      <c r="C12" s="15">
        <v>203</v>
      </c>
      <c r="D12" s="7">
        <f t="shared" si="0"/>
        <v>107.59</v>
      </c>
      <c r="E12" s="7">
        <f t="shared" si="1"/>
        <v>0.28090000000000004</v>
      </c>
      <c r="F12" s="7">
        <f t="shared" si="1"/>
        <v>41209</v>
      </c>
      <c r="G12" s="7">
        <f t="shared" si="2"/>
        <v>90.6905</v>
      </c>
      <c r="H12" s="7">
        <f t="shared" si="3"/>
        <v>-112.3095</v>
      </c>
      <c r="I12" s="7">
        <f t="shared" si="4"/>
        <v>12613.423790250001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>
      <c r="A13" s="6"/>
      <c r="B13" s="8">
        <v>0.51</v>
      </c>
      <c r="C13" s="15">
        <v>161</v>
      </c>
      <c r="D13" s="7">
        <f t="shared" si="0"/>
        <v>82.11</v>
      </c>
      <c r="E13" s="7">
        <f t="shared" si="1"/>
        <v>0.2601</v>
      </c>
      <c r="F13" s="7">
        <f t="shared" si="1"/>
        <v>25921</v>
      </c>
      <c r="G13" s="7">
        <f t="shared" si="2"/>
        <v>94.184700000000007</v>
      </c>
      <c r="H13" s="7">
        <f t="shared" si="3"/>
        <v>-66.815299999999993</v>
      </c>
      <c r="I13" s="7">
        <f t="shared" si="4"/>
        <v>4464.2843140899995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>
      <c r="A14" s="6"/>
      <c r="B14" s="8">
        <v>0.49</v>
      </c>
      <c r="C14" s="15">
        <v>167</v>
      </c>
      <c r="D14" s="7">
        <f t="shared" si="0"/>
        <v>81.83</v>
      </c>
      <c r="E14" s="7">
        <f t="shared" si="1"/>
        <v>0.24009999999999998</v>
      </c>
      <c r="F14" s="7">
        <f t="shared" si="1"/>
        <v>27889</v>
      </c>
      <c r="G14" s="7">
        <f t="shared" si="2"/>
        <v>97.678899999999999</v>
      </c>
      <c r="H14" s="7">
        <f t="shared" si="3"/>
        <v>-69.321100000000001</v>
      </c>
      <c r="I14" s="7">
        <f t="shared" si="4"/>
        <v>4805.4149052100001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</row>
    <row r="15" spans="1:20">
      <c r="A15" s="6"/>
      <c r="B15" s="8">
        <v>0.48</v>
      </c>
      <c r="C15" s="15">
        <v>149</v>
      </c>
      <c r="D15" s="7">
        <f t="shared" si="0"/>
        <v>71.52</v>
      </c>
      <c r="E15" s="7">
        <f t="shared" si="1"/>
        <v>0.23039999999999999</v>
      </c>
      <c r="F15" s="7">
        <f t="shared" si="1"/>
        <v>22201</v>
      </c>
      <c r="G15" s="7">
        <f t="shared" si="2"/>
        <v>99.426000000000002</v>
      </c>
      <c r="H15" s="7">
        <f t="shared" si="3"/>
        <v>-49.573999999999998</v>
      </c>
      <c r="I15" s="7">
        <f t="shared" si="4"/>
        <v>2457.5814759999998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</row>
    <row r="16" spans="1:20">
      <c r="A16" s="6"/>
      <c r="B16" s="8">
        <v>0.48</v>
      </c>
      <c r="C16" s="15">
        <v>149</v>
      </c>
      <c r="D16" s="7">
        <f t="shared" si="0"/>
        <v>71.52</v>
      </c>
      <c r="E16" s="7">
        <f t="shared" si="1"/>
        <v>0.23039999999999999</v>
      </c>
      <c r="F16" s="7">
        <f t="shared" si="1"/>
        <v>22201</v>
      </c>
      <c r="G16" s="7">
        <f t="shared" si="2"/>
        <v>99.426000000000002</v>
      </c>
      <c r="H16" s="7">
        <f t="shared" si="3"/>
        <v>-49.573999999999998</v>
      </c>
      <c r="I16" s="7">
        <f t="shared" si="4"/>
        <v>2457.5814759999998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>
      <c r="A17" s="6"/>
      <c r="B17" s="8">
        <v>0.48</v>
      </c>
      <c r="C17" s="15">
        <v>138</v>
      </c>
      <c r="D17" s="7">
        <f t="shared" si="0"/>
        <v>66.239999999999995</v>
      </c>
      <c r="E17" s="7">
        <f t="shared" si="1"/>
        <v>0.23039999999999999</v>
      </c>
      <c r="F17" s="7">
        <f t="shared" si="1"/>
        <v>19044</v>
      </c>
      <c r="G17" s="7">
        <f t="shared" si="2"/>
        <v>99.426000000000002</v>
      </c>
      <c r="H17" s="7">
        <f t="shared" si="3"/>
        <v>-38.573999999999998</v>
      </c>
      <c r="I17" s="7">
        <f t="shared" si="4"/>
        <v>1487.9534759999999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>
      <c r="A18" s="6"/>
      <c r="B18" s="8">
        <v>0.48</v>
      </c>
      <c r="C18" s="15">
        <v>90</v>
      </c>
      <c r="D18" s="7">
        <f t="shared" si="0"/>
        <v>43.199999999999996</v>
      </c>
      <c r="E18" s="7">
        <f t="shared" si="1"/>
        <v>0.23039999999999999</v>
      </c>
      <c r="F18" s="7">
        <f t="shared" si="1"/>
        <v>8100</v>
      </c>
      <c r="G18" s="7">
        <f t="shared" si="2"/>
        <v>99.426000000000002</v>
      </c>
      <c r="H18" s="7">
        <f t="shared" si="3"/>
        <v>9.4260000000000002</v>
      </c>
      <c r="I18" s="7">
        <f t="shared" si="4"/>
        <v>88.84947600000001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>
      <c r="A19" s="6"/>
      <c r="B19" s="8">
        <v>0.47</v>
      </c>
      <c r="C19" s="15">
        <v>111</v>
      </c>
      <c r="D19" s="7">
        <f t="shared" si="0"/>
        <v>52.169999999999995</v>
      </c>
      <c r="E19" s="7">
        <f t="shared" si="1"/>
        <v>0.22089999999999999</v>
      </c>
      <c r="F19" s="7">
        <f t="shared" si="1"/>
        <v>12321</v>
      </c>
      <c r="G19" s="7">
        <f t="shared" si="2"/>
        <v>101.17310000000001</v>
      </c>
      <c r="H19" s="7">
        <f t="shared" si="3"/>
        <v>-9.8269000000000002</v>
      </c>
      <c r="I19" s="7">
        <f t="shared" si="4"/>
        <v>96.567963610000007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>
      <c r="A20" s="6"/>
      <c r="B20" s="8">
        <v>0.47</v>
      </c>
      <c r="C20" s="15">
        <v>127</v>
      </c>
      <c r="D20" s="7">
        <f t="shared" si="0"/>
        <v>59.69</v>
      </c>
      <c r="E20" s="7">
        <f t="shared" si="1"/>
        <v>0.22089999999999999</v>
      </c>
      <c r="F20" s="7">
        <f t="shared" si="1"/>
        <v>16129</v>
      </c>
      <c r="G20" s="7">
        <f t="shared" si="2"/>
        <v>101.17310000000001</v>
      </c>
      <c r="H20" s="7">
        <f t="shared" si="3"/>
        <v>-25.826899999999998</v>
      </c>
      <c r="I20" s="7">
        <f t="shared" si="4"/>
        <v>667.02876360999994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>
      <c r="A21" s="6"/>
      <c r="B21" s="8">
        <v>0.47</v>
      </c>
      <c r="C21" s="15">
        <v>105</v>
      </c>
      <c r="D21" s="7">
        <f t="shared" si="0"/>
        <v>49.349999999999994</v>
      </c>
      <c r="E21" s="7">
        <f t="shared" si="1"/>
        <v>0.22089999999999999</v>
      </c>
      <c r="F21" s="7">
        <f t="shared" si="1"/>
        <v>11025</v>
      </c>
      <c r="G21" s="7">
        <f t="shared" si="2"/>
        <v>101.17310000000001</v>
      </c>
      <c r="H21" s="7">
        <f t="shared" si="3"/>
        <v>-3.8269000000000002</v>
      </c>
      <c r="I21" s="7">
        <f t="shared" si="4"/>
        <v>14.645163610000001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>
      <c r="A22" s="6"/>
      <c r="B22" s="8">
        <v>0.48</v>
      </c>
      <c r="C22" s="15">
        <v>67</v>
      </c>
      <c r="D22" s="7">
        <f t="shared" si="0"/>
        <v>32.159999999999997</v>
      </c>
      <c r="E22" s="7">
        <f t="shared" si="1"/>
        <v>0.23039999999999999</v>
      </c>
      <c r="F22" s="7">
        <f t="shared" si="1"/>
        <v>4489</v>
      </c>
      <c r="G22" s="7">
        <f t="shared" si="2"/>
        <v>99.426000000000002</v>
      </c>
      <c r="H22" s="7">
        <f t="shared" si="3"/>
        <v>32.426000000000002</v>
      </c>
      <c r="I22" s="7">
        <f t="shared" si="4"/>
        <v>1051.4454760000001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>
      <c r="A23" s="6"/>
      <c r="B23" s="8">
        <v>0.48</v>
      </c>
      <c r="C23" s="15">
        <v>76</v>
      </c>
      <c r="D23" s="7">
        <f t="shared" si="0"/>
        <v>36.479999999999997</v>
      </c>
      <c r="E23" s="7">
        <f t="shared" si="1"/>
        <v>0.23039999999999999</v>
      </c>
      <c r="F23" s="7">
        <f t="shared" si="1"/>
        <v>5776</v>
      </c>
      <c r="G23" s="7">
        <f t="shared" si="2"/>
        <v>99.426000000000002</v>
      </c>
      <c r="H23" s="7">
        <f t="shared" si="3"/>
        <v>23.425999999999998</v>
      </c>
      <c r="I23" s="7">
        <f t="shared" si="4"/>
        <v>548.77747599999998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>
      <c r="A24" s="6"/>
      <c r="B24" s="8">
        <v>0.49</v>
      </c>
      <c r="C24" s="15">
        <v>65</v>
      </c>
      <c r="D24" s="7">
        <f t="shared" si="0"/>
        <v>31.849999999999998</v>
      </c>
      <c r="E24" s="7">
        <f t="shared" si="1"/>
        <v>0.24009999999999998</v>
      </c>
      <c r="F24" s="7">
        <f t="shared" si="1"/>
        <v>4225</v>
      </c>
      <c r="G24" s="7">
        <f t="shared" si="2"/>
        <v>97.678899999999999</v>
      </c>
      <c r="H24" s="7">
        <f t="shared" si="3"/>
        <v>32.678899999999999</v>
      </c>
      <c r="I24" s="7">
        <f t="shared" si="4"/>
        <v>1067.9105052099999</v>
      </c>
      <c r="J24" s="6"/>
      <c r="K24" s="6" t="s">
        <v>19</v>
      </c>
      <c r="L24" s="6">
        <f>COUNT(B4,B5:B123)</f>
        <v>120</v>
      </c>
      <c r="M24" s="6"/>
      <c r="N24" s="6"/>
      <c r="O24" s="6"/>
      <c r="P24" s="6"/>
      <c r="Q24" s="6"/>
      <c r="R24" s="6"/>
      <c r="S24" s="6"/>
      <c r="T24" s="6"/>
    </row>
    <row r="25" spans="1:20">
      <c r="A25" s="6"/>
      <c r="B25" s="8">
        <v>0.49</v>
      </c>
      <c r="C25" s="15">
        <v>61</v>
      </c>
      <c r="D25" s="7">
        <f t="shared" si="0"/>
        <v>29.89</v>
      </c>
      <c r="E25" s="7">
        <f t="shared" si="1"/>
        <v>0.24009999999999998</v>
      </c>
      <c r="F25" s="7">
        <f t="shared" si="1"/>
        <v>3721</v>
      </c>
      <c r="G25" s="7">
        <f t="shared" si="2"/>
        <v>97.678899999999999</v>
      </c>
      <c r="H25" s="7">
        <f t="shared" si="3"/>
        <v>36.678899999999999</v>
      </c>
      <c r="I25" s="7">
        <f t="shared" si="4"/>
        <v>1345.3417052099999</v>
      </c>
      <c r="J25" s="6"/>
      <c r="K25" s="6" t="s">
        <v>20</v>
      </c>
      <c r="L25" s="6">
        <f>ROUND(AVERAGE(B4:B123),4)</f>
        <v>0.83240000000000003</v>
      </c>
      <c r="M25" s="6"/>
      <c r="N25" s="6"/>
      <c r="O25" s="6"/>
      <c r="P25" s="6"/>
      <c r="Q25" s="6"/>
      <c r="R25" s="6"/>
      <c r="S25" s="6"/>
      <c r="T25" s="6"/>
    </row>
    <row r="26" spans="1:20">
      <c r="A26" s="6"/>
      <c r="B26" s="8">
        <v>0.49</v>
      </c>
      <c r="C26" s="15">
        <v>63</v>
      </c>
      <c r="D26" s="7">
        <f t="shared" si="0"/>
        <v>30.87</v>
      </c>
      <c r="E26" s="7">
        <f t="shared" si="1"/>
        <v>0.24009999999999998</v>
      </c>
      <c r="F26" s="7">
        <f t="shared" si="1"/>
        <v>3969</v>
      </c>
      <c r="G26" s="7">
        <f t="shared" si="2"/>
        <v>97.678899999999999</v>
      </c>
      <c r="H26" s="7">
        <f t="shared" si="3"/>
        <v>34.678899999999999</v>
      </c>
      <c r="I26" s="7">
        <f t="shared" si="4"/>
        <v>1202.6261052099999</v>
      </c>
      <c r="J26" s="6"/>
      <c r="K26" s="6" t="s">
        <v>21</v>
      </c>
      <c r="L26" s="6">
        <f>ROUND(AVERAGE(C4:C123),4)</f>
        <v>37.8583</v>
      </c>
      <c r="M26" s="6"/>
      <c r="N26" s="6"/>
      <c r="O26" s="6"/>
      <c r="P26" s="6"/>
      <c r="Q26" s="6"/>
      <c r="R26" s="6"/>
      <c r="S26" s="6"/>
      <c r="T26" s="6"/>
    </row>
    <row r="27" spans="1:20">
      <c r="A27" s="6"/>
      <c r="B27" s="8">
        <v>0.5</v>
      </c>
      <c r="C27" s="15">
        <v>50</v>
      </c>
      <c r="D27" s="7">
        <f t="shared" si="0"/>
        <v>25</v>
      </c>
      <c r="E27" s="7">
        <f t="shared" si="1"/>
        <v>0.25</v>
      </c>
      <c r="F27" s="7">
        <f t="shared" si="1"/>
        <v>2500</v>
      </c>
      <c r="G27" s="7">
        <f t="shared" si="2"/>
        <v>95.931799999999996</v>
      </c>
      <c r="H27" s="7">
        <f t="shared" si="3"/>
        <v>45.931800000000003</v>
      </c>
      <c r="I27" s="7">
        <f t="shared" si="4"/>
        <v>2109.7302512400001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>
      <c r="A28" s="6"/>
      <c r="B28" s="8">
        <v>0.5</v>
      </c>
      <c r="C28" s="15">
        <v>49</v>
      </c>
      <c r="D28" s="7">
        <f t="shared" si="0"/>
        <v>24.5</v>
      </c>
      <c r="E28" s="7">
        <f t="shared" si="1"/>
        <v>0.25</v>
      </c>
      <c r="F28" s="7">
        <f t="shared" si="1"/>
        <v>2401</v>
      </c>
      <c r="G28" s="7">
        <f t="shared" si="2"/>
        <v>95.931799999999996</v>
      </c>
      <c r="H28" s="7">
        <f t="shared" si="3"/>
        <v>46.931800000000003</v>
      </c>
      <c r="I28" s="7">
        <f t="shared" si="4"/>
        <v>2202.5938512400003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>
      <c r="A29" s="6"/>
      <c r="B29" s="8">
        <v>0.51</v>
      </c>
      <c r="C29" s="15">
        <v>58</v>
      </c>
      <c r="D29" s="7">
        <f t="shared" si="0"/>
        <v>29.580000000000002</v>
      </c>
      <c r="E29" s="7">
        <f t="shared" si="1"/>
        <v>0.2601</v>
      </c>
      <c r="F29" s="7">
        <f t="shared" si="1"/>
        <v>3364</v>
      </c>
      <c r="G29" s="7">
        <f t="shared" si="2"/>
        <v>94.184700000000007</v>
      </c>
      <c r="H29" s="7">
        <f t="shared" si="3"/>
        <v>36.184699999999999</v>
      </c>
      <c r="I29" s="7">
        <f t="shared" si="4"/>
        <v>1309.3325140899999</v>
      </c>
      <c r="J29" s="6"/>
      <c r="K29" s="6"/>
      <c r="L29" s="6"/>
      <c r="M29" s="6"/>
      <c r="N29" s="6" t="s">
        <v>22</v>
      </c>
      <c r="O29" s="6">
        <f>D124-(L24*L25*L26)</f>
        <v>-1004.0798704000022</v>
      </c>
      <c r="P29" s="6"/>
      <c r="Q29" s="6"/>
      <c r="R29" s="6"/>
      <c r="S29" s="6"/>
      <c r="T29" s="6"/>
    </row>
    <row r="30" spans="1:20">
      <c r="A30" s="6"/>
      <c r="B30" s="8">
        <v>0.53</v>
      </c>
      <c r="C30" s="15">
        <v>33</v>
      </c>
      <c r="D30" s="7">
        <f t="shared" si="0"/>
        <v>17.490000000000002</v>
      </c>
      <c r="E30" s="7">
        <f t="shared" si="1"/>
        <v>0.28090000000000004</v>
      </c>
      <c r="F30" s="7">
        <f t="shared" si="1"/>
        <v>1089</v>
      </c>
      <c r="G30" s="7">
        <f t="shared" si="2"/>
        <v>90.6905</v>
      </c>
      <c r="H30" s="7">
        <f t="shared" si="3"/>
        <v>57.6905</v>
      </c>
      <c r="I30" s="7">
        <f t="shared" si="4"/>
        <v>3328.1937902499999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>
      <c r="A31" s="6"/>
      <c r="B31" s="8">
        <v>0.54</v>
      </c>
      <c r="C31" s="15">
        <v>41</v>
      </c>
      <c r="D31" s="7">
        <f t="shared" si="0"/>
        <v>22.14</v>
      </c>
      <c r="E31" s="7">
        <f t="shared" si="1"/>
        <v>0.29160000000000003</v>
      </c>
      <c r="F31" s="7">
        <f t="shared" si="1"/>
        <v>1681</v>
      </c>
      <c r="G31" s="7">
        <f t="shared" si="2"/>
        <v>88.943399999999997</v>
      </c>
      <c r="H31" s="7">
        <f t="shared" si="3"/>
        <v>47.943399999999997</v>
      </c>
      <c r="I31" s="7">
        <f t="shared" si="4"/>
        <v>2298.5696035599999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>
      <c r="A32" s="6"/>
      <c r="B32" s="8">
        <v>0.56000000000000005</v>
      </c>
      <c r="C32" s="15">
        <v>34</v>
      </c>
      <c r="D32" s="7">
        <f t="shared" si="0"/>
        <v>19.040000000000003</v>
      </c>
      <c r="E32" s="7">
        <f t="shared" si="1"/>
        <v>0.31360000000000005</v>
      </c>
      <c r="F32" s="7">
        <f t="shared" si="1"/>
        <v>1156</v>
      </c>
      <c r="G32" s="7">
        <f t="shared" si="2"/>
        <v>85.449200000000005</v>
      </c>
      <c r="H32" s="7">
        <f t="shared" si="3"/>
        <v>51.449199999999998</v>
      </c>
      <c r="I32" s="7">
        <f t="shared" si="4"/>
        <v>2647.0201806399996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>
      <c r="A33" s="6"/>
      <c r="B33" s="8">
        <v>0.56999999999999995</v>
      </c>
      <c r="C33" s="15">
        <v>38</v>
      </c>
      <c r="D33" s="7">
        <f t="shared" si="0"/>
        <v>21.659999999999997</v>
      </c>
      <c r="E33" s="7">
        <f t="shared" si="1"/>
        <v>0.32489999999999997</v>
      </c>
      <c r="F33" s="7">
        <f t="shared" si="1"/>
        <v>1444</v>
      </c>
      <c r="G33" s="7">
        <f t="shared" si="2"/>
        <v>83.702100000000002</v>
      </c>
      <c r="H33" s="7">
        <f t="shared" si="3"/>
        <v>45.702100000000002</v>
      </c>
      <c r="I33" s="7">
        <f t="shared" si="4"/>
        <v>2088.6819444100001</v>
      </c>
      <c r="J33" s="6"/>
      <c r="K33" s="6"/>
      <c r="L33" s="6"/>
      <c r="M33" s="6"/>
      <c r="N33" s="6" t="s">
        <v>22</v>
      </c>
      <c r="O33" s="6">
        <f>E124-(L24*(L25^2))</f>
        <v>5.7471288000000271</v>
      </c>
      <c r="P33" s="6"/>
      <c r="Q33" s="6"/>
      <c r="R33" s="6"/>
      <c r="S33" s="6"/>
      <c r="T33" s="6"/>
    </row>
    <row r="34" spans="1:20">
      <c r="A34" s="6"/>
      <c r="B34" s="8">
        <v>0.59</v>
      </c>
      <c r="C34" s="15">
        <v>41</v>
      </c>
      <c r="D34" s="7">
        <f t="shared" si="0"/>
        <v>24.189999999999998</v>
      </c>
      <c r="E34" s="7">
        <f t="shared" si="1"/>
        <v>0.34809999999999997</v>
      </c>
      <c r="F34" s="7">
        <f t="shared" si="1"/>
        <v>1681</v>
      </c>
      <c r="G34" s="7">
        <f t="shared" si="2"/>
        <v>80.207899999999995</v>
      </c>
      <c r="H34" s="7">
        <f t="shared" si="3"/>
        <v>39.207900000000002</v>
      </c>
      <c r="I34" s="7">
        <f t="shared" si="4"/>
        <v>1537.2594224100001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>
      <c r="A35" s="6"/>
      <c r="B35" s="8">
        <v>0.61</v>
      </c>
      <c r="C35" s="15">
        <v>28</v>
      </c>
      <c r="D35" s="7">
        <f t="shared" si="0"/>
        <v>17.079999999999998</v>
      </c>
      <c r="E35" s="7">
        <f t="shared" si="1"/>
        <v>0.37209999999999999</v>
      </c>
      <c r="F35" s="7">
        <f t="shared" si="1"/>
        <v>784</v>
      </c>
      <c r="G35" s="7">
        <f t="shared" si="2"/>
        <v>76.713700000000003</v>
      </c>
      <c r="H35" s="7">
        <f t="shared" si="3"/>
        <v>48.713700000000003</v>
      </c>
      <c r="I35" s="7">
        <f t="shared" si="4"/>
        <v>2373.0245676900004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>
      <c r="A36" s="6"/>
      <c r="B36" s="8">
        <v>0.64</v>
      </c>
      <c r="C36" s="15">
        <v>28</v>
      </c>
      <c r="D36" s="7">
        <f t="shared" si="0"/>
        <v>17.920000000000002</v>
      </c>
      <c r="E36" s="7">
        <f t="shared" si="1"/>
        <v>0.40960000000000002</v>
      </c>
      <c r="F36" s="7">
        <f t="shared" si="1"/>
        <v>784</v>
      </c>
      <c r="G36" s="7">
        <f t="shared" si="2"/>
        <v>71.472399999999993</v>
      </c>
      <c r="H36" s="7">
        <f t="shared" si="3"/>
        <v>43.4724</v>
      </c>
      <c r="I36" s="7">
        <f t="shared" si="4"/>
        <v>1889.8495617600001</v>
      </c>
      <c r="J36" s="6"/>
      <c r="K36" s="6"/>
      <c r="L36" s="6"/>
      <c r="M36" s="6"/>
      <c r="N36" s="6" t="s">
        <v>22</v>
      </c>
      <c r="O36" s="6">
        <f>ROUND((F124-(L24*(L26^2))),4)</f>
        <v>524434.89450000005</v>
      </c>
      <c r="P36" s="6"/>
      <c r="Q36" s="6"/>
      <c r="R36" s="6"/>
      <c r="S36" s="6"/>
      <c r="T36" s="6"/>
    </row>
    <row r="37" spans="1:20">
      <c r="A37" s="6"/>
      <c r="B37" s="8">
        <v>0.66</v>
      </c>
      <c r="C37" s="15">
        <v>26</v>
      </c>
      <c r="D37" s="7">
        <f t="shared" si="0"/>
        <v>17.16</v>
      </c>
      <c r="E37" s="7">
        <f t="shared" si="1"/>
        <v>0.43560000000000004</v>
      </c>
      <c r="F37" s="7">
        <f t="shared" si="1"/>
        <v>676</v>
      </c>
      <c r="G37" s="7">
        <f t="shared" si="2"/>
        <v>67.978200000000001</v>
      </c>
      <c r="H37" s="7">
        <f t="shared" si="3"/>
        <v>41.978200000000001</v>
      </c>
      <c r="I37" s="7">
        <f t="shared" si="4"/>
        <v>1762.1692752400002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>
      <c r="A38" s="6"/>
      <c r="B38" s="8">
        <v>0.67</v>
      </c>
      <c r="C38" s="15">
        <v>28</v>
      </c>
      <c r="D38" s="7">
        <f t="shared" si="0"/>
        <v>18.760000000000002</v>
      </c>
      <c r="E38" s="7">
        <f t="shared" si="1"/>
        <v>0.44890000000000008</v>
      </c>
      <c r="F38" s="7">
        <f t="shared" si="1"/>
        <v>784</v>
      </c>
      <c r="G38" s="7">
        <f t="shared" si="2"/>
        <v>66.231099999999998</v>
      </c>
      <c r="H38" s="7">
        <f t="shared" si="3"/>
        <v>38.231099999999998</v>
      </c>
      <c r="I38" s="7">
        <f t="shared" si="4"/>
        <v>1461.6170072099999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>
      <c r="A39" s="6"/>
      <c r="B39" s="8">
        <v>0.67</v>
      </c>
      <c r="C39" s="15">
        <v>25</v>
      </c>
      <c r="D39" s="7">
        <f t="shared" si="0"/>
        <v>16.75</v>
      </c>
      <c r="E39" s="7">
        <f t="shared" si="1"/>
        <v>0.44890000000000008</v>
      </c>
      <c r="F39" s="7">
        <f t="shared" si="1"/>
        <v>625</v>
      </c>
      <c r="G39" s="7">
        <f t="shared" si="2"/>
        <v>66.231099999999998</v>
      </c>
      <c r="H39" s="7">
        <f t="shared" si="3"/>
        <v>41.231099999999998</v>
      </c>
      <c r="I39" s="7">
        <f t="shared" si="4"/>
        <v>1700.0036072099999</v>
      </c>
      <c r="J39" s="6"/>
      <c r="K39" s="6"/>
      <c r="L39" s="6"/>
      <c r="M39" s="6"/>
      <c r="N39" s="6"/>
      <c r="O39" s="15"/>
      <c r="P39" s="15"/>
      <c r="Q39" s="15"/>
      <c r="R39" s="15"/>
      <c r="S39" s="6"/>
      <c r="T39" s="6"/>
    </row>
    <row r="40" spans="1:20">
      <c r="A40" s="6"/>
      <c r="B40" s="8">
        <v>0.67</v>
      </c>
      <c r="C40" s="15">
        <v>30</v>
      </c>
      <c r="D40" s="7">
        <f t="shared" si="0"/>
        <v>20.100000000000001</v>
      </c>
      <c r="E40" s="7">
        <f t="shared" si="1"/>
        <v>0.44890000000000008</v>
      </c>
      <c r="F40" s="7">
        <f t="shared" si="1"/>
        <v>900</v>
      </c>
      <c r="G40" s="7">
        <f t="shared" si="2"/>
        <v>66.231099999999998</v>
      </c>
      <c r="H40" s="7">
        <f t="shared" si="3"/>
        <v>36.231099999999998</v>
      </c>
      <c r="I40" s="7">
        <f t="shared" si="4"/>
        <v>1312.6926072099998</v>
      </c>
      <c r="J40" s="6"/>
      <c r="K40" s="6"/>
      <c r="L40" s="6"/>
      <c r="M40" s="6" t="s">
        <v>22</v>
      </c>
      <c r="N40" s="6">
        <f>O29/(SQRT(O33)*SQRT(O36))</f>
        <v>-0.57835834323654245</v>
      </c>
      <c r="O40" s="15"/>
      <c r="P40" s="15"/>
      <c r="Q40" s="15">
        <f>N40^2</f>
        <v>0.33449837319131825</v>
      </c>
      <c r="R40" s="15"/>
      <c r="S40" s="6"/>
      <c r="T40" s="6"/>
    </row>
    <row r="41" spans="1:20">
      <c r="A41" s="6"/>
      <c r="B41" s="8">
        <v>0.65</v>
      </c>
      <c r="C41" s="15">
        <v>22</v>
      </c>
      <c r="D41" s="7">
        <f t="shared" si="0"/>
        <v>14.3</v>
      </c>
      <c r="E41" s="7">
        <f t="shared" si="1"/>
        <v>0.42250000000000004</v>
      </c>
      <c r="F41" s="7">
        <f t="shared" si="1"/>
        <v>484</v>
      </c>
      <c r="G41" s="7">
        <f t="shared" si="2"/>
        <v>69.725300000000004</v>
      </c>
      <c r="H41" s="7">
        <f t="shared" si="3"/>
        <v>47.725299999999997</v>
      </c>
      <c r="I41" s="7">
        <f t="shared" si="4"/>
        <v>2277.7042600899999</v>
      </c>
      <c r="J41" s="6"/>
      <c r="K41" s="6"/>
      <c r="L41" s="6"/>
      <c r="M41" s="6"/>
      <c r="N41" s="6"/>
      <c r="O41" s="15"/>
      <c r="P41" s="15"/>
      <c r="Q41" s="15"/>
      <c r="R41" s="15"/>
      <c r="S41" s="6"/>
      <c r="T41" s="6"/>
    </row>
    <row r="42" spans="1:20">
      <c r="A42" s="6"/>
      <c r="B42" s="8">
        <v>0.65</v>
      </c>
      <c r="C42" s="15">
        <v>18</v>
      </c>
      <c r="D42" s="7">
        <f t="shared" si="0"/>
        <v>11.700000000000001</v>
      </c>
      <c r="E42" s="7">
        <f t="shared" si="1"/>
        <v>0.42250000000000004</v>
      </c>
      <c r="F42" s="7">
        <f t="shared" si="1"/>
        <v>324</v>
      </c>
      <c r="G42" s="7">
        <f t="shared" si="2"/>
        <v>69.725300000000004</v>
      </c>
      <c r="H42" s="7">
        <f t="shared" si="3"/>
        <v>51.725299999999997</v>
      </c>
      <c r="I42" s="7">
        <f t="shared" si="4"/>
        <v>2675.5066600899995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>
      <c r="A43" s="6"/>
      <c r="B43" s="8">
        <v>0.66</v>
      </c>
      <c r="C43" s="15">
        <v>15</v>
      </c>
      <c r="D43" s="7">
        <f t="shared" si="0"/>
        <v>9.9</v>
      </c>
      <c r="E43" s="7">
        <f t="shared" si="1"/>
        <v>0.43560000000000004</v>
      </c>
      <c r="F43" s="7">
        <f t="shared" si="1"/>
        <v>225</v>
      </c>
      <c r="G43" s="7">
        <f t="shared" si="2"/>
        <v>67.978200000000001</v>
      </c>
      <c r="H43" s="7">
        <f t="shared" si="3"/>
        <v>52.978200000000001</v>
      </c>
      <c r="I43" s="7">
        <f t="shared" si="4"/>
        <v>2806.6896752400003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>
      <c r="A44" s="6"/>
      <c r="B44" s="8">
        <v>0.68</v>
      </c>
      <c r="C44" s="15">
        <v>19</v>
      </c>
      <c r="D44" s="7">
        <f t="shared" si="0"/>
        <v>12.920000000000002</v>
      </c>
      <c r="E44" s="7">
        <f t="shared" si="1"/>
        <v>0.46240000000000009</v>
      </c>
      <c r="F44" s="7">
        <f t="shared" si="1"/>
        <v>361</v>
      </c>
      <c r="G44" s="7">
        <f t="shared" si="2"/>
        <v>64.483999999999995</v>
      </c>
      <c r="H44" s="7">
        <f t="shared" si="3"/>
        <v>45.484000000000002</v>
      </c>
      <c r="I44" s="7">
        <f t="shared" si="4"/>
        <v>2068.7942560000001</v>
      </c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>
      <c r="A45" s="6"/>
      <c r="B45" s="8">
        <v>0.69</v>
      </c>
      <c r="C45" s="15">
        <v>15</v>
      </c>
      <c r="D45" s="7">
        <f t="shared" si="0"/>
        <v>10.35</v>
      </c>
      <c r="E45" s="7">
        <f t="shared" si="1"/>
        <v>0.47609999999999991</v>
      </c>
      <c r="F45" s="7">
        <f t="shared" si="1"/>
        <v>225</v>
      </c>
      <c r="G45" s="7">
        <f t="shared" si="2"/>
        <v>62.736899999999999</v>
      </c>
      <c r="H45" s="7">
        <f t="shared" si="3"/>
        <v>47.736899999999999</v>
      </c>
      <c r="I45" s="7">
        <f t="shared" si="4"/>
        <v>2278.8116216099997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>
      <c r="A46" s="6"/>
      <c r="B46" s="8">
        <v>0.7</v>
      </c>
      <c r="C46" s="15">
        <v>10</v>
      </c>
      <c r="D46" s="7">
        <f t="shared" si="0"/>
        <v>7</v>
      </c>
      <c r="E46" s="7">
        <f t="shared" si="1"/>
        <v>0.48999999999999994</v>
      </c>
      <c r="F46" s="7">
        <f t="shared" si="1"/>
        <v>100</v>
      </c>
      <c r="G46" s="7">
        <f t="shared" si="2"/>
        <v>60.989800000000002</v>
      </c>
      <c r="H46" s="7">
        <f t="shared" si="3"/>
        <v>50.989800000000002</v>
      </c>
      <c r="I46" s="7">
        <f t="shared" si="4"/>
        <v>2599.9597040400004</v>
      </c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>
      <c r="A47" s="6"/>
      <c r="B47" s="8">
        <v>0.71</v>
      </c>
      <c r="C47" s="15">
        <v>13</v>
      </c>
      <c r="D47" s="7">
        <f t="shared" si="0"/>
        <v>9.23</v>
      </c>
      <c r="E47" s="7">
        <f t="shared" si="1"/>
        <v>0.50409999999999999</v>
      </c>
      <c r="F47" s="7">
        <f t="shared" si="1"/>
        <v>169</v>
      </c>
      <c r="G47" s="7">
        <f t="shared" si="2"/>
        <v>59.242699999999999</v>
      </c>
      <c r="H47" s="7">
        <f t="shared" si="3"/>
        <v>46.242699999999999</v>
      </c>
      <c r="I47" s="7">
        <f t="shared" si="4"/>
        <v>2138.3873032900001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>
      <c r="A48" s="6"/>
      <c r="B48" s="8">
        <v>0.72</v>
      </c>
      <c r="C48" s="15">
        <v>15</v>
      </c>
      <c r="D48" s="7">
        <f t="shared" si="0"/>
        <v>10.799999999999999</v>
      </c>
      <c r="E48" s="7">
        <f t="shared" si="1"/>
        <v>0.51839999999999997</v>
      </c>
      <c r="F48" s="7">
        <f t="shared" si="1"/>
        <v>225</v>
      </c>
      <c r="G48" s="7">
        <f t="shared" si="2"/>
        <v>57.495600000000003</v>
      </c>
      <c r="H48" s="7">
        <f t="shared" si="3"/>
        <v>42.495600000000003</v>
      </c>
      <c r="I48" s="7">
        <f t="shared" si="4"/>
        <v>1805.8760193600003</v>
      </c>
      <c r="J48" s="6"/>
      <c r="K48" s="6"/>
      <c r="L48" s="6" t="s">
        <v>22</v>
      </c>
      <c r="M48" s="6">
        <f>ROUND((O29/O33),4)</f>
        <v>-174.7098</v>
      </c>
      <c r="N48" s="6"/>
      <c r="O48" s="6"/>
      <c r="P48" s="6"/>
      <c r="Q48" s="6"/>
      <c r="R48" s="6"/>
      <c r="S48" s="6"/>
      <c r="T48" s="6"/>
    </row>
    <row r="49" spans="1:25">
      <c r="A49" s="6"/>
      <c r="B49" s="8">
        <v>0.74</v>
      </c>
      <c r="C49" s="15">
        <v>21</v>
      </c>
      <c r="D49" s="7">
        <f t="shared" si="0"/>
        <v>15.54</v>
      </c>
      <c r="E49" s="7">
        <f t="shared" si="1"/>
        <v>0.54759999999999998</v>
      </c>
      <c r="F49" s="7">
        <f t="shared" si="1"/>
        <v>441</v>
      </c>
      <c r="G49" s="7">
        <f t="shared" si="2"/>
        <v>54.001399999999997</v>
      </c>
      <c r="H49" s="7">
        <f t="shared" si="3"/>
        <v>33.001399999999997</v>
      </c>
      <c r="I49" s="7">
        <f t="shared" si="4"/>
        <v>1089.0924019599997</v>
      </c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5">
      <c r="A50" s="6"/>
      <c r="B50" s="8">
        <v>0.76</v>
      </c>
      <c r="C50" s="15">
        <v>11</v>
      </c>
      <c r="D50" s="7">
        <f t="shared" si="0"/>
        <v>8.36</v>
      </c>
      <c r="E50" s="7">
        <f t="shared" si="1"/>
        <v>0.5776</v>
      </c>
      <c r="F50" s="7">
        <f t="shared" si="1"/>
        <v>121</v>
      </c>
      <c r="G50" s="7">
        <f t="shared" si="2"/>
        <v>50.507300000000001</v>
      </c>
      <c r="H50" s="7">
        <f t="shared" si="3"/>
        <v>39.507300000000001</v>
      </c>
      <c r="I50" s="7">
        <f t="shared" si="4"/>
        <v>1560.8267532900002</v>
      </c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5">
      <c r="A51" s="6"/>
      <c r="B51" s="8">
        <v>0.77</v>
      </c>
      <c r="C51" s="15">
        <v>8</v>
      </c>
      <c r="D51" s="7">
        <f t="shared" si="0"/>
        <v>6.16</v>
      </c>
      <c r="E51" s="7">
        <f t="shared" si="1"/>
        <v>0.59289999999999998</v>
      </c>
      <c r="F51" s="7">
        <f t="shared" si="1"/>
        <v>64</v>
      </c>
      <c r="G51" s="7">
        <f t="shared" si="2"/>
        <v>48.760199999999998</v>
      </c>
      <c r="H51" s="7">
        <f t="shared" si="3"/>
        <v>40.760199999999998</v>
      </c>
      <c r="I51" s="7">
        <f t="shared" si="4"/>
        <v>1661.3939040399998</v>
      </c>
      <c r="J51" s="6"/>
      <c r="K51" s="6"/>
      <c r="L51" s="6" t="s">
        <v>22</v>
      </c>
      <c r="M51" s="6">
        <f>ROUND((L26-(M48*L25)),4)</f>
        <v>183.2867</v>
      </c>
      <c r="N51" s="6"/>
      <c r="O51" s="6"/>
      <c r="P51" s="6"/>
      <c r="Q51" s="6"/>
      <c r="R51" s="6"/>
      <c r="S51" s="6"/>
      <c r="T51" s="6"/>
    </row>
    <row r="52" spans="1:25">
      <c r="A52" s="6"/>
      <c r="B52" s="8">
        <v>0.79</v>
      </c>
      <c r="C52" s="15">
        <v>6</v>
      </c>
      <c r="D52" s="7">
        <f t="shared" si="0"/>
        <v>4.74</v>
      </c>
      <c r="E52" s="7">
        <f t="shared" si="1"/>
        <v>0.6241000000000001</v>
      </c>
      <c r="F52" s="7">
        <f t="shared" si="1"/>
        <v>36</v>
      </c>
      <c r="G52" s="7">
        <f t="shared" si="2"/>
        <v>45.265999999999998</v>
      </c>
      <c r="H52" s="7">
        <f t="shared" si="3"/>
        <v>39.265999999999998</v>
      </c>
      <c r="I52" s="7">
        <f t="shared" si="4"/>
        <v>1541.8187559999999</v>
      </c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5">
      <c r="A53" s="6"/>
      <c r="B53" s="8">
        <v>0.8</v>
      </c>
      <c r="C53" s="15">
        <v>16</v>
      </c>
      <c r="D53" s="7">
        <f t="shared" si="0"/>
        <v>12.8</v>
      </c>
      <c r="E53" s="7">
        <f t="shared" si="1"/>
        <v>0.64000000000000012</v>
      </c>
      <c r="F53" s="7">
        <f t="shared" si="1"/>
        <v>256</v>
      </c>
      <c r="G53" s="7">
        <f t="shared" si="2"/>
        <v>43.518900000000002</v>
      </c>
      <c r="H53" s="7">
        <f t="shared" si="3"/>
        <v>27.518899999999999</v>
      </c>
      <c r="I53" s="7">
        <f t="shared" si="4"/>
        <v>757.28985720999992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5">
      <c r="A54" s="6"/>
      <c r="B54" s="8">
        <v>0.81</v>
      </c>
      <c r="C54" s="15">
        <v>10</v>
      </c>
      <c r="D54" s="7">
        <f t="shared" si="0"/>
        <v>8.1000000000000014</v>
      </c>
      <c r="E54" s="7">
        <f t="shared" si="1"/>
        <v>0.65610000000000013</v>
      </c>
      <c r="F54" s="7">
        <f t="shared" si="1"/>
        <v>100</v>
      </c>
      <c r="G54" s="7">
        <f t="shared" si="2"/>
        <v>41.771799999999999</v>
      </c>
      <c r="H54" s="7">
        <f t="shared" si="3"/>
        <v>31.771799999999999</v>
      </c>
      <c r="I54" s="7">
        <f t="shared" si="4"/>
        <v>1009.44727524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5">
      <c r="A55" s="6"/>
      <c r="B55" s="8">
        <v>0.82</v>
      </c>
      <c r="C55" s="15">
        <v>11</v>
      </c>
      <c r="D55" s="7">
        <f t="shared" si="0"/>
        <v>9.02</v>
      </c>
      <c r="E55" s="7">
        <f t="shared" si="1"/>
        <v>0.67239999999999989</v>
      </c>
      <c r="F55" s="7">
        <f t="shared" si="1"/>
        <v>121</v>
      </c>
      <c r="G55" s="7">
        <f t="shared" si="2"/>
        <v>40.024700000000003</v>
      </c>
      <c r="H55" s="7">
        <f t="shared" si="3"/>
        <v>29.024699999999999</v>
      </c>
      <c r="I55" s="7">
        <f t="shared" si="4"/>
        <v>842.43321008999999</v>
      </c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</row>
    <row r="56" spans="1:25">
      <c r="A56" s="6"/>
      <c r="B56" s="8">
        <v>0.83</v>
      </c>
      <c r="C56" s="15">
        <v>9</v>
      </c>
      <c r="D56" s="7">
        <f t="shared" si="0"/>
        <v>7.47</v>
      </c>
      <c r="E56" s="7">
        <f t="shared" si="1"/>
        <v>0.68889999999999996</v>
      </c>
      <c r="F56" s="7">
        <f t="shared" si="1"/>
        <v>81</v>
      </c>
      <c r="G56" s="7">
        <f t="shared" si="2"/>
        <v>38.2776</v>
      </c>
      <c r="H56" s="7">
        <f t="shared" si="3"/>
        <v>29.2776</v>
      </c>
      <c r="I56" s="7">
        <f t="shared" si="4"/>
        <v>857.17786175999993</v>
      </c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</row>
    <row r="57" spans="1:25">
      <c r="A57" s="6"/>
      <c r="B57" s="8">
        <v>0.84</v>
      </c>
      <c r="C57" s="15">
        <v>5</v>
      </c>
      <c r="D57" s="7">
        <f t="shared" si="0"/>
        <v>4.2</v>
      </c>
      <c r="E57" s="7">
        <f t="shared" si="1"/>
        <v>0.70559999999999989</v>
      </c>
      <c r="F57" s="7">
        <f t="shared" si="1"/>
        <v>25</v>
      </c>
      <c r="G57" s="7">
        <f t="shared" si="2"/>
        <v>36.530500000000004</v>
      </c>
      <c r="H57" s="7">
        <f t="shared" si="3"/>
        <v>31.5305</v>
      </c>
      <c r="I57" s="7">
        <f t="shared" si="4"/>
        <v>994.17243025000005</v>
      </c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</row>
    <row r="58" spans="1:25">
      <c r="A58" s="6"/>
      <c r="B58" s="8">
        <v>0.86</v>
      </c>
      <c r="C58" s="15">
        <v>8</v>
      </c>
      <c r="D58" s="7">
        <f t="shared" si="0"/>
        <v>6.88</v>
      </c>
      <c r="E58" s="7">
        <f t="shared" si="1"/>
        <v>0.73959999999999992</v>
      </c>
      <c r="F58" s="7">
        <f t="shared" si="1"/>
        <v>64</v>
      </c>
      <c r="G58" s="7">
        <f t="shared" si="2"/>
        <v>33.036299999999997</v>
      </c>
      <c r="H58" s="7">
        <f t="shared" si="3"/>
        <v>25.036300000000001</v>
      </c>
      <c r="I58" s="7">
        <f t="shared" si="4"/>
        <v>626.81631769000001</v>
      </c>
      <c r="J58" s="77"/>
      <c r="K58" s="38" t="s">
        <v>41</v>
      </c>
      <c r="L58" s="33">
        <f>ROUND(O36-N58*O29,4)</f>
        <v>349012.30119999999</v>
      </c>
      <c r="M58" s="38"/>
      <c r="N58" s="33">
        <f>M48</f>
        <v>-174.7098</v>
      </c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</row>
    <row r="59" spans="1:25">
      <c r="A59" s="6"/>
      <c r="B59" s="8">
        <v>0.89</v>
      </c>
      <c r="C59" s="15">
        <v>10</v>
      </c>
      <c r="D59" s="7">
        <f t="shared" si="0"/>
        <v>8.9</v>
      </c>
      <c r="E59" s="7">
        <f t="shared" si="1"/>
        <v>0.79210000000000003</v>
      </c>
      <c r="F59" s="7">
        <f t="shared" si="1"/>
        <v>100</v>
      </c>
      <c r="G59" s="7">
        <f t="shared" si="2"/>
        <v>27.795000000000002</v>
      </c>
      <c r="H59" s="7">
        <f t="shared" si="3"/>
        <v>17.795000000000002</v>
      </c>
      <c r="I59" s="7">
        <f t="shared" si="4"/>
        <v>316.66202500000009</v>
      </c>
      <c r="J59" s="77"/>
      <c r="K59" s="36" t="s">
        <v>42</v>
      </c>
      <c r="L59" s="26">
        <f>ROUND((O29^2)/O33,4)</f>
        <v>175422.61910000001</v>
      </c>
      <c r="M59" s="77"/>
      <c r="N59" s="26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</row>
    <row r="60" spans="1:25">
      <c r="A60" s="6"/>
      <c r="B60" s="8">
        <v>0.92</v>
      </c>
      <c r="C60" s="15">
        <v>6</v>
      </c>
      <c r="D60" s="7">
        <f t="shared" si="0"/>
        <v>5.5200000000000005</v>
      </c>
      <c r="E60" s="7">
        <f t="shared" si="1"/>
        <v>0.84640000000000004</v>
      </c>
      <c r="F60" s="7">
        <f t="shared" si="1"/>
        <v>36</v>
      </c>
      <c r="G60" s="7">
        <f t="shared" si="2"/>
        <v>22.553699999999999</v>
      </c>
      <c r="H60" s="7">
        <f t="shared" si="3"/>
        <v>16.553699999999999</v>
      </c>
      <c r="I60" s="7">
        <f t="shared" si="4"/>
        <v>274.02498369</v>
      </c>
      <c r="J60" s="77"/>
      <c r="K60" s="36" t="s">
        <v>43</v>
      </c>
      <c r="L60" s="26">
        <f>O36</f>
        <v>524434.89450000005</v>
      </c>
      <c r="M60" s="77"/>
      <c r="N60" s="26">
        <f>M51</f>
        <v>183.2867</v>
      </c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</row>
    <row r="61" spans="1:25">
      <c r="A61" s="6"/>
      <c r="B61" s="8">
        <v>0.94</v>
      </c>
      <c r="C61" s="15">
        <v>2</v>
      </c>
      <c r="D61" s="7">
        <f t="shared" si="0"/>
        <v>1.88</v>
      </c>
      <c r="E61" s="7">
        <f t="shared" si="1"/>
        <v>0.88359999999999994</v>
      </c>
      <c r="F61" s="7">
        <f t="shared" si="1"/>
        <v>4</v>
      </c>
      <c r="G61" s="7">
        <f t="shared" si="2"/>
        <v>19.0595</v>
      </c>
      <c r="H61" s="7">
        <f t="shared" si="3"/>
        <v>17.0595</v>
      </c>
      <c r="I61" s="7">
        <f t="shared" si="4"/>
        <v>291.02654024999998</v>
      </c>
      <c r="J61" s="77"/>
      <c r="K61" s="36" t="s">
        <v>59</v>
      </c>
      <c r="L61" s="26">
        <f>ROUND(SQRT(L58/(L24-2)),4)</f>
        <v>54.384999999999998</v>
      </c>
      <c r="M61" s="77"/>
      <c r="N61" s="26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</row>
    <row r="62" spans="1:25" ht="13.5" thickBot="1">
      <c r="A62" s="6"/>
      <c r="B62" s="8">
        <v>0.97</v>
      </c>
      <c r="C62" s="15">
        <v>3</v>
      </c>
      <c r="D62" s="7">
        <f t="shared" si="0"/>
        <v>2.91</v>
      </c>
      <c r="E62" s="7">
        <f t="shared" si="1"/>
        <v>0.94089999999999996</v>
      </c>
      <c r="F62" s="7">
        <f t="shared" si="1"/>
        <v>9</v>
      </c>
      <c r="G62" s="7">
        <f t="shared" si="2"/>
        <v>13.818199999999999</v>
      </c>
      <c r="H62" s="7">
        <f t="shared" si="3"/>
        <v>10.818199999999999</v>
      </c>
      <c r="I62" s="7">
        <f t="shared" si="4"/>
        <v>117.03345123999998</v>
      </c>
      <c r="J62" s="77"/>
      <c r="K62" s="37"/>
      <c r="L62" s="27"/>
      <c r="M62" s="37"/>
      <c r="N62" s="27">
        <f>ROUND(N58*SQRT(O33/O36),4)</f>
        <v>-0.57840000000000003</v>
      </c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</row>
    <row r="63" spans="1:25">
      <c r="A63" s="6"/>
      <c r="B63" s="8">
        <v>0.98</v>
      </c>
      <c r="C63" s="15">
        <v>11</v>
      </c>
      <c r="D63" s="7">
        <f t="shared" si="0"/>
        <v>10.78</v>
      </c>
      <c r="E63" s="7">
        <f t="shared" si="1"/>
        <v>0.96039999999999992</v>
      </c>
      <c r="F63" s="7">
        <f t="shared" si="1"/>
        <v>121</v>
      </c>
      <c r="G63" s="7">
        <f t="shared" si="2"/>
        <v>12.071099999999999</v>
      </c>
      <c r="H63" s="7">
        <f t="shared" si="3"/>
        <v>1.0710999999999999</v>
      </c>
      <c r="I63" s="7">
        <f t="shared" si="4"/>
        <v>1.14725521</v>
      </c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</row>
    <row r="64" spans="1:25" ht="13.5" thickBot="1">
      <c r="A64" s="6"/>
      <c r="B64" s="8">
        <v>0.98</v>
      </c>
      <c r="C64" s="15">
        <v>9</v>
      </c>
      <c r="D64" s="7">
        <f t="shared" si="0"/>
        <v>8.82</v>
      </c>
      <c r="E64" s="7">
        <f t="shared" si="1"/>
        <v>0.96039999999999992</v>
      </c>
      <c r="F64" s="7">
        <f t="shared" si="1"/>
        <v>81</v>
      </c>
      <c r="G64" s="7">
        <f t="shared" si="2"/>
        <v>12.071099999999999</v>
      </c>
      <c r="H64" s="7">
        <f t="shared" si="3"/>
        <v>3.0710999999999999</v>
      </c>
      <c r="I64" s="7">
        <f t="shared" si="4"/>
        <v>9.4316552099999988</v>
      </c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</row>
    <row r="65" spans="1:25">
      <c r="A65" s="6"/>
      <c r="B65" s="8">
        <v>0.97</v>
      </c>
      <c r="C65" s="15">
        <v>7</v>
      </c>
      <c r="D65" s="7">
        <f t="shared" si="0"/>
        <v>6.79</v>
      </c>
      <c r="E65" s="7">
        <f t="shared" si="1"/>
        <v>0.94089999999999996</v>
      </c>
      <c r="F65" s="7">
        <f t="shared" si="1"/>
        <v>49</v>
      </c>
      <c r="G65" s="7">
        <f t="shared" si="2"/>
        <v>13.818199999999999</v>
      </c>
      <c r="H65" s="7">
        <f t="shared" si="3"/>
        <v>6.8182</v>
      </c>
      <c r="I65" s="7">
        <f t="shared" si="4"/>
        <v>46.487851239999998</v>
      </c>
      <c r="J65" s="77"/>
      <c r="K65" s="20"/>
      <c r="L65" s="20" t="s">
        <v>55</v>
      </c>
      <c r="M65" s="20" t="s">
        <v>48</v>
      </c>
      <c r="N65" s="20" t="s">
        <v>49</v>
      </c>
      <c r="O65" s="20" t="s">
        <v>50</v>
      </c>
      <c r="P65" s="20" t="s">
        <v>51</v>
      </c>
      <c r="Q65" s="77"/>
      <c r="R65" s="77"/>
      <c r="S65" s="77"/>
      <c r="T65" s="77"/>
      <c r="U65" s="77"/>
      <c r="V65" s="77"/>
      <c r="W65" s="77"/>
      <c r="X65" s="77"/>
      <c r="Y65" s="77"/>
    </row>
    <row r="66" spans="1:25">
      <c r="A66" s="6"/>
      <c r="B66" s="8">
        <v>1</v>
      </c>
      <c r="C66" s="15">
        <v>4</v>
      </c>
      <c r="D66" s="7">
        <f t="shared" si="0"/>
        <v>4</v>
      </c>
      <c r="E66" s="7">
        <f t="shared" si="1"/>
        <v>1</v>
      </c>
      <c r="F66" s="7">
        <f t="shared" si="1"/>
        <v>16</v>
      </c>
      <c r="G66" s="7">
        <f t="shared" si="2"/>
        <v>8.5769000000000002</v>
      </c>
      <c r="H66" s="7">
        <f t="shared" si="3"/>
        <v>4.5769000000000002</v>
      </c>
      <c r="I66" s="7">
        <f t="shared" si="4"/>
        <v>20.94801361</v>
      </c>
      <c r="J66" s="77"/>
      <c r="K66" s="76" t="s">
        <v>56</v>
      </c>
      <c r="L66" s="18" t="s">
        <v>45</v>
      </c>
      <c r="M66" s="18">
        <v>1</v>
      </c>
      <c r="N66" s="18">
        <f>L59</f>
        <v>175422.61910000001</v>
      </c>
      <c r="O66" s="18">
        <f>N66/M66</f>
        <v>175422.61910000001</v>
      </c>
      <c r="P66" s="18">
        <f>O66/O67</f>
        <v>59.309855218936917</v>
      </c>
      <c r="Q66" s="77"/>
      <c r="R66" s="77"/>
      <c r="S66" s="77"/>
      <c r="T66" s="77"/>
      <c r="U66" s="77"/>
      <c r="V66" s="77"/>
      <c r="W66" s="77"/>
      <c r="X66" s="77"/>
      <c r="Y66" s="77"/>
    </row>
    <row r="67" spans="1:25">
      <c r="A67" s="6"/>
      <c r="B67" s="8">
        <v>1.06</v>
      </c>
      <c r="C67" s="15">
        <v>6</v>
      </c>
      <c r="D67" s="7">
        <f t="shared" si="0"/>
        <v>6.36</v>
      </c>
      <c r="E67" s="7">
        <f t="shared" si="1"/>
        <v>1.1236000000000002</v>
      </c>
      <c r="F67" s="7">
        <f t="shared" si="1"/>
        <v>36</v>
      </c>
      <c r="G67" s="7">
        <f t="shared" si="2"/>
        <v>-1.9056999999999999</v>
      </c>
      <c r="H67" s="7">
        <f t="shared" si="3"/>
        <v>-7.9057000000000004</v>
      </c>
      <c r="I67" s="7">
        <f t="shared" si="4"/>
        <v>62.500092490000007</v>
      </c>
      <c r="J67" s="77"/>
      <c r="K67" s="76" t="s">
        <v>57</v>
      </c>
      <c r="L67" s="18" t="s">
        <v>46</v>
      </c>
      <c r="M67" s="77">
        <v>118</v>
      </c>
      <c r="N67" s="18">
        <f>L58</f>
        <v>349012.30119999999</v>
      </c>
      <c r="O67" s="18">
        <f>N67/M67</f>
        <v>2957.7313661016947</v>
      </c>
      <c r="P67" s="18"/>
      <c r="Q67" s="77"/>
      <c r="R67" s="77"/>
      <c r="S67" s="77"/>
      <c r="T67" s="77"/>
      <c r="U67" s="77"/>
      <c r="V67" s="77"/>
      <c r="W67" s="77"/>
      <c r="X67" s="77"/>
      <c r="Y67" s="77"/>
    </row>
    <row r="68" spans="1:25" ht="13.5" thickBot="1">
      <c r="A68" s="6"/>
      <c r="B68" s="8">
        <v>1.1399999999999999</v>
      </c>
      <c r="C68" s="15">
        <v>2</v>
      </c>
      <c r="D68" s="7">
        <f t="shared" si="0"/>
        <v>2.2799999999999998</v>
      </c>
      <c r="E68" s="7">
        <f t="shared" si="1"/>
        <v>1.2995999999999999</v>
      </c>
      <c r="F68" s="7">
        <f t="shared" si="1"/>
        <v>4</v>
      </c>
      <c r="G68" s="7">
        <f t="shared" si="2"/>
        <v>-15.8825</v>
      </c>
      <c r="H68" s="7">
        <f t="shared" si="3"/>
        <v>-17.8825</v>
      </c>
      <c r="I68" s="7">
        <f t="shared" si="4"/>
        <v>319.78380625</v>
      </c>
      <c r="J68" s="77"/>
      <c r="K68" s="24" t="s">
        <v>58</v>
      </c>
      <c r="L68" s="19" t="s">
        <v>47</v>
      </c>
      <c r="M68" s="28">
        <v>119</v>
      </c>
      <c r="N68" s="19">
        <f>L60</f>
        <v>524434.89450000005</v>
      </c>
      <c r="O68" s="19"/>
      <c r="P68" s="19"/>
      <c r="Q68" s="77"/>
      <c r="R68" s="77"/>
      <c r="S68" s="77"/>
      <c r="T68" s="77"/>
      <c r="U68" s="77"/>
      <c r="V68" s="77"/>
      <c r="W68" s="77"/>
      <c r="X68" s="77"/>
      <c r="Y68" s="77"/>
    </row>
    <row r="69" spans="1:25">
      <c r="A69" s="6"/>
      <c r="B69" s="8">
        <v>1.1399999999999999</v>
      </c>
      <c r="C69" s="15">
        <v>3</v>
      </c>
      <c r="D69" s="7">
        <f t="shared" ref="D69:D123" si="5">B69*C69</f>
        <v>3.42</v>
      </c>
      <c r="E69" s="7">
        <f t="shared" ref="E69:F123" si="6">B69^2</f>
        <v>1.2995999999999999</v>
      </c>
      <c r="F69" s="7">
        <f t="shared" si="6"/>
        <v>9</v>
      </c>
      <c r="G69" s="7">
        <f t="shared" ref="G69:G123" si="7">ROUND($M$51+$M$48*B69,4)</f>
        <v>-15.8825</v>
      </c>
      <c r="H69" s="7">
        <f t="shared" ref="H69:H123" si="8">ROUND(G69-C69,4)</f>
        <v>-18.8825</v>
      </c>
      <c r="I69" s="7">
        <f t="shared" ref="I69:I123" si="9">H69^2</f>
        <v>356.54880624999998</v>
      </c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</row>
    <row r="70" spans="1:25">
      <c r="A70" s="6"/>
      <c r="B70" s="8">
        <v>1.1299999999999999</v>
      </c>
      <c r="C70" s="15">
        <v>9</v>
      </c>
      <c r="D70" s="7">
        <f t="shared" si="5"/>
        <v>10.169999999999998</v>
      </c>
      <c r="E70" s="7">
        <f t="shared" si="6"/>
        <v>1.2768999999999997</v>
      </c>
      <c r="F70" s="7">
        <f t="shared" si="6"/>
        <v>81</v>
      </c>
      <c r="G70" s="7">
        <f t="shared" si="7"/>
        <v>-14.135400000000001</v>
      </c>
      <c r="H70" s="7">
        <f t="shared" si="8"/>
        <v>-23.135400000000001</v>
      </c>
      <c r="I70" s="7">
        <f t="shared" si="9"/>
        <v>535.24673316000008</v>
      </c>
      <c r="J70" s="77"/>
      <c r="K70" s="73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</row>
    <row r="71" spans="1:25">
      <c r="A71" s="6"/>
      <c r="B71" s="8">
        <v>1.1200000000000001</v>
      </c>
      <c r="C71" s="15">
        <v>5</v>
      </c>
      <c r="D71" s="7">
        <f t="shared" si="5"/>
        <v>5.6000000000000005</v>
      </c>
      <c r="E71" s="7">
        <f t="shared" si="6"/>
        <v>1.2544000000000002</v>
      </c>
      <c r="F71" s="7">
        <f t="shared" si="6"/>
        <v>25</v>
      </c>
      <c r="G71" s="7">
        <f t="shared" si="7"/>
        <v>-12.388299999999999</v>
      </c>
      <c r="H71" s="7">
        <f t="shared" si="8"/>
        <v>-17.388300000000001</v>
      </c>
      <c r="I71" s="7">
        <f t="shared" si="9"/>
        <v>302.35297689000004</v>
      </c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</row>
    <row r="72" spans="1:25">
      <c r="A72" s="6"/>
      <c r="B72" s="8">
        <v>1.1000000000000001</v>
      </c>
      <c r="C72" s="15">
        <v>6</v>
      </c>
      <c r="D72" s="7">
        <f t="shared" si="5"/>
        <v>6.6000000000000005</v>
      </c>
      <c r="E72" s="7">
        <f t="shared" si="6"/>
        <v>1.2100000000000002</v>
      </c>
      <c r="F72" s="7">
        <f t="shared" si="6"/>
        <v>36</v>
      </c>
      <c r="G72" s="7">
        <f t="shared" si="7"/>
        <v>-8.8940999999999999</v>
      </c>
      <c r="H72" s="7">
        <f t="shared" si="8"/>
        <v>-14.8941</v>
      </c>
      <c r="I72" s="7">
        <f t="shared" si="9"/>
        <v>221.83421480999999</v>
      </c>
      <c r="J72" s="77"/>
      <c r="K72" s="14"/>
      <c r="L72" s="14"/>
      <c r="M72" s="14"/>
      <c r="N72" s="14"/>
      <c r="O72" s="14"/>
      <c r="P72" s="77"/>
      <c r="Q72" s="77"/>
      <c r="R72" s="77"/>
      <c r="S72" s="77"/>
      <c r="T72" s="77"/>
      <c r="U72" s="77"/>
      <c r="V72" s="77"/>
      <c r="W72" s="77"/>
      <c r="X72" s="77"/>
      <c r="Y72" s="77"/>
    </row>
    <row r="73" spans="1:25">
      <c r="A73" s="6"/>
      <c r="B73" s="8">
        <v>1.07</v>
      </c>
      <c r="C73" s="15">
        <v>6</v>
      </c>
      <c r="D73" s="7">
        <f t="shared" si="5"/>
        <v>6.42</v>
      </c>
      <c r="E73" s="7">
        <f t="shared" si="6"/>
        <v>1.1449</v>
      </c>
      <c r="F73" s="7">
        <f t="shared" si="6"/>
        <v>36</v>
      </c>
      <c r="G73" s="7">
        <f t="shared" si="7"/>
        <v>-3.6528</v>
      </c>
      <c r="H73" s="7">
        <f t="shared" si="8"/>
        <v>-9.6527999999999992</v>
      </c>
      <c r="I73" s="7">
        <f t="shared" si="9"/>
        <v>93.176547839999984</v>
      </c>
      <c r="J73" s="77"/>
      <c r="K73" s="29" t="s">
        <v>80</v>
      </c>
      <c r="L73" s="14">
        <v>0.05</v>
      </c>
      <c r="M73" s="14"/>
      <c r="N73" s="14"/>
      <c r="O73" s="14"/>
      <c r="P73" s="77"/>
      <c r="Q73" s="77"/>
      <c r="R73" s="77"/>
      <c r="S73" s="77"/>
      <c r="T73" s="77"/>
      <c r="U73" s="77"/>
      <c r="V73" s="77"/>
      <c r="W73" s="77"/>
      <c r="X73" s="77"/>
      <c r="Y73" s="77"/>
    </row>
    <row r="74" spans="1:25">
      <c r="A74" s="6"/>
      <c r="B74" s="8">
        <v>1.04</v>
      </c>
      <c r="C74" s="15">
        <v>2</v>
      </c>
      <c r="D74" s="7">
        <f t="shared" si="5"/>
        <v>2.08</v>
      </c>
      <c r="E74" s="7">
        <f t="shared" si="6"/>
        <v>1.0816000000000001</v>
      </c>
      <c r="F74" s="7">
        <f t="shared" si="6"/>
        <v>4</v>
      </c>
      <c r="G74" s="7">
        <f t="shared" si="7"/>
        <v>1.5885</v>
      </c>
      <c r="H74" s="7">
        <f t="shared" si="8"/>
        <v>-0.41149999999999998</v>
      </c>
      <c r="I74" s="7">
        <f t="shared" si="9"/>
        <v>0.16933224999999999</v>
      </c>
      <c r="J74" s="77"/>
      <c r="K74" s="14"/>
      <c r="L74" s="14"/>
      <c r="M74" s="14"/>
      <c r="N74" s="14"/>
      <c r="O74" s="14"/>
      <c r="P74" s="77"/>
      <c r="Q74" s="77"/>
      <c r="R74" s="77"/>
      <c r="S74" s="77"/>
      <c r="T74" s="77"/>
      <c r="U74" s="77"/>
      <c r="V74" s="77"/>
      <c r="W74" s="77"/>
      <c r="X74" s="77"/>
      <c r="Y74" s="77"/>
    </row>
    <row r="75" spans="1:25">
      <c r="A75" s="6"/>
      <c r="B75" s="8">
        <v>1.01</v>
      </c>
      <c r="C75" s="15">
        <v>5</v>
      </c>
      <c r="D75" s="7">
        <f t="shared" si="5"/>
        <v>5.05</v>
      </c>
      <c r="E75" s="7">
        <f t="shared" si="6"/>
        <v>1.0201</v>
      </c>
      <c r="F75" s="7">
        <f t="shared" si="6"/>
        <v>25</v>
      </c>
      <c r="G75" s="7">
        <f t="shared" si="7"/>
        <v>6.8297999999999996</v>
      </c>
      <c r="H75" s="7">
        <f t="shared" si="8"/>
        <v>1.8298000000000001</v>
      </c>
      <c r="I75" s="7">
        <f t="shared" si="9"/>
        <v>3.3481680400000005</v>
      </c>
      <c r="J75" s="77"/>
      <c r="K75" s="14"/>
      <c r="L75" s="14"/>
      <c r="M75" s="14"/>
      <c r="N75" s="14"/>
      <c r="O75" s="14"/>
      <c r="P75" s="77"/>
      <c r="Q75" s="77"/>
      <c r="R75" s="77"/>
      <c r="S75" s="77"/>
      <c r="T75" s="77"/>
      <c r="U75" s="77"/>
      <c r="V75" s="77"/>
      <c r="W75" s="77"/>
      <c r="X75" s="77"/>
      <c r="Y75" s="77"/>
    </row>
    <row r="76" spans="1:25">
      <c r="A76" s="6"/>
      <c r="B76" s="8">
        <v>1.01</v>
      </c>
      <c r="C76" s="15">
        <v>8</v>
      </c>
      <c r="D76" s="7">
        <f t="shared" si="5"/>
        <v>8.08</v>
      </c>
      <c r="E76" s="7">
        <f t="shared" si="6"/>
        <v>1.0201</v>
      </c>
      <c r="F76" s="7">
        <f t="shared" si="6"/>
        <v>64</v>
      </c>
      <c r="G76" s="7">
        <f t="shared" si="7"/>
        <v>6.8297999999999996</v>
      </c>
      <c r="H76" s="7">
        <f t="shared" si="8"/>
        <v>-1.1701999999999999</v>
      </c>
      <c r="I76" s="7">
        <f t="shared" si="9"/>
        <v>1.3693680399999997</v>
      </c>
      <c r="J76" s="77"/>
      <c r="K76" s="14"/>
      <c r="L76" s="14"/>
      <c r="M76" s="14"/>
      <c r="N76" s="14"/>
      <c r="O76" s="14"/>
      <c r="P76" s="77"/>
      <c r="Q76" s="77"/>
      <c r="R76" s="77"/>
      <c r="S76" s="77"/>
      <c r="T76" s="77"/>
      <c r="U76" s="77"/>
      <c r="V76" s="77"/>
      <c r="W76" s="77"/>
      <c r="X76" s="77"/>
      <c r="Y76" s="77"/>
    </row>
    <row r="77" spans="1:25">
      <c r="A77" s="6"/>
      <c r="B77" s="8">
        <v>1</v>
      </c>
      <c r="C77" s="15">
        <v>2</v>
      </c>
      <c r="D77" s="7">
        <f t="shared" si="5"/>
        <v>2</v>
      </c>
      <c r="E77" s="7">
        <f t="shared" si="6"/>
        <v>1</v>
      </c>
      <c r="F77" s="7">
        <f t="shared" si="6"/>
        <v>4</v>
      </c>
      <c r="G77" s="7">
        <f t="shared" si="7"/>
        <v>8.5769000000000002</v>
      </c>
      <c r="H77" s="7">
        <f t="shared" si="8"/>
        <v>6.5769000000000002</v>
      </c>
      <c r="I77" s="7">
        <f t="shared" si="9"/>
        <v>43.255613610000005</v>
      </c>
      <c r="J77" s="77"/>
      <c r="K77" s="29" t="s">
        <v>133</v>
      </c>
      <c r="L77" s="14">
        <f>P66</f>
        <v>59.309855218936917</v>
      </c>
      <c r="M77" s="14"/>
      <c r="N77" s="14"/>
      <c r="O77" s="14"/>
      <c r="P77" s="77"/>
      <c r="Q77" s="77"/>
      <c r="R77" s="77"/>
      <c r="S77" s="77"/>
      <c r="T77" s="77"/>
      <c r="U77" s="77"/>
      <c r="V77" s="77"/>
      <c r="W77" s="77"/>
      <c r="X77" s="77"/>
      <c r="Y77" s="77"/>
    </row>
    <row r="78" spans="1:25">
      <c r="A78" s="6"/>
      <c r="B78" s="8">
        <v>1</v>
      </c>
      <c r="C78" s="15">
        <v>4</v>
      </c>
      <c r="D78" s="7">
        <f t="shared" si="5"/>
        <v>4</v>
      </c>
      <c r="E78" s="7">
        <f t="shared" si="6"/>
        <v>1</v>
      </c>
      <c r="F78" s="7">
        <f t="shared" si="6"/>
        <v>16</v>
      </c>
      <c r="G78" s="7">
        <f t="shared" si="7"/>
        <v>8.5769000000000002</v>
      </c>
      <c r="H78" s="7">
        <f t="shared" si="8"/>
        <v>4.5769000000000002</v>
      </c>
      <c r="I78" s="7">
        <f t="shared" si="9"/>
        <v>20.94801361</v>
      </c>
      <c r="J78" s="77"/>
      <c r="K78" s="14"/>
      <c r="L78" s="14"/>
      <c r="M78" s="14"/>
      <c r="N78" s="14"/>
      <c r="O78" s="14"/>
      <c r="P78" s="77"/>
      <c r="Q78" s="77"/>
      <c r="R78" s="77"/>
      <c r="S78" s="77"/>
      <c r="T78" s="77"/>
      <c r="U78" s="77"/>
      <c r="V78" s="77"/>
      <c r="W78" s="77"/>
      <c r="X78" s="77"/>
      <c r="Y78" s="77"/>
    </row>
    <row r="79" spans="1:25">
      <c r="A79" s="6"/>
      <c r="B79" s="8">
        <v>1</v>
      </c>
      <c r="C79" s="15">
        <v>5</v>
      </c>
      <c r="D79" s="7">
        <f t="shared" si="5"/>
        <v>5</v>
      </c>
      <c r="E79" s="7">
        <f t="shared" si="6"/>
        <v>1</v>
      </c>
      <c r="F79" s="7">
        <f t="shared" si="6"/>
        <v>25</v>
      </c>
      <c r="G79" s="7">
        <f t="shared" si="7"/>
        <v>8.5769000000000002</v>
      </c>
      <c r="H79" s="7">
        <f t="shared" si="8"/>
        <v>3.5769000000000002</v>
      </c>
      <c r="I79" s="7">
        <f t="shared" si="9"/>
        <v>12.794213610000002</v>
      </c>
      <c r="J79" s="77"/>
      <c r="K79" s="14"/>
      <c r="L79" s="14"/>
      <c r="M79" s="14"/>
      <c r="N79" s="14"/>
      <c r="O79" s="14"/>
      <c r="P79" s="77"/>
      <c r="Q79" s="77"/>
      <c r="R79" s="77"/>
      <c r="S79" s="77"/>
      <c r="T79" s="77"/>
      <c r="U79" s="77"/>
      <c r="V79" s="77"/>
      <c r="W79" s="77"/>
      <c r="X79" s="77"/>
      <c r="Y79" s="77"/>
    </row>
    <row r="80" spans="1:25">
      <c r="A80" s="6"/>
      <c r="B80" s="8">
        <v>0.99</v>
      </c>
      <c r="C80" s="15">
        <v>3</v>
      </c>
      <c r="D80" s="7">
        <f t="shared" si="5"/>
        <v>2.9699999999999998</v>
      </c>
      <c r="E80" s="7">
        <f t="shared" si="6"/>
        <v>0.98009999999999997</v>
      </c>
      <c r="F80" s="7">
        <f t="shared" si="6"/>
        <v>9</v>
      </c>
      <c r="G80" s="7">
        <f t="shared" si="7"/>
        <v>10.324</v>
      </c>
      <c r="H80" s="7">
        <f t="shared" si="8"/>
        <v>7.3239999999999998</v>
      </c>
      <c r="I80" s="7">
        <f t="shared" si="9"/>
        <v>53.640975999999995</v>
      </c>
      <c r="J80" s="77"/>
      <c r="K80" s="14" t="str">
        <f>"f(0,05);("&amp;M66&amp;","&amp;M67&amp;")="</f>
        <v>f(0,05);(1,118)=</v>
      </c>
      <c r="L80" s="14">
        <f>ROUND(_xlfn.F.INV.RT(L73,M66,M67),4)</f>
        <v>3.9215</v>
      </c>
      <c r="M80" s="14"/>
      <c r="N80" s="14"/>
      <c r="O80" s="14"/>
      <c r="P80" s="77"/>
      <c r="Q80" s="77"/>
      <c r="R80" s="77"/>
      <c r="S80" s="77"/>
      <c r="T80" s="77"/>
      <c r="U80" s="77"/>
      <c r="V80" s="77"/>
      <c r="W80" s="77"/>
      <c r="X80" s="77"/>
      <c r="Y80" s="77"/>
    </row>
    <row r="81" spans="1:25">
      <c r="A81" s="6"/>
      <c r="B81" s="8">
        <v>0.98</v>
      </c>
      <c r="C81" s="15">
        <v>1</v>
      </c>
      <c r="D81" s="7">
        <f t="shared" si="5"/>
        <v>0.98</v>
      </c>
      <c r="E81" s="7">
        <f t="shared" si="6"/>
        <v>0.96039999999999992</v>
      </c>
      <c r="F81" s="7">
        <f t="shared" si="6"/>
        <v>1</v>
      </c>
      <c r="G81" s="7">
        <f t="shared" si="7"/>
        <v>12.071099999999999</v>
      </c>
      <c r="H81" s="7">
        <f t="shared" si="8"/>
        <v>11.071099999999999</v>
      </c>
      <c r="I81" s="7">
        <f t="shared" si="9"/>
        <v>122.56925520999999</v>
      </c>
      <c r="J81" s="77"/>
      <c r="K81" s="14"/>
      <c r="L81" s="14"/>
      <c r="M81" s="14"/>
      <c r="N81" s="14"/>
      <c r="O81" s="14"/>
      <c r="P81" s="77"/>
      <c r="Q81" s="77"/>
      <c r="R81" s="77"/>
      <c r="S81" s="77"/>
      <c r="T81" s="77"/>
      <c r="U81" s="77"/>
      <c r="V81" s="77"/>
      <c r="W81" s="77"/>
      <c r="X81" s="77"/>
      <c r="Y81" s="77"/>
    </row>
    <row r="82" spans="1:25">
      <c r="A82" s="6"/>
      <c r="B82" s="8">
        <v>0.97</v>
      </c>
      <c r="C82" s="15">
        <v>5</v>
      </c>
      <c r="D82" s="7">
        <f t="shared" si="5"/>
        <v>4.8499999999999996</v>
      </c>
      <c r="E82" s="7">
        <f t="shared" si="6"/>
        <v>0.94089999999999996</v>
      </c>
      <c r="F82" s="7">
        <f t="shared" si="6"/>
        <v>25</v>
      </c>
      <c r="G82" s="7">
        <f t="shared" si="7"/>
        <v>13.818199999999999</v>
      </c>
      <c r="H82" s="7">
        <f t="shared" si="8"/>
        <v>8.8181999999999992</v>
      </c>
      <c r="I82" s="7">
        <f t="shared" si="9"/>
        <v>77.760651239999987</v>
      </c>
      <c r="J82" s="77"/>
      <c r="K82" s="14" t="str">
        <f>IF(L80&lt;=L77, "R: Como  " &amp;ROUND(L80,4) &amp;" &lt; "&amp;ROUND(L77,4)&amp;" o modelo é significativo","R: Como  " &amp;ROUND(L80,4) &amp;" &gt; "&amp;ROUND(L77,4)&amp;" o modelo não é significativo" )</f>
        <v>R: Como  3,9215 &lt; 59,3099 o modelo é significativo</v>
      </c>
      <c r="L82" s="14"/>
      <c r="M82" s="14"/>
      <c r="N82" s="14"/>
      <c r="O82" s="14"/>
      <c r="P82" s="77"/>
      <c r="Q82" s="77"/>
      <c r="R82" s="77"/>
      <c r="S82" s="77"/>
      <c r="T82" s="77"/>
      <c r="U82" s="77"/>
      <c r="V82" s="77"/>
      <c r="W82" s="77"/>
      <c r="X82" s="77"/>
      <c r="Y82" s="77"/>
    </row>
    <row r="83" spans="1:25">
      <c r="A83" s="6"/>
      <c r="B83" s="8">
        <v>0.97</v>
      </c>
      <c r="C83" s="15">
        <v>1</v>
      </c>
      <c r="D83" s="7">
        <f t="shared" si="5"/>
        <v>0.97</v>
      </c>
      <c r="E83" s="7">
        <f t="shared" si="6"/>
        <v>0.94089999999999996</v>
      </c>
      <c r="F83" s="7">
        <f t="shared" si="6"/>
        <v>1</v>
      </c>
      <c r="G83" s="7">
        <f t="shared" si="7"/>
        <v>13.818199999999999</v>
      </c>
      <c r="H83" s="7">
        <f t="shared" si="8"/>
        <v>12.818199999999999</v>
      </c>
      <c r="I83" s="7">
        <f t="shared" si="9"/>
        <v>164.30625123999997</v>
      </c>
      <c r="J83" s="77"/>
      <c r="K83" s="14"/>
      <c r="L83" s="14"/>
      <c r="M83" s="14"/>
      <c r="N83" s="14"/>
      <c r="O83" s="14"/>
      <c r="P83" s="77"/>
      <c r="Q83" s="77"/>
      <c r="R83" s="77"/>
      <c r="S83" s="77"/>
      <c r="T83" s="77"/>
      <c r="U83" s="77"/>
      <c r="V83" s="77"/>
      <c r="W83" s="77"/>
      <c r="X83" s="77"/>
      <c r="Y83" s="77"/>
    </row>
    <row r="84" spans="1:25">
      <c r="A84" s="6"/>
      <c r="B84" s="8">
        <v>0.97</v>
      </c>
      <c r="C84" s="15">
        <v>4</v>
      </c>
      <c r="D84" s="7">
        <f t="shared" si="5"/>
        <v>3.88</v>
      </c>
      <c r="E84" s="7">
        <f t="shared" si="6"/>
        <v>0.94089999999999996</v>
      </c>
      <c r="F84" s="7">
        <f t="shared" si="6"/>
        <v>16</v>
      </c>
      <c r="G84" s="7">
        <f t="shared" si="7"/>
        <v>13.818199999999999</v>
      </c>
      <c r="H84" s="7">
        <f t="shared" si="8"/>
        <v>9.8181999999999992</v>
      </c>
      <c r="I84" s="7">
        <f t="shared" si="9"/>
        <v>96.397051239999982</v>
      </c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5">
      <c r="A85" s="6"/>
      <c r="B85" s="8">
        <v>0.96</v>
      </c>
      <c r="C85" s="15">
        <v>1</v>
      </c>
      <c r="D85" s="7">
        <f t="shared" si="5"/>
        <v>0.96</v>
      </c>
      <c r="E85" s="7">
        <f t="shared" si="6"/>
        <v>0.92159999999999997</v>
      </c>
      <c r="F85" s="7">
        <f t="shared" si="6"/>
        <v>1</v>
      </c>
      <c r="G85" s="7">
        <f t="shared" si="7"/>
        <v>15.565300000000001</v>
      </c>
      <c r="H85" s="7">
        <f t="shared" si="8"/>
        <v>14.565300000000001</v>
      </c>
      <c r="I85" s="7">
        <f t="shared" si="9"/>
        <v>212.14796409000002</v>
      </c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5">
      <c r="A86" s="6"/>
      <c r="B86" s="8">
        <v>0.96</v>
      </c>
      <c r="C86" s="15">
        <v>2</v>
      </c>
      <c r="D86" s="7">
        <f t="shared" si="5"/>
        <v>1.92</v>
      </c>
      <c r="E86" s="7">
        <f t="shared" si="6"/>
        <v>0.92159999999999997</v>
      </c>
      <c r="F86" s="7">
        <f t="shared" si="6"/>
        <v>4</v>
      </c>
      <c r="G86" s="7">
        <f t="shared" si="7"/>
        <v>15.565300000000001</v>
      </c>
      <c r="H86" s="7">
        <f t="shared" si="8"/>
        <v>13.565300000000001</v>
      </c>
      <c r="I86" s="7">
        <f t="shared" si="9"/>
        <v>184.01736409000003</v>
      </c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5">
      <c r="A87" s="6"/>
      <c r="B87" s="8">
        <v>0.94</v>
      </c>
      <c r="C87" s="15">
        <v>6</v>
      </c>
      <c r="D87" s="7">
        <f t="shared" si="5"/>
        <v>5.64</v>
      </c>
      <c r="E87" s="7">
        <f t="shared" si="6"/>
        <v>0.88359999999999994</v>
      </c>
      <c r="F87" s="7">
        <f t="shared" si="6"/>
        <v>36</v>
      </c>
      <c r="G87" s="7">
        <f t="shared" si="7"/>
        <v>19.0595</v>
      </c>
      <c r="H87" s="7">
        <f t="shared" si="8"/>
        <v>13.0595</v>
      </c>
      <c r="I87" s="7">
        <f t="shared" si="9"/>
        <v>170.55054024999998</v>
      </c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5">
      <c r="A88" s="6"/>
      <c r="B88" s="8">
        <v>0.92</v>
      </c>
      <c r="C88" s="15">
        <v>0</v>
      </c>
      <c r="D88" s="7">
        <f t="shared" si="5"/>
        <v>0</v>
      </c>
      <c r="E88" s="7">
        <f t="shared" si="6"/>
        <v>0.84640000000000004</v>
      </c>
      <c r="F88" s="7">
        <f t="shared" si="6"/>
        <v>0</v>
      </c>
      <c r="G88" s="7">
        <f t="shared" si="7"/>
        <v>22.553699999999999</v>
      </c>
      <c r="H88" s="7">
        <f t="shared" si="8"/>
        <v>22.553699999999999</v>
      </c>
      <c r="I88" s="7">
        <f t="shared" si="9"/>
        <v>508.66938368999996</v>
      </c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5">
      <c r="A89" s="6"/>
      <c r="B89" s="8">
        <v>0.91</v>
      </c>
      <c r="C89" s="15">
        <v>5</v>
      </c>
      <c r="D89" s="7">
        <f t="shared" si="5"/>
        <v>4.55</v>
      </c>
      <c r="E89" s="7">
        <f t="shared" si="6"/>
        <v>0.82810000000000006</v>
      </c>
      <c r="F89" s="7">
        <f t="shared" si="6"/>
        <v>25</v>
      </c>
      <c r="G89" s="7">
        <f t="shared" si="7"/>
        <v>24.300799999999999</v>
      </c>
      <c r="H89" s="7">
        <f t="shared" si="8"/>
        <v>19.300799999999999</v>
      </c>
      <c r="I89" s="7">
        <f t="shared" si="9"/>
        <v>372.52088063999997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5">
      <c r="A90" s="6"/>
      <c r="B90" s="8">
        <v>0.9</v>
      </c>
      <c r="C90" s="15">
        <v>3</v>
      </c>
      <c r="D90" s="7">
        <f t="shared" si="5"/>
        <v>2.7</v>
      </c>
      <c r="E90" s="7">
        <f t="shared" si="6"/>
        <v>0.81</v>
      </c>
      <c r="F90" s="7">
        <f t="shared" si="6"/>
        <v>9</v>
      </c>
      <c r="G90" s="7">
        <f t="shared" si="7"/>
        <v>26.047899999999998</v>
      </c>
      <c r="H90" s="7">
        <f t="shared" si="8"/>
        <v>23.047899999999998</v>
      </c>
      <c r="I90" s="7">
        <f t="shared" si="9"/>
        <v>531.20569440999998</v>
      </c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5">
      <c r="A91" s="6"/>
      <c r="B91" s="8">
        <v>0.89</v>
      </c>
      <c r="C91" s="15">
        <v>1</v>
      </c>
      <c r="D91" s="7">
        <f t="shared" si="5"/>
        <v>0.89</v>
      </c>
      <c r="E91" s="7">
        <f t="shared" si="6"/>
        <v>0.79210000000000003</v>
      </c>
      <c r="F91" s="7">
        <f t="shared" si="6"/>
        <v>1</v>
      </c>
      <c r="G91" s="7">
        <f t="shared" si="7"/>
        <v>27.795000000000002</v>
      </c>
      <c r="H91" s="7">
        <f t="shared" si="8"/>
        <v>26.795000000000002</v>
      </c>
      <c r="I91" s="7">
        <f t="shared" si="9"/>
        <v>717.97202500000014</v>
      </c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5">
      <c r="A92" s="6"/>
      <c r="B92" s="8">
        <v>0.88</v>
      </c>
      <c r="C92" s="15">
        <v>0</v>
      </c>
      <c r="D92" s="7">
        <f t="shared" si="5"/>
        <v>0</v>
      </c>
      <c r="E92" s="7">
        <f t="shared" si="6"/>
        <v>0.77439999999999998</v>
      </c>
      <c r="F92" s="7">
        <f t="shared" si="6"/>
        <v>0</v>
      </c>
      <c r="G92" s="7">
        <f t="shared" si="7"/>
        <v>29.542100000000001</v>
      </c>
      <c r="H92" s="7">
        <f t="shared" si="8"/>
        <v>29.542100000000001</v>
      </c>
      <c r="I92" s="7">
        <f t="shared" si="9"/>
        <v>872.73567241000012</v>
      </c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5">
      <c r="A93" s="6"/>
      <c r="B93" s="8">
        <v>0.87</v>
      </c>
      <c r="C93" s="15">
        <v>2</v>
      </c>
      <c r="D93" s="7">
        <f t="shared" si="5"/>
        <v>1.74</v>
      </c>
      <c r="E93" s="7">
        <f t="shared" si="6"/>
        <v>0.75690000000000002</v>
      </c>
      <c r="F93" s="7">
        <f t="shared" si="6"/>
        <v>4</v>
      </c>
      <c r="G93" s="7">
        <f t="shared" si="7"/>
        <v>31.289200000000001</v>
      </c>
      <c r="H93" s="7">
        <f t="shared" si="8"/>
        <v>29.289200000000001</v>
      </c>
      <c r="I93" s="7">
        <f t="shared" si="9"/>
        <v>857.85723664000011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5">
      <c r="A94" s="6"/>
      <c r="B94" s="8">
        <v>0.86</v>
      </c>
      <c r="C94" s="15">
        <v>1</v>
      </c>
      <c r="D94" s="7">
        <f t="shared" si="5"/>
        <v>0.86</v>
      </c>
      <c r="E94" s="7">
        <f t="shared" si="6"/>
        <v>0.73959999999999992</v>
      </c>
      <c r="F94" s="7">
        <f t="shared" si="6"/>
        <v>1</v>
      </c>
      <c r="G94" s="7">
        <f t="shared" si="7"/>
        <v>33.036299999999997</v>
      </c>
      <c r="H94" s="7">
        <f t="shared" si="8"/>
        <v>32.036299999999997</v>
      </c>
      <c r="I94" s="7">
        <f t="shared" si="9"/>
        <v>1026.3245176899998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5">
      <c r="A95" s="6"/>
      <c r="B95" s="8">
        <v>0.86</v>
      </c>
      <c r="C95" s="15">
        <v>0</v>
      </c>
      <c r="D95" s="7">
        <f t="shared" si="5"/>
        <v>0</v>
      </c>
      <c r="E95" s="7">
        <f t="shared" si="6"/>
        <v>0.73959999999999992</v>
      </c>
      <c r="F95" s="7">
        <f t="shared" si="6"/>
        <v>0</v>
      </c>
      <c r="G95" s="7">
        <f t="shared" si="7"/>
        <v>33.036299999999997</v>
      </c>
      <c r="H95" s="7">
        <f t="shared" si="8"/>
        <v>33.036299999999997</v>
      </c>
      <c r="I95" s="7">
        <f t="shared" si="9"/>
        <v>1091.3971176899997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5">
      <c r="A96" s="6"/>
      <c r="B96" s="8">
        <v>0.85</v>
      </c>
      <c r="C96" s="15">
        <v>4</v>
      </c>
      <c r="D96" s="7">
        <f t="shared" si="5"/>
        <v>3.4</v>
      </c>
      <c r="E96" s="7">
        <f t="shared" si="6"/>
        <v>0.72249999999999992</v>
      </c>
      <c r="F96" s="7">
        <f t="shared" si="6"/>
        <v>16</v>
      </c>
      <c r="G96" s="7">
        <f t="shared" si="7"/>
        <v>34.7834</v>
      </c>
      <c r="H96" s="7">
        <f t="shared" si="8"/>
        <v>30.7834</v>
      </c>
      <c r="I96" s="7">
        <f t="shared" si="9"/>
        <v>947.61771555999997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>
      <c r="A97" s="6"/>
      <c r="B97" s="8">
        <v>0.85</v>
      </c>
      <c r="C97" s="15">
        <v>2</v>
      </c>
      <c r="D97" s="7">
        <f t="shared" si="5"/>
        <v>1.7</v>
      </c>
      <c r="E97" s="7">
        <f t="shared" si="6"/>
        <v>0.72249999999999992</v>
      </c>
      <c r="F97" s="7">
        <f t="shared" si="6"/>
        <v>4</v>
      </c>
      <c r="G97" s="7">
        <f t="shared" si="7"/>
        <v>34.7834</v>
      </c>
      <c r="H97" s="7">
        <f t="shared" si="8"/>
        <v>32.7834</v>
      </c>
      <c r="I97" s="7">
        <f t="shared" si="9"/>
        <v>1074.75131556</v>
      </c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>
      <c r="A98" s="6"/>
      <c r="B98" s="8">
        <v>0.87</v>
      </c>
      <c r="C98" s="15">
        <v>5</v>
      </c>
      <c r="D98" s="7">
        <f t="shared" si="5"/>
        <v>4.3499999999999996</v>
      </c>
      <c r="E98" s="7">
        <f t="shared" si="6"/>
        <v>0.75690000000000002</v>
      </c>
      <c r="F98" s="7">
        <f t="shared" si="6"/>
        <v>25</v>
      </c>
      <c r="G98" s="7">
        <f t="shared" si="7"/>
        <v>31.289200000000001</v>
      </c>
      <c r="H98" s="7">
        <f t="shared" si="8"/>
        <v>26.289200000000001</v>
      </c>
      <c r="I98" s="7">
        <f t="shared" si="9"/>
        <v>691.12203664000003</v>
      </c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>
      <c r="A99" s="6"/>
      <c r="B99" s="8">
        <v>0.89</v>
      </c>
      <c r="C99" s="15">
        <v>1</v>
      </c>
      <c r="D99" s="7">
        <f t="shared" si="5"/>
        <v>0.89</v>
      </c>
      <c r="E99" s="7">
        <f t="shared" si="6"/>
        <v>0.79210000000000003</v>
      </c>
      <c r="F99" s="7">
        <f t="shared" si="6"/>
        <v>1</v>
      </c>
      <c r="G99" s="7">
        <f t="shared" si="7"/>
        <v>27.795000000000002</v>
      </c>
      <c r="H99" s="7">
        <f t="shared" si="8"/>
        <v>26.795000000000002</v>
      </c>
      <c r="I99" s="7">
        <f t="shared" si="9"/>
        <v>717.97202500000014</v>
      </c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>
      <c r="A100" s="6"/>
      <c r="B100" s="8">
        <v>0.91</v>
      </c>
      <c r="C100" s="15">
        <v>2</v>
      </c>
      <c r="D100" s="7">
        <f t="shared" si="5"/>
        <v>1.82</v>
      </c>
      <c r="E100" s="7">
        <f t="shared" si="6"/>
        <v>0.82810000000000006</v>
      </c>
      <c r="F100" s="7">
        <f t="shared" si="6"/>
        <v>4</v>
      </c>
      <c r="G100" s="7">
        <f t="shared" si="7"/>
        <v>24.300799999999999</v>
      </c>
      <c r="H100" s="7">
        <f t="shared" si="8"/>
        <v>22.300799999999999</v>
      </c>
      <c r="I100" s="7">
        <f t="shared" si="9"/>
        <v>497.32568063999997</v>
      </c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>
      <c r="A101" s="6"/>
      <c r="B101" s="8">
        <v>0.93</v>
      </c>
      <c r="C101" s="15">
        <v>1</v>
      </c>
      <c r="D101" s="7">
        <f t="shared" si="5"/>
        <v>0.93</v>
      </c>
      <c r="E101" s="7">
        <f t="shared" si="6"/>
        <v>0.86490000000000011</v>
      </c>
      <c r="F101" s="7">
        <f t="shared" si="6"/>
        <v>1</v>
      </c>
      <c r="G101" s="7">
        <f t="shared" si="7"/>
        <v>20.8066</v>
      </c>
      <c r="H101" s="7">
        <f t="shared" si="8"/>
        <v>19.8066</v>
      </c>
      <c r="I101" s="7">
        <f t="shared" si="9"/>
        <v>392.30140355999998</v>
      </c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>
      <c r="A102" s="6"/>
      <c r="B102" s="8">
        <v>0.95</v>
      </c>
      <c r="C102" s="15">
        <v>1</v>
      </c>
      <c r="D102" s="7">
        <f t="shared" si="5"/>
        <v>0.95</v>
      </c>
      <c r="E102" s="7">
        <f t="shared" si="6"/>
        <v>0.90249999999999997</v>
      </c>
      <c r="F102" s="7">
        <f t="shared" si="6"/>
        <v>1</v>
      </c>
      <c r="G102" s="7">
        <f t="shared" si="7"/>
        <v>17.3124</v>
      </c>
      <c r="H102" s="7">
        <f t="shared" si="8"/>
        <v>16.3124</v>
      </c>
      <c r="I102" s="7">
        <f t="shared" si="9"/>
        <v>266.09439376</v>
      </c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>
      <c r="A103" s="6"/>
      <c r="B103" s="8">
        <v>0.97</v>
      </c>
      <c r="C103" s="15">
        <v>1</v>
      </c>
      <c r="D103" s="7">
        <f t="shared" si="5"/>
        <v>0.97</v>
      </c>
      <c r="E103" s="7">
        <f t="shared" si="6"/>
        <v>0.94089999999999996</v>
      </c>
      <c r="F103" s="7">
        <f t="shared" si="6"/>
        <v>1</v>
      </c>
      <c r="G103" s="7">
        <f t="shared" si="7"/>
        <v>13.818199999999999</v>
      </c>
      <c r="H103" s="7">
        <f t="shared" si="8"/>
        <v>12.818199999999999</v>
      </c>
      <c r="I103" s="7">
        <f t="shared" si="9"/>
        <v>164.30625123999997</v>
      </c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>
      <c r="A104" s="6"/>
      <c r="B104" s="8">
        <v>1</v>
      </c>
      <c r="C104" s="15">
        <v>4</v>
      </c>
      <c r="D104" s="7">
        <f t="shared" si="5"/>
        <v>4</v>
      </c>
      <c r="E104" s="7">
        <f t="shared" si="6"/>
        <v>1</v>
      </c>
      <c r="F104" s="7">
        <f t="shared" si="6"/>
        <v>16</v>
      </c>
      <c r="G104" s="7">
        <f t="shared" si="7"/>
        <v>8.5769000000000002</v>
      </c>
      <c r="H104" s="7">
        <f t="shared" si="8"/>
        <v>4.5769000000000002</v>
      </c>
      <c r="I104" s="7">
        <f t="shared" si="9"/>
        <v>20.94801361</v>
      </c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>
      <c r="A105" s="6"/>
      <c r="B105" s="8">
        <v>1.02</v>
      </c>
      <c r="C105" s="15">
        <v>1</v>
      </c>
      <c r="D105" s="7">
        <f t="shared" si="5"/>
        <v>1.02</v>
      </c>
      <c r="E105" s="7">
        <f t="shared" si="6"/>
        <v>1.0404</v>
      </c>
      <c r="F105" s="7">
        <f t="shared" si="6"/>
        <v>1</v>
      </c>
      <c r="G105" s="7">
        <f t="shared" si="7"/>
        <v>5.0827</v>
      </c>
      <c r="H105" s="7">
        <f t="shared" si="8"/>
        <v>4.0827</v>
      </c>
      <c r="I105" s="7">
        <f t="shared" si="9"/>
        <v>16.668439289999998</v>
      </c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>
      <c r="A106" s="6"/>
      <c r="B106" s="8">
        <v>1.04</v>
      </c>
      <c r="C106" s="15">
        <v>0</v>
      </c>
      <c r="D106" s="7">
        <f t="shared" si="5"/>
        <v>0</v>
      </c>
      <c r="E106" s="7">
        <f t="shared" si="6"/>
        <v>1.0816000000000001</v>
      </c>
      <c r="F106" s="7">
        <f t="shared" si="6"/>
        <v>0</v>
      </c>
      <c r="G106" s="7">
        <f t="shared" si="7"/>
        <v>1.5885</v>
      </c>
      <c r="H106" s="7">
        <f t="shared" si="8"/>
        <v>1.5885</v>
      </c>
      <c r="I106" s="7">
        <f t="shared" si="9"/>
        <v>2.5233322500000002</v>
      </c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>
      <c r="A107" s="6"/>
      <c r="B107" s="8">
        <v>1.05</v>
      </c>
      <c r="C107" s="15">
        <v>7</v>
      </c>
      <c r="D107" s="7">
        <f t="shared" si="5"/>
        <v>7.3500000000000005</v>
      </c>
      <c r="E107" s="7">
        <f t="shared" si="6"/>
        <v>1.1025</v>
      </c>
      <c r="F107" s="7">
        <f t="shared" si="6"/>
        <v>49</v>
      </c>
      <c r="G107" s="7">
        <f t="shared" si="7"/>
        <v>-0.15859999999999999</v>
      </c>
      <c r="H107" s="7">
        <f t="shared" si="8"/>
        <v>-7.1585999999999999</v>
      </c>
      <c r="I107" s="7">
        <f t="shared" si="9"/>
        <v>51.245553959999995</v>
      </c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>
      <c r="A108" s="6"/>
      <c r="B108" s="8">
        <v>1.06</v>
      </c>
      <c r="C108" s="15">
        <v>1</v>
      </c>
      <c r="D108" s="7">
        <f t="shared" si="5"/>
        <v>1.06</v>
      </c>
      <c r="E108" s="7">
        <f t="shared" si="6"/>
        <v>1.1236000000000002</v>
      </c>
      <c r="F108" s="7">
        <f t="shared" si="6"/>
        <v>1</v>
      </c>
      <c r="G108" s="7">
        <f t="shared" si="7"/>
        <v>-1.9056999999999999</v>
      </c>
      <c r="H108" s="7">
        <f t="shared" si="8"/>
        <v>-2.9056999999999999</v>
      </c>
      <c r="I108" s="7">
        <f t="shared" si="9"/>
        <v>8.4430924899999997</v>
      </c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>
      <c r="A109" s="6"/>
      <c r="B109" s="8">
        <v>1.07</v>
      </c>
      <c r="C109" s="15">
        <v>2</v>
      </c>
      <c r="D109" s="7">
        <f t="shared" si="5"/>
        <v>2.14</v>
      </c>
      <c r="E109" s="7">
        <f t="shared" si="6"/>
        <v>1.1449</v>
      </c>
      <c r="F109" s="7">
        <f t="shared" si="6"/>
        <v>4</v>
      </c>
      <c r="G109" s="7">
        <f t="shared" si="7"/>
        <v>-3.6528</v>
      </c>
      <c r="H109" s="7">
        <f t="shared" si="8"/>
        <v>-5.6528</v>
      </c>
      <c r="I109" s="7">
        <f t="shared" si="9"/>
        <v>31.954147840000001</v>
      </c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>
      <c r="A110" s="6"/>
      <c r="B110" s="8">
        <v>1.08</v>
      </c>
      <c r="C110" s="15">
        <v>2</v>
      </c>
      <c r="D110" s="7">
        <f t="shared" si="5"/>
        <v>2.16</v>
      </c>
      <c r="E110" s="7">
        <f t="shared" si="6"/>
        <v>1.1664000000000001</v>
      </c>
      <c r="F110" s="7">
        <f t="shared" si="6"/>
        <v>4</v>
      </c>
      <c r="G110" s="7">
        <f t="shared" si="7"/>
        <v>-5.3998999999999997</v>
      </c>
      <c r="H110" s="7">
        <f t="shared" si="8"/>
        <v>-7.3998999999999997</v>
      </c>
      <c r="I110" s="7">
        <f t="shared" si="9"/>
        <v>54.758520009999998</v>
      </c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>
      <c r="A111" s="6"/>
      <c r="B111" s="8">
        <v>1.0900000000000001</v>
      </c>
      <c r="C111" s="15">
        <v>2</v>
      </c>
      <c r="D111" s="7">
        <f t="shared" si="5"/>
        <v>2.1800000000000002</v>
      </c>
      <c r="E111" s="7">
        <f t="shared" si="6"/>
        <v>1.1881000000000002</v>
      </c>
      <c r="F111" s="7">
        <f t="shared" si="6"/>
        <v>4</v>
      </c>
      <c r="G111" s="7">
        <f t="shared" si="7"/>
        <v>-7.1470000000000002</v>
      </c>
      <c r="H111" s="7">
        <f t="shared" si="8"/>
        <v>-9.1470000000000002</v>
      </c>
      <c r="I111" s="7">
        <f t="shared" si="9"/>
        <v>83.667608999999999</v>
      </c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>
      <c r="A112" s="6"/>
      <c r="B112" s="8">
        <v>1.1000000000000001</v>
      </c>
      <c r="C112" s="15">
        <v>1</v>
      </c>
      <c r="D112" s="7">
        <f t="shared" si="5"/>
        <v>1.1000000000000001</v>
      </c>
      <c r="E112" s="7">
        <f t="shared" si="6"/>
        <v>1.2100000000000002</v>
      </c>
      <c r="F112" s="7">
        <f t="shared" si="6"/>
        <v>1</v>
      </c>
      <c r="G112" s="7">
        <f t="shared" si="7"/>
        <v>-8.8940999999999999</v>
      </c>
      <c r="H112" s="7">
        <f t="shared" si="8"/>
        <v>-9.8940999999999999</v>
      </c>
      <c r="I112" s="7">
        <f t="shared" si="9"/>
        <v>97.893214810000003</v>
      </c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>
      <c r="A113" s="6"/>
      <c r="B113" s="8">
        <v>1.1200000000000001</v>
      </c>
      <c r="C113" s="15">
        <v>3</v>
      </c>
      <c r="D113" s="7">
        <f t="shared" si="5"/>
        <v>3.3600000000000003</v>
      </c>
      <c r="E113" s="7">
        <f t="shared" si="6"/>
        <v>1.2544000000000002</v>
      </c>
      <c r="F113" s="7">
        <f t="shared" si="6"/>
        <v>9</v>
      </c>
      <c r="G113" s="7">
        <f t="shared" si="7"/>
        <v>-12.388299999999999</v>
      </c>
      <c r="H113" s="7">
        <f t="shared" si="8"/>
        <v>-15.388299999999999</v>
      </c>
      <c r="I113" s="7">
        <f t="shared" si="9"/>
        <v>236.79977688999998</v>
      </c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>
      <c r="A114" s="6"/>
      <c r="B114" s="8">
        <v>1.1200000000000001</v>
      </c>
      <c r="C114" s="15">
        <v>0</v>
      </c>
      <c r="D114" s="7">
        <f t="shared" si="5"/>
        <v>0</v>
      </c>
      <c r="E114" s="7">
        <f t="shared" si="6"/>
        <v>1.2544000000000002</v>
      </c>
      <c r="F114" s="7">
        <f t="shared" si="6"/>
        <v>0</v>
      </c>
      <c r="G114" s="7">
        <f t="shared" si="7"/>
        <v>-12.388299999999999</v>
      </c>
      <c r="H114" s="7">
        <f t="shared" si="8"/>
        <v>-12.388299999999999</v>
      </c>
      <c r="I114" s="7">
        <f t="shared" si="9"/>
        <v>153.46997688999997</v>
      </c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>
      <c r="A115" s="6"/>
      <c r="B115" s="8">
        <v>1.1200000000000001</v>
      </c>
      <c r="C115" s="15">
        <v>0</v>
      </c>
      <c r="D115" s="7">
        <f t="shared" si="5"/>
        <v>0</v>
      </c>
      <c r="E115" s="7">
        <f t="shared" si="6"/>
        <v>1.2544000000000002</v>
      </c>
      <c r="F115" s="7">
        <f t="shared" si="6"/>
        <v>0</v>
      </c>
      <c r="G115" s="7">
        <f t="shared" si="7"/>
        <v>-12.388299999999999</v>
      </c>
      <c r="H115" s="7">
        <f t="shared" si="8"/>
        <v>-12.388299999999999</v>
      </c>
      <c r="I115" s="7">
        <f t="shared" si="9"/>
        <v>153.46997688999997</v>
      </c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>
      <c r="A116" s="6"/>
      <c r="B116" s="8">
        <v>1.1100000000000001</v>
      </c>
      <c r="C116" s="15">
        <v>1</v>
      </c>
      <c r="D116" s="7">
        <f t="shared" si="5"/>
        <v>1.1100000000000001</v>
      </c>
      <c r="E116" s="7">
        <f t="shared" si="6"/>
        <v>1.2321000000000002</v>
      </c>
      <c r="F116" s="7">
        <f t="shared" si="6"/>
        <v>1</v>
      </c>
      <c r="G116" s="7">
        <f t="shared" si="7"/>
        <v>-10.6412</v>
      </c>
      <c r="H116" s="7">
        <f t="shared" si="8"/>
        <v>-11.6412</v>
      </c>
      <c r="I116" s="7">
        <f t="shared" si="9"/>
        <v>135.51753743999998</v>
      </c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>
      <c r="A117" s="6"/>
      <c r="B117" s="8">
        <v>1.1200000000000001</v>
      </c>
      <c r="C117" s="15">
        <v>3</v>
      </c>
      <c r="D117" s="7">
        <f t="shared" si="5"/>
        <v>3.3600000000000003</v>
      </c>
      <c r="E117" s="7">
        <f t="shared" si="6"/>
        <v>1.2544000000000002</v>
      </c>
      <c r="F117" s="7">
        <f t="shared" si="6"/>
        <v>9</v>
      </c>
      <c r="G117" s="7">
        <f t="shared" si="7"/>
        <v>-12.388299999999999</v>
      </c>
      <c r="H117" s="7">
        <f t="shared" si="8"/>
        <v>-15.388299999999999</v>
      </c>
      <c r="I117" s="7">
        <f t="shared" si="9"/>
        <v>236.79977688999998</v>
      </c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>
      <c r="A118" s="6"/>
      <c r="B118" s="8">
        <v>1.1299999999999999</v>
      </c>
      <c r="C118" s="15">
        <v>1</v>
      </c>
      <c r="D118" s="7">
        <f t="shared" si="5"/>
        <v>1.1299999999999999</v>
      </c>
      <c r="E118" s="7">
        <f t="shared" si="6"/>
        <v>1.2768999999999997</v>
      </c>
      <c r="F118" s="7">
        <f t="shared" si="6"/>
        <v>1</v>
      </c>
      <c r="G118" s="7">
        <f t="shared" si="7"/>
        <v>-14.135400000000001</v>
      </c>
      <c r="H118" s="7">
        <f t="shared" si="8"/>
        <v>-15.135400000000001</v>
      </c>
      <c r="I118" s="7">
        <f t="shared" si="9"/>
        <v>229.08033316000001</v>
      </c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>
      <c r="A119" s="6"/>
      <c r="B119" s="8">
        <v>1.1399999999999999</v>
      </c>
      <c r="C119" s="15">
        <v>0</v>
      </c>
      <c r="D119" s="7">
        <f t="shared" si="5"/>
        <v>0</v>
      </c>
      <c r="E119" s="7">
        <f t="shared" si="6"/>
        <v>1.2995999999999999</v>
      </c>
      <c r="F119" s="7">
        <f t="shared" si="6"/>
        <v>0</v>
      </c>
      <c r="G119" s="7">
        <f t="shared" si="7"/>
        <v>-15.8825</v>
      </c>
      <c r="H119" s="7">
        <f t="shared" si="8"/>
        <v>-15.8825</v>
      </c>
      <c r="I119" s="7">
        <f t="shared" si="9"/>
        <v>252.25380625</v>
      </c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>
      <c r="A120" s="6"/>
      <c r="B120" s="8">
        <v>1.1599999999999999</v>
      </c>
      <c r="C120" s="15">
        <v>1</v>
      </c>
      <c r="D120" s="7">
        <f t="shared" si="5"/>
        <v>1.1599999999999999</v>
      </c>
      <c r="E120" s="7">
        <f t="shared" si="6"/>
        <v>1.3455999999999999</v>
      </c>
      <c r="F120" s="7">
        <f t="shared" si="6"/>
        <v>1</v>
      </c>
      <c r="G120" s="7">
        <f t="shared" si="7"/>
        <v>-19.3767</v>
      </c>
      <c r="H120" s="7">
        <f t="shared" si="8"/>
        <v>-20.3767</v>
      </c>
      <c r="I120" s="7">
        <f t="shared" si="9"/>
        <v>415.20990288999997</v>
      </c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>
      <c r="A121" s="6"/>
      <c r="B121" s="8">
        <v>1.1599999999999999</v>
      </c>
      <c r="C121" s="15">
        <v>0</v>
      </c>
      <c r="D121" s="7">
        <f t="shared" si="5"/>
        <v>0</v>
      </c>
      <c r="E121" s="7">
        <f t="shared" si="6"/>
        <v>1.3455999999999999</v>
      </c>
      <c r="F121" s="7">
        <f t="shared" si="6"/>
        <v>0</v>
      </c>
      <c r="G121" s="7">
        <f t="shared" si="7"/>
        <v>-19.3767</v>
      </c>
      <c r="H121" s="7">
        <f t="shared" si="8"/>
        <v>-19.3767</v>
      </c>
      <c r="I121" s="7">
        <f t="shared" si="9"/>
        <v>375.45650288999997</v>
      </c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>
      <c r="A122" s="6"/>
      <c r="B122" s="8">
        <v>1.1599999999999999</v>
      </c>
      <c r="C122" s="15">
        <v>0</v>
      </c>
      <c r="D122" s="7">
        <f t="shared" si="5"/>
        <v>0</v>
      </c>
      <c r="E122" s="7">
        <f t="shared" si="6"/>
        <v>1.3455999999999999</v>
      </c>
      <c r="F122" s="7">
        <f t="shared" si="6"/>
        <v>0</v>
      </c>
      <c r="G122" s="7">
        <f t="shared" si="7"/>
        <v>-19.3767</v>
      </c>
      <c r="H122" s="7">
        <f t="shared" si="8"/>
        <v>-19.3767</v>
      </c>
      <c r="I122" s="7">
        <f t="shared" si="9"/>
        <v>375.45650288999997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>
      <c r="A123" s="6"/>
      <c r="B123" s="9">
        <v>1.1599999999999999</v>
      </c>
      <c r="C123" s="15">
        <v>2</v>
      </c>
      <c r="D123" s="4">
        <f t="shared" si="5"/>
        <v>2.3199999999999998</v>
      </c>
      <c r="E123" s="7">
        <f t="shared" si="6"/>
        <v>1.3455999999999999</v>
      </c>
      <c r="F123" s="7">
        <f t="shared" si="6"/>
        <v>4</v>
      </c>
      <c r="G123" s="7">
        <f t="shared" si="7"/>
        <v>-19.3767</v>
      </c>
      <c r="H123" s="7">
        <f t="shared" si="8"/>
        <v>-21.3767</v>
      </c>
      <c r="I123" s="7">
        <f t="shared" si="9"/>
        <v>456.96330288999997</v>
      </c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>
      <c r="A124" s="4" t="s">
        <v>18</v>
      </c>
      <c r="B124" s="4">
        <f t="shared" ref="B124" si="10">SUM(B4:B123)</f>
        <v>99.889999999999986</v>
      </c>
      <c r="C124" s="4">
        <f t="shared" ref="C124:I124" si="11">SUM(C4:C123)</f>
        <v>4543</v>
      </c>
      <c r="D124" s="4">
        <f t="shared" si="11"/>
        <v>2777.5099999999979</v>
      </c>
      <c r="E124" s="4">
        <f t="shared" si="11"/>
        <v>88.893900000000031</v>
      </c>
      <c r="F124" s="4">
        <f t="shared" si="11"/>
        <v>696425</v>
      </c>
      <c r="G124" s="4">
        <f t="shared" si="11"/>
        <v>4542.641700000001</v>
      </c>
      <c r="H124" s="4">
        <f t="shared" si="11"/>
        <v>-0.35830000000055406</v>
      </c>
      <c r="I124" s="4">
        <f t="shared" si="11"/>
        <v>348882.74426269025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</row>
    <row r="126" spans="1:20">
      <c r="A126" s="6"/>
      <c r="B126" s="15"/>
      <c r="C126" s="6"/>
      <c r="D126" s="6"/>
      <c r="E126" s="6"/>
      <c r="F126" s="6"/>
      <c r="G126" s="15"/>
      <c r="H126" s="15"/>
      <c r="I126" s="1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</row>
    <row r="128" spans="1:20">
      <c r="A128" s="6"/>
      <c r="B128" s="3"/>
      <c r="C128" s="3"/>
      <c r="D128" s="3"/>
      <c r="E128" s="3"/>
      <c r="F128" s="3"/>
      <c r="G128" s="3"/>
      <c r="H128" s="15"/>
      <c r="I128" s="1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>
      <c r="A129" s="6"/>
      <c r="B129" s="2" t="s">
        <v>9</v>
      </c>
      <c r="C129" s="2" t="s">
        <v>10</v>
      </c>
      <c r="D129" s="2" t="s">
        <v>11</v>
      </c>
      <c r="E129" s="2" t="s">
        <v>12</v>
      </c>
      <c r="F129" s="2" t="s">
        <v>13</v>
      </c>
      <c r="G129" s="2"/>
      <c r="H129" s="4"/>
      <c r="I129" s="4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>
      <c r="A130" s="6"/>
      <c r="B130" s="4" t="s">
        <v>4</v>
      </c>
      <c r="C130" s="15" t="s">
        <v>2</v>
      </c>
      <c r="D130" s="4"/>
      <c r="E130" s="2"/>
      <c r="F130" s="4"/>
      <c r="G130" s="4"/>
      <c r="H130" s="4"/>
      <c r="I130" s="4"/>
      <c r="J130" s="6"/>
      <c r="K130" s="80" t="s">
        <v>15</v>
      </c>
      <c r="L130" s="80"/>
      <c r="M130" s="6" t="s">
        <v>29</v>
      </c>
      <c r="N130" s="6"/>
      <c r="O130" s="6"/>
      <c r="P130" s="6"/>
      <c r="Q130" s="6"/>
      <c r="R130" s="6"/>
      <c r="S130" s="6"/>
      <c r="T130" s="6"/>
    </row>
    <row r="131" spans="1:20">
      <c r="A131" s="6"/>
      <c r="B131" s="15">
        <v>865</v>
      </c>
      <c r="C131" s="15">
        <v>275</v>
      </c>
      <c r="D131" s="7">
        <f>B131*C131</f>
        <v>237875</v>
      </c>
      <c r="E131" s="7">
        <f>B131^2</f>
        <v>748225</v>
      </c>
      <c r="F131" s="7">
        <f>C131^2</f>
        <v>75625</v>
      </c>
      <c r="G131" s="7">
        <f>ROUND($M$178+$M$175*B131,4)</f>
        <v>166.3092</v>
      </c>
      <c r="H131" s="7">
        <f>ROUND(G131-C131,4)</f>
        <v>-108.6908</v>
      </c>
      <c r="I131" s="7">
        <f>H131^2</f>
        <v>11813.690004639999</v>
      </c>
      <c r="J131" s="6"/>
      <c r="K131" s="80" t="s">
        <v>14</v>
      </c>
      <c r="L131" s="80"/>
      <c r="M131" s="80" t="s">
        <v>23</v>
      </c>
      <c r="N131" s="80"/>
      <c r="O131" s="6"/>
      <c r="P131" s="6"/>
      <c r="Q131" s="6"/>
      <c r="R131" s="6"/>
      <c r="S131" s="6"/>
      <c r="T131" s="6"/>
    </row>
    <row r="132" spans="1:20">
      <c r="A132" s="6"/>
      <c r="B132" s="15">
        <v>852</v>
      </c>
      <c r="C132" s="15">
        <v>260</v>
      </c>
      <c r="D132" s="7">
        <f t="shared" ref="D132:D195" si="12">B132*C132</f>
        <v>221520</v>
      </c>
      <c r="E132" s="7">
        <f t="shared" ref="E132:F195" si="13">B132^2</f>
        <v>725904</v>
      </c>
      <c r="F132" s="7">
        <f t="shared" si="13"/>
        <v>67600</v>
      </c>
      <c r="G132" s="7">
        <f t="shared" ref="G132:G195" si="14">ROUND($M$178+$M$175*B132,4)</f>
        <v>163.45050000000001</v>
      </c>
      <c r="H132" s="7">
        <f t="shared" ref="H132:H195" si="15">ROUND(G132-C132,4)</f>
        <v>-96.549499999999995</v>
      </c>
      <c r="I132" s="7">
        <f t="shared" ref="I132:I195" si="16">H132^2</f>
        <v>9321.8059502499982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>
      <c r="A133" s="6"/>
      <c r="B133" s="15">
        <v>877</v>
      </c>
      <c r="C133" s="15">
        <v>240</v>
      </c>
      <c r="D133" s="7">
        <f t="shared" si="12"/>
        <v>210480</v>
      </c>
      <c r="E133" s="7">
        <f t="shared" si="13"/>
        <v>769129</v>
      </c>
      <c r="F133" s="7">
        <f t="shared" si="13"/>
        <v>57600</v>
      </c>
      <c r="G133" s="7">
        <f t="shared" si="14"/>
        <v>168.94800000000001</v>
      </c>
      <c r="H133" s="7">
        <f t="shared" si="15"/>
        <v>-71.052000000000007</v>
      </c>
      <c r="I133" s="7">
        <f t="shared" si="16"/>
        <v>5048.3867040000014</v>
      </c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>
      <c r="A134" s="6"/>
      <c r="B134" s="15">
        <v>863</v>
      </c>
      <c r="C134" s="15">
        <v>225</v>
      </c>
      <c r="D134" s="7">
        <f t="shared" si="12"/>
        <v>194175</v>
      </c>
      <c r="E134" s="7">
        <f t="shared" si="13"/>
        <v>744769</v>
      </c>
      <c r="F134" s="7">
        <f t="shared" si="13"/>
        <v>50625</v>
      </c>
      <c r="G134" s="7">
        <f t="shared" si="14"/>
        <v>165.86940000000001</v>
      </c>
      <c r="H134" s="7">
        <f t="shared" si="15"/>
        <v>-59.130600000000001</v>
      </c>
      <c r="I134" s="7">
        <f t="shared" si="16"/>
        <v>3496.4278563600001</v>
      </c>
      <c r="J134" s="6"/>
      <c r="K134" s="80"/>
      <c r="L134" s="80"/>
      <c r="M134" s="6"/>
      <c r="N134" s="6"/>
      <c r="O134" s="6"/>
      <c r="P134" s="6"/>
      <c r="Q134" s="6"/>
      <c r="R134" s="6"/>
      <c r="S134" s="6"/>
      <c r="T134" s="6"/>
    </row>
    <row r="135" spans="1:20">
      <c r="A135" s="6"/>
      <c r="B135" s="15">
        <v>904</v>
      </c>
      <c r="C135" s="15">
        <v>258</v>
      </c>
      <c r="D135" s="7">
        <f t="shared" si="12"/>
        <v>233232</v>
      </c>
      <c r="E135" s="7">
        <f t="shared" si="13"/>
        <v>817216</v>
      </c>
      <c r="F135" s="7">
        <f t="shared" si="13"/>
        <v>66564</v>
      </c>
      <c r="G135" s="7">
        <f t="shared" si="14"/>
        <v>174.8853</v>
      </c>
      <c r="H135" s="7">
        <f t="shared" si="15"/>
        <v>-83.114699999999999</v>
      </c>
      <c r="I135" s="7">
        <f t="shared" si="16"/>
        <v>6908.0533560900003</v>
      </c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>
      <c r="A136" s="6"/>
      <c r="B136" s="15">
        <v>891</v>
      </c>
      <c r="C136" s="15">
        <v>214</v>
      </c>
      <c r="D136" s="7">
        <f t="shared" si="12"/>
        <v>190674</v>
      </c>
      <c r="E136" s="7">
        <f t="shared" si="13"/>
        <v>793881</v>
      </c>
      <c r="F136" s="7">
        <f t="shared" si="13"/>
        <v>45796</v>
      </c>
      <c r="G136" s="7">
        <f t="shared" si="14"/>
        <v>172.0266</v>
      </c>
      <c r="H136" s="7">
        <f t="shared" si="15"/>
        <v>-41.973399999999998</v>
      </c>
      <c r="I136" s="7">
        <f t="shared" si="16"/>
        <v>1761.7663075599999</v>
      </c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>
      <c r="A137" s="6"/>
      <c r="B137" s="15">
        <v>865</v>
      </c>
      <c r="C137" s="15">
        <v>204</v>
      </c>
      <c r="D137" s="7">
        <f t="shared" si="12"/>
        <v>176460</v>
      </c>
      <c r="E137" s="7">
        <f t="shared" si="13"/>
        <v>748225</v>
      </c>
      <c r="F137" s="7">
        <f t="shared" si="13"/>
        <v>41616</v>
      </c>
      <c r="G137" s="7">
        <f t="shared" si="14"/>
        <v>166.3092</v>
      </c>
      <c r="H137" s="7">
        <f t="shared" si="15"/>
        <v>-37.690800000000003</v>
      </c>
      <c r="I137" s="7">
        <f t="shared" si="16"/>
        <v>1420.5964046400002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>
      <c r="A138" s="6"/>
      <c r="B138" s="15">
        <v>877</v>
      </c>
      <c r="C138" s="15">
        <v>196</v>
      </c>
      <c r="D138" s="7">
        <f t="shared" si="12"/>
        <v>171892</v>
      </c>
      <c r="E138" s="7">
        <f t="shared" si="13"/>
        <v>769129</v>
      </c>
      <c r="F138" s="7">
        <f t="shared" si="13"/>
        <v>38416</v>
      </c>
      <c r="G138" s="7">
        <f t="shared" si="14"/>
        <v>168.94800000000001</v>
      </c>
      <c r="H138" s="7">
        <f t="shared" si="15"/>
        <v>-27.052</v>
      </c>
      <c r="I138" s="7">
        <f t="shared" si="16"/>
        <v>731.81070399999999</v>
      </c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>
      <c r="A139" s="6"/>
      <c r="B139" s="15">
        <v>862</v>
      </c>
      <c r="C139" s="15">
        <v>203</v>
      </c>
      <c r="D139" s="7">
        <f t="shared" si="12"/>
        <v>174986</v>
      </c>
      <c r="E139" s="7">
        <f t="shared" si="13"/>
        <v>743044</v>
      </c>
      <c r="F139" s="7">
        <f t="shared" si="13"/>
        <v>41209</v>
      </c>
      <c r="G139" s="7">
        <f t="shared" si="14"/>
        <v>165.64949999999999</v>
      </c>
      <c r="H139" s="7">
        <f t="shared" si="15"/>
        <v>-37.350499999999997</v>
      </c>
      <c r="I139" s="7">
        <f t="shared" si="16"/>
        <v>1395.0598502499997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>
      <c r="A140" s="6"/>
      <c r="B140" s="15">
        <v>853</v>
      </c>
      <c r="C140" s="15">
        <v>161</v>
      </c>
      <c r="D140" s="7">
        <f t="shared" si="12"/>
        <v>137333</v>
      </c>
      <c r="E140" s="7">
        <f t="shared" si="13"/>
        <v>727609</v>
      </c>
      <c r="F140" s="7">
        <f t="shared" si="13"/>
        <v>25921</v>
      </c>
      <c r="G140" s="7">
        <f t="shared" si="14"/>
        <v>163.6704</v>
      </c>
      <c r="H140" s="7">
        <f t="shared" si="15"/>
        <v>2.6703999999999999</v>
      </c>
      <c r="I140" s="7">
        <f t="shared" si="16"/>
        <v>7.131036159999999</v>
      </c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>
      <c r="A141" s="6"/>
      <c r="B141" s="15">
        <v>836</v>
      </c>
      <c r="C141" s="15">
        <v>167</v>
      </c>
      <c r="D141" s="7">
        <f t="shared" si="12"/>
        <v>139612</v>
      </c>
      <c r="E141" s="7">
        <f t="shared" si="13"/>
        <v>698896</v>
      </c>
      <c r="F141" s="7">
        <f t="shared" si="13"/>
        <v>27889</v>
      </c>
      <c r="G141" s="7">
        <f t="shared" si="14"/>
        <v>159.93209999999999</v>
      </c>
      <c r="H141" s="7">
        <f t="shared" si="15"/>
        <v>-7.0678999999999998</v>
      </c>
      <c r="I141" s="7">
        <f t="shared" si="16"/>
        <v>49.955210409999999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>
      <c r="A142" s="6"/>
      <c r="B142" s="15">
        <v>846</v>
      </c>
      <c r="C142" s="15">
        <v>149</v>
      </c>
      <c r="D142" s="7">
        <f t="shared" si="12"/>
        <v>126054</v>
      </c>
      <c r="E142" s="7">
        <f t="shared" si="13"/>
        <v>715716</v>
      </c>
      <c r="F142" s="7">
        <f t="shared" si="13"/>
        <v>22201</v>
      </c>
      <c r="G142" s="7">
        <f t="shared" si="14"/>
        <v>162.1311</v>
      </c>
      <c r="H142" s="7">
        <f t="shared" si="15"/>
        <v>13.1311</v>
      </c>
      <c r="I142" s="7">
        <f t="shared" si="16"/>
        <v>172.42578721000001</v>
      </c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>
      <c r="A143" s="6"/>
      <c r="B143" s="15">
        <v>803</v>
      </c>
      <c r="C143" s="15">
        <v>149</v>
      </c>
      <c r="D143" s="7">
        <f t="shared" si="12"/>
        <v>119647</v>
      </c>
      <c r="E143" s="7">
        <f t="shared" si="13"/>
        <v>644809</v>
      </c>
      <c r="F143" s="7">
        <f t="shared" si="13"/>
        <v>22201</v>
      </c>
      <c r="G143" s="7">
        <f t="shared" si="14"/>
        <v>152.6754</v>
      </c>
      <c r="H143" s="7">
        <f t="shared" si="15"/>
        <v>3.6753999999999998</v>
      </c>
      <c r="I143" s="7">
        <f t="shared" si="16"/>
        <v>13.508565159999998</v>
      </c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>
      <c r="A144" s="6"/>
      <c r="B144" s="15">
        <v>795</v>
      </c>
      <c r="C144" s="15">
        <v>138</v>
      </c>
      <c r="D144" s="7">
        <f t="shared" si="12"/>
        <v>109710</v>
      </c>
      <c r="E144" s="7">
        <f t="shared" si="13"/>
        <v>632025</v>
      </c>
      <c r="F144" s="7">
        <f t="shared" si="13"/>
        <v>19044</v>
      </c>
      <c r="G144" s="7">
        <f t="shared" si="14"/>
        <v>150.9162</v>
      </c>
      <c r="H144" s="7">
        <f t="shared" si="15"/>
        <v>12.9162</v>
      </c>
      <c r="I144" s="7">
        <f t="shared" si="16"/>
        <v>166.82822243999999</v>
      </c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>
      <c r="A145" s="6"/>
      <c r="B145" s="15">
        <v>784</v>
      </c>
      <c r="C145" s="15">
        <v>90</v>
      </c>
      <c r="D145" s="7">
        <f t="shared" si="12"/>
        <v>70560</v>
      </c>
      <c r="E145" s="7">
        <f t="shared" si="13"/>
        <v>614656</v>
      </c>
      <c r="F145" s="7">
        <f t="shared" si="13"/>
        <v>8100</v>
      </c>
      <c r="G145" s="7">
        <f t="shared" si="14"/>
        <v>148.4973</v>
      </c>
      <c r="H145" s="7">
        <f t="shared" si="15"/>
        <v>58.497300000000003</v>
      </c>
      <c r="I145" s="7">
        <f t="shared" si="16"/>
        <v>3421.9341072900002</v>
      </c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>
      <c r="A146" s="6"/>
      <c r="B146" s="15">
        <v>752</v>
      </c>
      <c r="C146" s="15">
        <v>111</v>
      </c>
      <c r="D146" s="7">
        <f t="shared" si="12"/>
        <v>83472</v>
      </c>
      <c r="E146" s="7">
        <f t="shared" si="13"/>
        <v>565504</v>
      </c>
      <c r="F146" s="7">
        <f t="shared" si="13"/>
        <v>12321</v>
      </c>
      <c r="G146" s="7">
        <f t="shared" si="14"/>
        <v>141.4605</v>
      </c>
      <c r="H146" s="7">
        <f t="shared" si="15"/>
        <v>30.4605</v>
      </c>
      <c r="I146" s="7">
        <f t="shared" si="16"/>
        <v>927.84206025000003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>
      <c r="A147" s="6"/>
      <c r="B147" s="15">
        <v>719</v>
      </c>
      <c r="C147" s="15">
        <v>127</v>
      </c>
      <c r="D147" s="7">
        <f t="shared" si="12"/>
        <v>91313</v>
      </c>
      <c r="E147" s="7">
        <f t="shared" si="13"/>
        <v>516961</v>
      </c>
      <c r="F147" s="7">
        <f t="shared" si="13"/>
        <v>16129</v>
      </c>
      <c r="G147" s="7">
        <f t="shared" si="14"/>
        <v>134.2038</v>
      </c>
      <c r="H147" s="7">
        <f t="shared" si="15"/>
        <v>7.2038000000000002</v>
      </c>
      <c r="I147" s="7">
        <f t="shared" si="16"/>
        <v>51.894734440000001</v>
      </c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>
      <c r="A148" s="6"/>
      <c r="B148" s="15">
        <v>688</v>
      </c>
      <c r="C148" s="15">
        <v>105</v>
      </c>
      <c r="D148" s="7">
        <f t="shared" si="12"/>
        <v>72240</v>
      </c>
      <c r="E148" s="7">
        <f t="shared" si="13"/>
        <v>473344</v>
      </c>
      <c r="F148" s="7">
        <f t="shared" si="13"/>
        <v>11025</v>
      </c>
      <c r="G148" s="7">
        <f t="shared" si="14"/>
        <v>127.3869</v>
      </c>
      <c r="H148" s="7">
        <f t="shared" si="15"/>
        <v>22.386900000000001</v>
      </c>
      <c r="I148" s="7">
        <f t="shared" si="16"/>
        <v>501.17329161000004</v>
      </c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>
      <c r="A149" s="6"/>
      <c r="B149" s="15">
        <v>669</v>
      </c>
      <c r="C149" s="15">
        <v>67</v>
      </c>
      <c r="D149" s="7">
        <f t="shared" si="12"/>
        <v>44823</v>
      </c>
      <c r="E149" s="7">
        <f t="shared" si="13"/>
        <v>447561</v>
      </c>
      <c r="F149" s="7">
        <f t="shared" si="13"/>
        <v>4489</v>
      </c>
      <c r="G149" s="7">
        <f t="shared" si="14"/>
        <v>123.2088</v>
      </c>
      <c r="H149" s="7">
        <f t="shared" si="15"/>
        <v>56.208799999999997</v>
      </c>
      <c r="I149" s="7">
        <f t="shared" si="16"/>
        <v>3159.4291974399998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>
      <c r="A150" s="6"/>
      <c r="B150" s="15">
        <v>656</v>
      </c>
      <c r="C150" s="15">
        <v>76</v>
      </c>
      <c r="D150" s="7">
        <f t="shared" si="12"/>
        <v>49856</v>
      </c>
      <c r="E150" s="7">
        <f t="shared" si="13"/>
        <v>430336</v>
      </c>
      <c r="F150" s="7">
        <f t="shared" si="13"/>
        <v>5776</v>
      </c>
      <c r="G150" s="7">
        <f t="shared" si="14"/>
        <v>120.3501</v>
      </c>
      <c r="H150" s="7">
        <f t="shared" si="15"/>
        <v>44.350099999999998</v>
      </c>
      <c r="I150" s="7">
        <f t="shared" si="16"/>
        <v>1966.9313700099997</v>
      </c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>
      <c r="A151" s="6"/>
      <c r="B151" s="15">
        <v>638</v>
      </c>
      <c r="C151" s="15">
        <v>65</v>
      </c>
      <c r="D151" s="7">
        <f t="shared" si="12"/>
        <v>41470</v>
      </c>
      <c r="E151" s="7">
        <f t="shared" si="13"/>
        <v>407044</v>
      </c>
      <c r="F151" s="7">
        <f t="shared" si="13"/>
        <v>4225</v>
      </c>
      <c r="G151" s="7">
        <f t="shared" si="14"/>
        <v>116.39190000000001</v>
      </c>
      <c r="H151" s="7">
        <f t="shared" si="15"/>
        <v>51.3919</v>
      </c>
      <c r="I151" s="7">
        <f t="shared" si="16"/>
        <v>2641.1273856100001</v>
      </c>
      <c r="J151" s="6"/>
      <c r="K151" s="6" t="s">
        <v>19</v>
      </c>
      <c r="L151" s="13">
        <f>COUNT(B131,B132:B250)</f>
        <v>120</v>
      </c>
      <c r="M151" s="6"/>
      <c r="N151" s="6"/>
      <c r="O151" s="6"/>
      <c r="P151" s="6"/>
      <c r="Q151" s="6"/>
      <c r="R151" s="6"/>
      <c r="S151" s="6"/>
      <c r="T151" s="6"/>
    </row>
    <row r="152" spans="1:20">
      <c r="A152" s="6"/>
      <c r="B152" s="15">
        <v>627</v>
      </c>
      <c r="C152" s="15">
        <v>61</v>
      </c>
      <c r="D152" s="7">
        <f t="shared" si="12"/>
        <v>38247</v>
      </c>
      <c r="E152" s="7">
        <f t="shared" si="13"/>
        <v>393129</v>
      </c>
      <c r="F152" s="7">
        <f t="shared" si="13"/>
        <v>3721</v>
      </c>
      <c r="G152" s="7">
        <f t="shared" si="14"/>
        <v>113.973</v>
      </c>
      <c r="H152" s="7">
        <f t="shared" si="15"/>
        <v>52.972999999999999</v>
      </c>
      <c r="I152" s="7">
        <f t="shared" si="16"/>
        <v>2806.1387289999998</v>
      </c>
      <c r="J152" s="6"/>
      <c r="K152" s="6" t="s">
        <v>20</v>
      </c>
      <c r="L152" s="6">
        <f>ROUND(AVERAGE(B131:B250),4)</f>
        <v>280.86669999999998</v>
      </c>
      <c r="M152" s="6"/>
      <c r="N152" s="6"/>
      <c r="O152" s="6"/>
      <c r="P152" s="6"/>
      <c r="Q152" s="6"/>
      <c r="R152" s="6"/>
      <c r="S152" s="6"/>
      <c r="T152" s="6"/>
    </row>
    <row r="153" spans="1:20">
      <c r="A153" s="6"/>
      <c r="B153" s="15">
        <v>597</v>
      </c>
      <c r="C153" s="15">
        <v>63</v>
      </c>
      <c r="D153" s="7">
        <f t="shared" si="12"/>
        <v>37611</v>
      </c>
      <c r="E153" s="7">
        <f t="shared" si="13"/>
        <v>356409</v>
      </c>
      <c r="F153" s="7">
        <f t="shared" si="13"/>
        <v>3969</v>
      </c>
      <c r="G153" s="7">
        <f t="shared" si="14"/>
        <v>107.376</v>
      </c>
      <c r="H153" s="7">
        <f t="shared" si="15"/>
        <v>44.375999999999998</v>
      </c>
      <c r="I153" s="7">
        <f t="shared" si="16"/>
        <v>1969.2293759999998</v>
      </c>
      <c r="J153" s="6"/>
      <c r="K153" s="6" t="s">
        <v>21</v>
      </c>
      <c r="L153" s="6">
        <f>ROUND(AVERAGE(C131:C250),4)</f>
        <v>37.8583</v>
      </c>
      <c r="M153" s="6"/>
      <c r="N153" s="6"/>
      <c r="O153" s="6"/>
      <c r="P153" s="6"/>
      <c r="Q153" s="6"/>
      <c r="R153" s="6"/>
      <c r="S153" s="6"/>
      <c r="T153" s="6"/>
    </row>
    <row r="154" spans="1:20">
      <c r="A154" s="6"/>
      <c r="B154" s="15">
        <v>567</v>
      </c>
      <c r="C154" s="15">
        <v>50</v>
      </c>
      <c r="D154" s="7">
        <f t="shared" si="12"/>
        <v>28350</v>
      </c>
      <c r="E154" s="7">
        <f t="shared" si="13"/>
        <v>321489</v>
      </c>
      <c r="F154" s="7">
        <f t="shared" si="13"/>
        <v>2500</v>
      </c>
      <c r="G154" s="7">
        <f t="shared" si="14"/>
        <v>100.779</v>
      </c>
      <c r="H154" s="7">
        <f t="shared" si="15"/>
        <v>50.779000000000003</v>
      </c>
      <c r="I154" s="7">
        <f t="shared" si="16"/>
        <v>2578.5068410000003</v>
      </c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>
      <c r="A155" s="6"/>
      <c r="B155" s="15">
        <v>536</v>
      </c>
      <c r="C155" s="15">
        <v>49</v>
      </c>
      <c r="D155" s="7">
        <f t="shared" si="12"/>
        <v>26264</v>
      </c>
      <c r="E155" s="7">
        <f t="shared" si="13"/>
        <v>287296</v>
      </c>
      <c r="F155" s="7">
        <f t="shared" si="13"/>
        <v>2401</v>
      </c>
      <c r="G155" s="7">
        <f t="shared" si="14"/>
        <v>93.962100000000007</v>
      </c>
      <c r="H155" s="7">
        <f t="shared" si="15"/>
        <v>44.9621</v>
      </c>
      <c r="I155" s="7">
        <f t="shared" si="16"/>
        <v>2021.5904364099999</v>
      </c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>
      <c r="A156" s="6"/>
      <c r="B156" s="15">
        <v>522</v>
      </c>
      <c r="C156" s="15">
        <v>58</v>
      </c>
      <c r="D156" s="7">
        <f t="shared" si="12"/>
        <v>30276</v>
      </c>
      <c r="E156" s="7">
        <f t="shared" si="13"/>
        <v>272484</v>
      </c>
      <c r="F156" s="7">
        <f t="shared" si="13"/>
        <v>3364</v>
      </c>
      <c r="G156" s="7">
        <f t="shared" si="14"/>
        <v>90.883499999999998</v>
      </c>
      <c r="H156" s="7">
        <f t="shared" si="15"/>
        <v>32.883499999999998</v>
      </c>
      <c r="I156" s="7">
        <f t="shared" si="16"/>
        <v>1081.3245722499998</v>
      </c>
      <c r="J156" s="6"/>
      <c r="K156" s="6"/>
      <c r="L156" s="6"/>
      <c r="M156" s="6"/>
      <c r="N156" s="6" t="s">
        <v>22</v>
      </c>
      <c r="O156" s="6">
        <f>D251-(L151*L152*L153)</f>
        <v>1997450.7053668001</v>
      </c>
      <c r="P156" s="6"/>
      <c r="Q156" s="6"/>
      <c r="R156" s="6"/>
      <c r="S156" s="6"/>
      <c r="T156" s="6"/>
    </row>
    <row r="157" spans="1:20">
      <c r="A157" s="6"/>
      <c r="B157" s="15">
        <v>492</v>
      </c>
      <c r="C157" s="15">
        <v>33</v>
      </c>
      <c r="D157" s="7">
        <f t="shared" si="12"/>
        <v>16236</v>
      </c>
      <c r="E157" s="7">
        <f t="shared" si="13"/>
        <v>242064</v>
      </c>
      <c r="F157" s="7">
        <f t="shared" si="13"/>
        <v>1089</v>
      </c>
      <c r="G157" s="7">
        <f t="shared" si="14"/>
        <v>84.286500000000004</v>
      </c>
      <c r="H157" s="7">
        <f t="shared" si="15"/>
        <v>51.286499999999997</v>
      </c>
      <c r="I157" s="7">
        <f t="shared" si="16"/>
        <v>2630.3050822499995</v>
      </c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>
      <c r="A158" s="6"/>
      <c r="B158" s="15">
        <v>484</v>
      </c>
      <c r="C158" s="15">
        <v>41</v>
      </c>
      <c r="D158" s="7">
        <f t="shared" si="12"/>
        <v>19844</v>
      </c>
      <c r="E158" s="7">
        <f t="shared" si="13"/>
        <v>234256</v>
      </c>
      <c r="F158" s="7">
        <f t="shared" si="13"/>
        <v>1681</v>
      </c>
      <c r="G158" s="7">
        <f t="shared" si="14"/>
        <v>82.527299999999997</v>
      </c>
      <c r="H158" s="7">
        <f t="shared" si="15"/>
        <v>41.527299999999997</v>
      </c>
      <c r="I158" s="7">
        <f t="shared" si="16"/>
        <v>1724.5166452899998</v>
      </c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>
      <c r="A159" s="6"/>
      <c r="B159" s="15">
        <v>469</v>
      </c>
      <c r="C159" s="15">
        <v>34</v>
      </c>
      <c r="D159" s="7">
        <f t="shared" si="12"/>
        <v>15946</v>
      </c>
      <c r="E159" s="7">
        <f t="shared" si="13"/>
        <v>219961</v>
      </c>
      <c r="F159" s="7">
        <f t="shared" si="13"/>
        <v>1156</v>
      </c>
      <c r="G159" s="7">
        <f t="shared" si="14"/>
        <v>79.228800000000007</v>
      </c>
      <c r="H159" s="7">
        <f t="shared" si="15"/>
        <v>45.2288</v>
      </c>
      <c r="I159" s="7">
        <f t="shared" si="16"/>
        <v>2045.64434944</v>
      </c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>
      <c r="A160" s="6"/>
      <c r="B160" s="15">
        <v>446</v>
      </c>
      <c r="C160" s="15">
        <v>38</v>
      </c>
      <c r="D160" s="7">
        <f t="shared" si="12"/>
        <v>16948</v>
      </c>
      <c r="E160" s="7">
        <f t="shared" si="13"/>
        <v>198916</v>
      </c>
      <c r="F160" s="7">
        <f t="shared" si="13"/>
        <v>1444</v>
      </c>
      <c r="G160" s="7">
        <f t="shared" si="14"/>
        <v>74.171099999999996</v>
      </c>
      <c r="H160" s="7">
        <f t="shared" si="15"/>
        <v>36.171100000000003</v>
      </c>
      <c r="I160" s="7">
        <f t="shared" si="16"/>
        <v>1308.3484752100003</v>
      </c>
      <c r="J160" s="6"/>
      <c r="K160" s="6"/>
      <c r="L160" s="6"/>
      <c r="M160" s="6"/>
      <c r="N160" s="6" t="s">
        <v>22</v>
      </c>
      <c r="O160" s="6">
        <f>E251-(L151*(L152^2))</f>
        <v>9081977.6197332013</v>
      </c>
      <c r="P160" s="6"/>
      <c r="Q160" s="6"/>
      <c r="R160" s="6"/>
      <c r="S160" s="6"/>
      <c r="T160" s="6"/>
    </row>
    <row r="161" spans="1:20">
      <c r="A161" s="6"/>
      <c r="B161" s="15">
        <v>415</v>
      </c>
      <c r="C161" s="15">
        <v>41</v>
      </c>
      <c r="D161" s="7">
        <f t="shared" si="12"/>
        <v>17015</v>
      </c>
      <c r="E161" s="7">
        <f t="shared" si="13"/>
        <v>172225</v>
      </c>
      <c r="F161" s="7">
        <f t="shared" si="13"/>
        <v>1681</v>
      </c>
      <c r="G161" s="7">
        <f t="shared" si="14"/>
        <v>67.354200000000006</v>
      </c>
      <c r="H161" s="7">
        <f t="shared" si="15"/>
        <v>26.354199999999999</v>
      </c>
      <c r="I161" s="7">
        <f t="shared" si="16"/>
        <v>694.54385763999994</v>
      </c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>
      <c r="A162" s="6"/>
      <c r="B162" s="15">
        <v>399</v>
      </c>
      <c r="C162" s="15">
        <v>28</v>
      </c>
      <c r="D162" s="7">
        <f t="shared" si="12"/>
        <v>11172</v>
      </c>
      <c r="E162" s="7">
        <f t="shared" si="13"/>
        <v>159201</v>
      </c>
      <c r="F162" s="7">
        <f t="shared" si="13"/>
        <v>784</v>
      </c>
      <c r="G162" s="7">
        <f t="shared" si="14"/>
        <v>63.835799999999999</v>
      </c>
      <c r="H162" s="7">
        <f t="shared" si="15"/>
        <v>35.835799999999999</v>
      </c>
      <c r="I162" s="7">
        <f t="shared" si="16"/>
        <v>1284.2045616399998</v>
      </c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>
      <c r="A163" s="6"/>
      <c r="B163" s="15">
        <v>383</v>
      </c>
      <c r="C163" s="15">
        <v>28</v>
      </c>
      <c r="D163" s="7">
        <f t="shared" si="12"/>
        <v>10724</v>
      </c>
      <c r="E163" s="7">
        <f t="shared" si="13"/>
        <v>146689</v>
      </c>
      <c r="F163" s="7">
        <f t="shared" si="13"/>
        <v>784</v>
      </c>
      <c r="G163" s="7">
        <f t="shared" si="14"/>
        <v>60.317399999999999</v>
      </c>
      <c r="H163" s="7">
        <f t="shared" si="15"/>
        <v>32.317399999999999</v>
      </c>
      <c r="I163" s="7">
        <f t="shared" si="16"/>
        <v>1044.41434276</v>
      </c>
      <c r="J163" s="6"/>
      <c r="K163" s="6"/>
      <c r="L163" s="6"/>
      <c r="M163" s="6"/>
      <c r="N163" s="6" t="s">
        <v>22</v>
      </c>
      <c r="O163" s="6">
        <f>ROUND((F251-(L151*(L153^2))),4)</f>
        <v>524434.89450000005</v>
      </c>
      <c r="P163" s="6"/>
      <c r="Q163" s="6"/>
      <c r="R163" s="6"/>
      <c r="S163" s="6"/>
      <c r="T163" s="6"/>
    </row>
    <row r="164" spans="1:20">
      <c r="A164" s="6"/>
      <c r="B164" s="15">
        <v>363</v>
      </c>
      <c r="C164" s="15">
        <v>26</v>
      </c>
      <c r="D164" s="7">
        <f t="shared" si="12"/>
        <v>9438</v>
      </c>
      <c r="E164" s="7">
        <f t="shared" si="13"/>
        <v>131769</v>
      </c>
      <c r="F164" s="7">
        <f t="shared" si="13"/>
        <v>676</v>
      </c>
      <c r="G164" s="7">
        <f t="shared" si="14"/>
        <v>55.919400000000003</v>
      </c>
      <c r="H164" s="7">
        <f t="shared" si="15"/>
        <v>29.9194</v>
      </c>
      <c r="I164" s="7">
        <f t="shared" si="16"/>
        <v>895.17049636000002</v>
      </c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>
      <c r="A165" s="6"/>
      <c r="B165" s="15">
        <v>354</v>
      </c>
      <c r="C165" s="15">
        <v>28</v>
      </c>
      <c r="D165" s="7">
        <f t="shared" si="12"/>
        <v>9912</v>
      </c>
      <c r="E165" s="7">
        <f t="shared" si="13"/>
        <v>125316</v>
      </c>
      <c r="F165" s="7">
        <f t="shared" si="13"/>
        <v>784</v>
      </c>
      <c r="G165" s="7">
        <f t="shared" si="14"/>
        <v>53.940300000000001</v>
      </c>
      <c r="H165" s="7">
        <f t="shared" si="15"/>
        <v>25.940300000000001</v>
      </c>
      <c r="I165" s="7">
        <f t="shared" si="16"/>
        <v>672.89916409</v>
      </c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>
      <c r="A166" s="6"/>
      <c r="B166" s="15">
        <v>342</v>
      </c>
      <c r="C166" s="15">
        <v>25</v>
      </c>
      <c r="D166" s="7">
        <f t="shared" si="12"/>
        <v>8550</v>
      </c>
      <c r="E166" s="7">
        <f t="shared" si="13"/>
        <v>116964</v>
      </c>
      <c r="F166" s="7">
        <f t="shared" si="13"/>
        <v>625</v>
      </c>
      <c r="G166" s="7">
        <f t="shared" si="14"/>
        <v>51.301499999999997</v>
      </c>
      <c r="H166" s="7">
        <f t="shared" si="15"/>
        <v>26.301500000000001</v>
      </c>
      <c r="I166" s="7">
        <f t="shared" si="16"/>
        <v>691.76890225</v>
      </c>
      <c r="J166" s="6"/>
      <c r="K166" s="6"/>
      <c r="L166" s="6"/>
      <c r="M166" s="6"/>
      <c r="N166" s="6"/>
      <c r="O166" s="15"/>
      <c r="P166" s="15"/>
      <c r="Q166" s="15"/>
      <c r="R166" s="15"/>
      <c r="S166" s="6"/>
      <c r="T166" s="6"/>
    </row>
    <row r="167" spans="1:20">
      <c r="A167" s="6"/>
      <c r="B167" s="15">
        <v>312</v>
      </c>
      <c r="C167" s="15">
        <v>30</v>
      </c>
      <c r="D167" s="7">
        <f t="shared" si="12"/>
        <v>9360</v>
      </c>
      <c r="E167" s="7">
        <f t="shared" si="13"/>
        <v>97344</v>
      </c>
      <c r="F167" s="7">
        <f t="shared" si="13"/>
        <v>900</v>
      </c>
      <c r="G167" s="7">
        <f t="shared" si="14"/>
        <v>44.704500000000003</v>
      </c>
      <c r="H167" s="7">
        <f t="shared" si="15"/>
        <v>14.704499999999999</v>
      </c>
      <c r="I167" s="7">
        <f t="shared" si="16"/>
        <v>216.22232025</v>
      </c>
      <c r="J167" s="6"/>
      <c r="K167" s="6"/>
      <c r="L167" s="6"/>
      <c r="M167" s="6" t="s">
        <v>22</v>
      </c>
      <c r="N167" s="6">
        <f>O156/(SQRT(O160)*SQRT(O163))</f>
        <v>0.91525069259670966</v>
      </c>
      <c r="O167" s="15"/>
      <c r="P167" s="15"/>
      <c r="Q167" s="15">
        <f>N167^2</f>
        <v>0.8376838302987567</v>
      </c>
      <c r="R167" s="15"/>
      <c r="S167" s="6"/>
      <c r="T167" s="6"/>
    </row>
    <row r="168" spans="1:20">
      <c r="A168" s="6"/>
      <c r="B168" s="15">
        <v>283</v>
      </c>
      <c r="C168" s="15">
        <v>22</v>
      </c>
      <c r="D168" s="7">
        <f t="shared" si="12"/>
        <v>6226</v>
      </c>
      <c r="E168" s="7">
        <f t="shared" si="13"/>
        <v>80089</v>
      </c>
      <c r="F168" s="7">
        <f t="shared" si="13"/>
        <v>484</v>
      </c>
      <c r="G168" s="7">
        <f t="shared" si="14"/>
        <v>38.327399999999997</v>
      </c>
      <c r="H168" s="7">
        <f t="shared" si="15"/>
        <v>16.327400000000001</v>
      </c>
      <c r="I168" s="7">
        <f t="shared" si="16"/>
        <v>266.58399076000001</v>
      </c>
      <c r="J168" s="6"/>
      <c r="K168" s="6"/>
      <c r="L168" s="6"/>
      <c r="M168" s="6"/>
      <c r="N168" s="6"/>
      <c r="O168" s="15"/>
      <c r="P168" s="15"/>
      <c r="Q168" s="15"/>
      <c r="R168" s="15"/>
      <c r="S168" s="6"/>
      <c r="T168" s="6"/>
    </row>
    <row r="169" spans="1:20">
      <c r="A169" s="6"/>
      <c r="B169" s="15">
        <v>273</v>
      </c>
      <c r="C169" s="15">
        <v>18</v>
      </c>
      <c r="D169" s="7">
        <f t="shared" si="12"/>
        <v>4914</v>
      </c>
      <c r="E169" s="7">
        <f t="shared" si="13"/>
        <v>74529</v>
      </c>
      <c r="F169" s="7">
        <f t="shared" si="13"/>
        <v>324</v>
      </c>
      <c r="G169" s="7">
        <f t="shared" si="14"/>
        <v>36.128399999999999</v>
      </c>
      <c r="H169" s="7">
        <f t="shared" si="15"/>
        <v>18.128399999999999</v>
      </c>
      <c r="I169" s="7">
        <f t="shared" si="16"/>
        <v>328.63888655999995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>
      <c r="A170" s="6"/>
      <c r="B170" s="15">
        <v>266</v>
      </c>
      <c r="C170" s="15">
        <v>15</v>
      </c>
      <c r="D170" s="7">
        <f t="shared" si="12"/>
        <v>3990</v>
      </c>
      <c r="E170" s="7">
        <f t="shared" si="13"/>
        <v>70756</v>
      </c>
      <c r="F170" s="7">
        <f t="shared" si="13"/>
        <v>225</v>
      </c>
      <c r="G170" s="7">
        <f t="shared" si="14"/>
        <v>34.589100000000002</v>
      </c>
      <c r="H170" s="7">
        <f t="shared" si="15"/>
        <v>19.589099999999998</v>
      </c>
      <c r="I170" s="7">
        <f t="shared" si="16"/>
        <v>383.73283880999992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>
      <c r="A171" s="6"/>
      <c r="B171" s="15">
        <v>253</v>
      </c>
      <c r="C171" s="15">
        <v>19</v>
      </c>
      <c r="D171" s="7">
        <f t="shared" si="12"/>
        <v>4807</v>
      </c>
      <c r="E171" s="7">
        <f t="shared" si="13"/>
        <v>64009</v>
      </c>
      <c r="F171" s="7">
        <f t="shared" si="13"/>
        <v>361</v>
      </c>
      <c r="G171" s="7">
        <f t="shared" si="14"/>
        <v>31.730399999999999</v>
      </c>
      <c r="H171" s="7">
        <f t="shared" si="15"/>
        <v>12.730399999999999</v>
      </c>
      <c r="I171" s="7">
        <f t="shared" si="16"/>
        <v>162.06308415999999</v>
      </c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>
      <c r="A172" s="6"/>
      <c r="B172" s="15">
        <v>242</v>
      </c>
      <c r="C172" s="15">
        <v>15</v>
      </c>
      <c r="D172" s="7">
        <f t="shared" si="12"/>
        <v>3630</v>
      </c>
      <c r="E172" s="7">
        <f t="shared" si="13"/>
        <v>58564</v>
      </c>
      <c r="F172" s="7">
        <f t="shared" si="13"/>
        <v>225</v>
      </c>
      <c r="G172" s="7">
        <f t="shared" si="14"/>
        <v>29.311499999999999</v>
      </c>
      <c r="H172" s="7">
        <f t="shared" si="15"/>
        <v>14.311500000000001</v>
      </c>
      <c r="I172" s="7">
        <f t="shared" si="16"/>
        <v>204.81903225000002</v>
      </c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>
      <c r="A173" s="6"/>
      <c r="B173" s="15">
        <v>231</v>
      </c>
      <c r="C173" s="15">
        <v>10</v>
      </c>
      <c r="D173" s="7">
        <f t="shared" si="12"/>
        <v>2310</v>
      </c>
      <c r="E173" s="7">
        <f t="shared" si="13"/>
        <v>53361</v>
      </c>
      <c r="F173" s="7">
        <f t="shared" si="13"/>
        <v>100</v>
      </c>
      <c r="G173" s="7">
        <f t="shared" si="14"/>
        <v>26.892600000000002</v>
      </c>
      <c r="H173" s="7">
        <f t="shared" si="15"/>
        <v>16.892600000000002</v>
      </c>
      <c r="I173" s="7">
        <f t="shared" si="16"/>
        <v>285.35993476000004</v>
      </c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>
      <c r="A174" s="6"/>
      <c r="B174" s="15">
        <v>213</v>
      </c>
      <c r="C174" s="15">
        <v>13</v>
      </c>
      <c r="D174" s="7">
        <f t="shared" si="12"/>
        <v>2769</v>
      </c>
      <c r="E174" s="7">
        <f t="shared" si="13"/>
        <v>45369</v>
      </c>
      <c r="F174" s="7">
        <f t="shared" si="13"/>
        <v>169</v>
      </c>
      <c r="G174" s="7">
        <f t="shared" si="14"/>
        <v>22.9344</v>
      </c>
      <c r="H174" s="7">
        <f t="shared" si="15"/>
        <v>9.9344000000000001</v>
      </c>
      <c r="I174" s="7">
        <f t="shared" si="16"/>
        <v>98.692303359999997</v>
      </c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>
      <c r="A175" s="6"/>
      <c r="B175" s="15">
        <v>205</v>
      </c>
      <c r="C175" s="15">
        <v>15</v>
      </c>
      <c r="D175" s="7">
        <f t="shared" si="12"/>
        <v>3075</v>
      </c>
      <c r="E175" s="7">
        <f t="shared" si="13"/>
        <v>42025</v>
      </c>
      <c r="F175" s="7">
        <f t="shared" si="13"/>
        <v>225</v>
      </c>
      <c r="G175" s="7">
        <f t="shared" si="14"/>
        <v>21.1752</v>
      </c>
      <c r="H175" s="7">
        <f t="shared" si="15"/>
        <v>6.1752000000000002</v>
      </c>
      <c r="I175" s="7">
        <f t="shared" si="16"/>
        <v>38.133095040000001</v>
      </c>
      <c r="J175" s="6"/>
      <c r="K175" s="6"/>
      <c r="L175" s="6" t="s">
        <v>22</v>
      </c>
      <c r="M175" s="6">
        <f>ROUND((O156/O160),4)</f>
        <v>0.21990000000000001</v>
      </c>
      <c r="N175" s="6"/>
      <c r="O175" s="6"/>
      <c r="P175" s="6"/>
      <c r="Q175" s="6"/>
      <c r="R175" s="6"/>
      <c r="S175" s="6"/>
      <c r="T175" s="6"/>
    </row>
    <row r="176" spans="1:20">
      <c r="A176" s="6"/>
      <c r="B176" s="15">
        <v>187</v>
      </c>
      <c r="C176" s="15">
        <v>21</v>
      </c>
      <c r="D176" s="7">
        <f t="shared" si="12"/>
        <v>3927</v>
      </c>
      <c r="E176" s="7">
        <f t="shared" si="13"/>
        <v>34969</v>
      </c>
      <c r="F176" s="7">
        <f t="shared" si="13"/>
        <v>441</v>
      </c>
      <c r="G176" s="7">
        <f t="shared" si="14"/>
        <v>17.216999999999999</v>
      </c>
      <c r="H176" s="7">
        <f t="shared" si="15"/>
        <v>-3.7829999999999999</v>
      </c>
      <c r="I176" s="7">
        <f t="shared" si="16"/>
        <v>14.311088999999999</v>
      </c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5">
      <c r="A177" s="6"/>
      <c r="B177" s="15">
        <v>182</v>
      </c>
      <c r="C177" s="15">
        <v>11</v>
      </c>
      <c r="D177" s="7">
        <f t="shared" si="12"/>
        <v>2002</v>
      </c>
      <c r="E177" s="7">
        <f t="shared" si="13"/>
        <v>33124</v>
      </c>
      <c r="F177" s="7">
        <f t="shared" si="13"/>
        <v>121</v>
      </c>
      <c r="G177" s="7">
        <f t="shared" si="14"/>
        <v>16.1175</v>
      </c>
      <c r="H177" s="7">
        <f t="shared" si="15"/>
        <v>5.1174999999999997</v>
      </c>
      <c r="I177" s="7">
        <f t="shared" si="16"/>
        <v>26.188806249999995</v>
      </c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5">
      <c r="A178" s="6"/>
      <c r="B178" s="15">
        <v>170</v>
      </c>
      <c r="C178" s="15">
        <v>8</v>
      </c>
      <c r="D178" s="7">
        <f t="shared" si="12"/>
        <v>1360</v>
      </c>
      <c r="E178" s="7">
        <f t="shared" si="13"/>
        <v>28900</v>
      </c>
      <c r="F178" s="7">
        <f t="shared" si="13"/>
        <v>64</v>
      </c>
      <c r="G178" s="7">
        <f t="shared" si="14"/>
        <v>13.4787</v>
      </c>
      <c r="H178" s="7">
        <f t="shared" si="15"/>
        <v>5.4786999999999999</v>
      </c>
      <c r="I178" s="7">
        <f t="shared" si="16"/>
        <v>30.016153689999999</v>
      </c>
      <c r="J178" s="6"/>
      <c r="K178" s="6"/>
      <c r="L178" s="6" t="s">
        <v>22</v>
      </c>
      <c r="M178" s="6">
        <f>ROUND((L153-(M175*L152)),4)</f>
        <v>-23.904299999999999</v>
      </c>
      <c r="N178" s="6"/>
      <c r="O178" s="6"/>
      <c r="P178" s="6"/>
      <c r="Q178" s="6"/>
      <c r="R178" s="6"/>
      <c r="S178" s="6"/>
      <c r="T178" s="6"/>
    </row>
    <row r="179" spans="1:25">
      <c r="A179" s="6"/>
      <c r="B179" s="15">
        <v>170</v>
      </c>
      <c r="C179" s="15">
        <v>6</v>
      </c>
      <c r="D179" s="7">
        <f t="shared" si="12"/>
        <v>1020</v>
      </c>
      <c r="E179" s="7">
        <f t="shared" si="13"/>
        <v>28900</v>
      </c>
      <c r="F179" s="7">
        <f t="shared" si="13"/>
        <v>36</v>
      </c>
      <c r="G179" s="7">
        <f t="shared" si="14"/>
        <v>13.4787</v>
      </c>
      <c r="H179" s="7">
        <f t="shared" si="15"/>
        <v>7.4786999999999999</v>
      </c>
      <c r="I179" s="7">
        <f t="shared" si="16"/>
        <v>55.930953689999996</v>
      </c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5">
      <c r="A180" s="6"/>
      <c r="B180" s="15">
        <v>165</v>
      </c>
      <c r="C180" s="15">
        <v>16</v>
      </c>
      <c r="D180" s="7">
        <f t="shared" si="12"/>
        <v>2640</v>
      </c>
      <c r="E180" s="7">
        <f t="shared" si="13"/>
        <v>27225</v>
      </c>
      <c r="F180" s="7">
        <f t="shared" si="13"/>
        <v>256</v>
      </c>
      <c r="G180" s="7">
        <f t="shared" si="14"/>
        <v>12.379200000000001</v>
      </c>
      <c r="H180" s="7">
        <f t="shared" si="15"/>
        <v>-3.6208</v>
      </c>
      <c r="I180" s="7">
        <f t="shared" si="16"/>
        <v>13.110192639999999</v>
      </c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5">
      <c r="A181" s="6"/>
      <c r="B181" s="15">
        <v>159</v>
      </c>
      <c r="C181" s="15">
        <v>10</v>
      </c>
      <c r="D181" s="7">
        <f t="shared" si="12"/>
        <v>1590</v>
      </c>
      <c r="E181" s="7">
        <f t="shared" si="13"/>
        <v>25281</v>
      </c>
      <c r="F181" s="7">
        <f t="shared" si="13"/>
        <v>100</v>
      </c>
      <c r="G181" s="7">
        <f t="shared" si="14"/>
        <v>11.059799999999999</v>
      </c>
      <c r="H181" s="7">
        <f t="shared" si="15"/>
        <v>1.0598000000000001</v>
      </c>
      <c r="I181" s="7">
        <f t="shared" si="16"/>
        <v>1.1231760400000002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5">
      <c r="A182" s="6"/>
      <c r="B182" s="15">
        <v>155</v>
      </c>
      <c r="C182" s="15">
        <v>11</v>
      </c>
      <c r="D182" s="7">
        <f t="shared" si="12"/>
        <v>1705</v>
      </c>
      <c r="E182" s="7">
        <f t="shared" si="13"/>
        <v>24025</v>
      </c>
      <c r="F182" s="7">
        <f t="shared" si="13"/>
        <v>121</v>
      </c>
      <c r="G182" s="7">
        <f t="shared" si="14"/>
        <v>10.180199999999999</v>
      </c>
      <c r="H182" s="7">
        <f t="shared" si="15"/>
        <v>-0.81979999999999997</v>
      </c>
      <c r="I182" s="7">
        <f t="shared" si="16"/>
        <v>0.67207203999999998</v>
      </c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</row>
    <row r="183" spans="1:25">
      <c r="A183" s="6"/>
      <c r="B183" s="15">
        <v>154</v>
      </c>
      <c r="C183" s="15">
        <v>9</v>
      </c>
      <c r="D183" s="7">
        <f t="shared" si="12"/>
        <v>1386</v>
      </c>
      <c r="E183" s="7">
        <f t="shared" si="13"/>
        <v>23716</v>
      </c>
      <c r="F183" s="7">
        <f t="shared" si="13"/>
        <v>81</v>
      </c>
      <c r="G183" s="7">
        <f t="shared" si="14"/>
        <v>9.9603000000000002</v>
      </c>
      <c r="H183" s="7">
        <f t="shared" si="15"/>
        <v>0.96030000000000004</v>
      </c>
      <c r="I183" s="7">
        <f t="shared" si="16"/>
        <v>0.92217609000000011</v>
      </c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</row>
    <row r="184" spans="1:25">
      <c r="A184" s="6"/>
      <c r="B184" s="15">
        <v>155</v>
      </c>
      <c r="C184" s="15">
        <v>5</v>
      </c>
      <c r="D184" s="7">
        <f t="shared" si="12"/>
        <v>775</v>
      </c>
      <c r="E184" s="7">
        <f t="shared" si="13"/>
        <v>24025</v>
      </c>
      <c r="F184" s="7">
        <f t="shared" si="13"/>
        <v>25</v>
      </c>
      <c r="G184" s="7">
        <f t="shared" si="14"/>
        <v>10.180199999999999</v>
      </c>
      <c r="H184" s="7">
        <f t="shared" si="15"/>
        <v>5.1802000000000001</v>
      </c>
      <c r="I184" s="7">
        <f t="shared" si="16"/>
        <v>26.834472040000001</v>
      </c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</row>
    <row r="185" spans="1:25">
      <c r="A185" s="6"/>
      <c r="B185" s="15">
        <v>148</v>
      </c>
      <c r="C185" s="15">
        <v>8</v>
      </c>
      <c r="D185" s="7">
        <f t="shared" si="12"/>
        <v>1184</v>
      </c>
      <c r="E185" s="7">
        <f t="shared" si="13"/>
        <v>21904</v>
      </c>
      <c r="F185" s="7">
        <f t="shared" si="13"/>
        <v>64</v>
      </c>
      <c r="G185" s="7">
        <f t="shared" si="14"/>
        <v>8.6409000000000002</v>
      </c>
      <c r="H185" s="7">
        <f t="shared" si="15"/>
        <v>0.64090000000000003</v>
      </c>
      <c r="I185" s="7">
        <f t="shared" si="16"/>
        <v>0.41075281000000002</v>
      </c>
      <c r="J185" s="77"/>
      <c r="K185" s="38" t="s">
        <v>41</v>
      </c>
      <c r="L185" s="33">
        <f>ROUND(O163-N185*O156,4)</f>
        <v>85195.484400000001</v>
      </c>
      <c r="M185" s="38"/>
      <c r="N185" s="33">
        <f>M175</f>
        <v>0.21990000000000001</v>
      </c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</row>
    <row r="186" spans="1:25">
      <c r="A186" s="6"/>
      <c r="B186" s="15">
        <v>142</v>
      </c>
      <c r="C186" s="15">
        <v>10</v>
      </c>
      <c r="D186" s="7">
        <f t="shared" si="12"/>
        <v>1420</v>
      </c>
      <c r="E186" s="7">
        <f t="shared" si="13"/>
        <v>20164</v>
      </c>
      <c r="F186" s="7">
        <f t="shared" si="13"/>
        <v>100</v>
      </c>
      <c r="G186" s="7">
        <f t="shared" si="14"/>
        <v>7.3215000000000003</v>
      </c>
      <c r="H186" s="7">
        <f t="shared" si="15"/>
        <v>-2.6785000000000001</v>
      </c>
      <c r="I186" s="7">
        <f t="shared" si="16"/>
        <v>7.1743622500000006</v>
      </c>
      <c r="J186" s="77"/>
      <c r="K186" s="36" t="s">
        <v>42</v>
      </c>
      <c r="L186" s="26">
        <f>ROUND((O156^2)/O160,4)</f>
        <v>439310.6312</v>
      </c>
      <c r="M186" s="77"/>
      <c r="N186" s="26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</row>
    <row r="187" spans="1:25">
      <c r="A187" s="6"/>
      <c r="B187" s="15">
        <v>136</v>
      </c>
      <c r="C187" s="15">
        <v>6</v>
      </c>
      <c r="D187" s="7">
        <f t="shared" si="12"/>
        <v>816</v>
      </c>
      <c r="E187" s="7">
        <f t="shared" si="13"/>
        <v>18496</v>
      </c>
      <c r="F187" s="7">
        <f t="shared" si="13"/>
        <v>36</v>
      </c>
      <c r="G187" s="7">
        <f t="shared" si="14"/>
        <v>6.0021000000000004</v>
      </c>
      <c r="H187" s="7">
        <f t="shared" si="15"/>
        <v>2.0999999999999999E-3</v>
      </c>
      <c r="I187" s="7">
        <f t="shared" si="16"/>
        <v>4.4099999999999993E-6</v>
      </c>
      <c r="J187" s="77"/>
      <c r="K187" s="36" t="s">
        <v>43</v>
      </c>
      <c r="L187" s="26">
        <f>O163</f>
        <v>524434.89450000005</v>
      </c>
      <c r="M187" s="77"/>
      <c r="N187" s="26">
        <f>M178</f>
        <v>-23.904299999999999</v>
      </c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</row>
    <row r="188" spans="1:25">
      <c r="A188" s="6"/>
      <c r="B188" s="15">
        <v>129</v>
      </c>
      <c r="C188" s="15">
        <v>2</v>
      </c>
      <c r="D188" s="7">
        <f t="shared" si="12"/>
        <v>258</v>
      </c>
      <c r="E188" s="7">
        <f t="shared" si="13"/>
        <v>16641</v>
      </c>
      <c r="F188" s="7">
        <f t="shared" si="13"/>
        <v>4</v>
      </c>
      <c r="G188" s="7">
        <f t="shared" si="14"/>
        <v>4.4627999999999997</v>
      </c>
      <c r="H188" s="7">
        <f t="shared" si="15"/>
        <v>2.4628000000000001</v>
      </c>
      <c r="I188" s="7">
        <f t="shared" si="16"/>
        <v>6.0653838400000009</v>
      </c>
      <c r="J188" s="77"/>
      <c r="K188" s="36" t="s">
        <v>59</v>
      </c>
      <c r="L188" s="26">
        <f>ROUND(SQRT(L185/(L151-2)),4)</f>
        <v>26.87</v>
      </c>
      <c r="M188" s="77"/>
      <c r="N188" s="26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</row>
    <row r="189" spans="1:25" ht="13.5" thickBot="1">
      <c r="A189" s="6"/>
      <c r="B189" s="15">
        <v>127</v>
      </c>
      <c r="C189" s="15">
        <v>3</v>
      </c>
      <c r="D189" s="7">
        <f t="shared" si="12"/>
        <v>381</v>
      </c>
      <c r="E189" s="7">
        <f t="shared" si="13"/>
        <v>16129</v>
      </c>
      <c r="F189" s="7">
        <f t="shared" si="13"/>
        <v>9</v>
      </c>
      <c r="G189" s="7">
        <f t="shared" si="14"/>
        <v>4.0229999999999997</v>
      </c>
      <c r="H189" s="7">
        <f t="shared" si="15"/>
        <v>1.0229999999999999</v>
      </c>
      <c r="I189" s="7">
        <f t="shared" si="16"/>
        <v>1.0465289999999998</v>
      </c>
      <c r="J189" s="77"/>
      <c r="K189" s="37"/>
      <c r="L189" s="27"/>
      <c r="M189" s="37"/>
      <c r="N189" s="27">
        <f>ROUND(N185*SQRT(O160/O163),4)</f>
        <v>0.91510000000000002</v>
      </c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</row>
    <row r="190" spans="1:25">
      <c r="A190" s="6"/>
      <c r="B190" s="15">
        <v>129</v>
      </c>
      <c r="C190" s="15">
        <v>11</v>
      </c>
      <c r="D190" s="7">
        <f t="shared" si="12"/>
        <v>1419</v>
      </c>
      <c r="E190" s="7">
        <f t="shared" si="13"/>
        <v>16641</v>
      </c>
      <c r="F190" s="7">
        <f t="shared" si="13"/>
        <v>121</v>
      </c>
      <c r="G190" s="7">
        <f t="shared" si="14"/>
        <v>4.4627999999999997</v>
      </c>
      <c r="H190" s="7">
        <f t="shared" si="15"/>
        <v>-6.5372000000000003</v>
      </c>
      <c r="I190" s="7">
        <f t="shared" si="16"/>
        <v>42.734983840000005</v>
      </c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</row>
    <row r="191" spans="1:25" ht="13.5" thickBot="1">
      <c r="A191" s="6"/>
      <c r="B191" s="15">
        <v>131</v>
      </c>
      <c r="C191" s="15">
        <v>9</v>
      </c>
      <c r="D191" s="7">
        <f t="shared" si="12"/>
        <v>1179</v>
      </c>
      <c r="E191" s="7">
        <f t="shared" si="13"/>
        <v>17161</v>
      </c>
      <c r="F191" s="7">
        <f t="shared" si="13"/>
        <v>81</v>
      </c>
      <c r="G191" s="7">
        <f t="shared" si="14"/>
        <v>4.9025999999999996</v>
      </c>
      <c r="H191" s="7">
        <f t="shared" si="15"/>
        <v>-4.0974000000000004</v>
      </c>
      <c r="I191" s="7">
        <f t="shared" si="16"/>
        <v>16.788686760000004</v>
      </c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</row>
    <row r="192" spans="1:25">
      <c r="A192" s="6"/>
      <c r="B192" s="15">
        <v>126</v>
      </c>
      <c r="C192" s="15">
        <v>7</v>
      </c>
      <c r="D192" s="7">
        <f t="shared" si="12"/>
        <v>882</v>
      </c>
      <c r="E192" s="7">
        <f t="shared" si="13"/>
        <v>15876</v>
      </c>
      <c r="F192" s="7">
        <f t="shared" si="13"/>
        <v>49</v>
      </c>
      <c r="G192" s="7">
        <f t="shared" si="14"/>
        <v>3.8031000000000001</v>
      </c>
      <c r="H192" s="7">
        <f t="shared" si="15"/>
        <v>-3.1968999999999999</v>
      </c>
      <c r="I192" s="7">
        <f t="shared" si="16"/>
        <v>10.220169609999999</v>
      </c>
      <c r="J192" s="77"/>
      <c r="K192" s="20"/>
      <c r="L192" s="20" t="s">
        <v>55</v>
      </c>
      <c r="M192" s="20" t="s">
        <v>48</v>
      </c>
      <c r="N192" s="20" t="s">
        <v>49</v>
      </c>
      <c r="O192" s="20" t="s">
        <v>50</v>
      </c>
      <c r="P192" s="20" t="s">
        <v>51</v>
      </c>
      <c r="Q192" s="77"/>
      <c r="R192" s="77"/>
      <c r="S192" s="77"/>
      <c r="T192" s="77"/>
      <c r="U192" s="77"/>
      <c r="V192" s="77"/>
      <c r="W192" s="77"/>
      <c r="X192" s="77"/>
      <c r="Y192" s="77"/>
    </row>
    <row r="193" spans="1:25">
      <c r="A193" s="6"/>
      <c r="B193" s="15">
        <v>117</v>
      </c>
      <c r="C193" s="15">
        <v>4</v>
      </c>
      <c r="D193" s="7">
        <f t="shared" si="12"/>
        <v>468</v>
      </c>
      <c r="E193" s="7">
        <f t="shared" si="13"/>
        <v>13689</v>
      </c>
      <c r="F193" s="7">
        <f t="shared" si="13"/>
        <v>16</v>
      </c>
      <c r="G193" s="7">
        <f t="shared" si="14"/>
        <v>1.8240000000000001</v>
      </c>
      <c r="H193" s="7">
        <f t="shared" si="15"/>
        <v>-2.1760000000000002</v>
      </c>
      <c r="I193" s="7">
        <f t="shared" si="16"/>
        <v>4.7349760000000005</v>
      </c>
      <c r="J193" s="77"/>
      <c r="K193" s="76" t="s">
        <v>56</v>
      </c>
      <c r="L193" s="18" t="s">
        <v>45</v>
      </c>
      <c r="M193" s="18">
        <v>1</v>
      </c>
      <c r="N193" s="18">
        <f>L186</f>
        <v>439310.6312</v>
      </c>
      <c r="O193" s="18">
        <f>N193/M193</f>
        <v>439310.6312</v>
      </c>
      <c r="P193" s="18">
        <f>O193/O194</f>
        <v>608.46716051537578</v>
      </c>
      <c r="Q193" s="77"/>
      <c r="R193" s="77"/>
      <c r="S193" s="77"/>
      <c r="T193" s="77"/>
      <c r="U193" s="77"/>
      <c r="V193" s="77"/>
      <c r="W193" s="77"/>
      <c r="X193" s="77"/>
      <c r="Y193" s="77"/>
    </row>
    <row r="194" spans="1:25">
      <c r="A194" s="6"/>
      <c r="B194" s="15">
        <v>112</v>
      </c>
      <c r="C194" s="15">
        <v>6</v>
      </c>
      <c r="D194" s="7">
        <f t="shared" si="12"/>
        <v>672</v>
      </c>
      <c r="E194" s="7">
        <f t="shared" si="13"/>
        <v>12544</v>
      </c>
      <c r="F194" s="7">
        <f t="shared" si="13"/>
        <v>36</v>
      </c>
      <c r="G194" s="7">
        <f t="shared" si="14"/>
        <v>0.72450000000000003</v>
      </c>
      <c r="H194" s="7">
        <f t="shared" si="15"/>
        <v>-5.2755000000000001</v>
      </c>
      <c r="I194" s="7">
        <f t="shared" si="16"/>
        <v>27.830900249999999</v>
      </c>
      <c r="J194" s="77"/>
      <c r="K194" s="76" t="s">
        <v>57</v>
      </c>
      <c r="L194" s="18" t="s">
        <v>46</v>
      </c>
      <c r="M194" s="77">
        <v>118</v>
      </c>
      <c r="N194" s="18">
        <f>L185</f>
        <v>85195.484400000001</v>
      </c>
      <c r="O194" s="18">
        <f>N194/M194</f>
        <v>721.99563050847462</v>
      </c>
      <c r="P194" s="18"/>
      <c r="Q194" s="77"/>
      <c r="R194" s="77"/>
      <c r="S194" s="77"/>
      <c r="T194" s="77"/>
      <c r="U194" s="77"/>
      <c r="V194" s="77"/>
      <c r="W194" s="77"/>
      <c r="X194" s="77"/>
      <c r="Y194" s="77"/>
    </row>
    <row r="195" spans="1:25" ht="13.5" thickBot="1">
      <c r="A195" s="6"/>
      <c r="B195" s="15">
        <v>113</v>
      </c>
      <c r="C195" s="15">
        <v>2</v>
      </c>
      <c r="D195" s="7">
        <f t="shared" si="12"/>
        <v>226</v>
      </c>
      <c r="E195" s="7">
        <f t="shared" si="13"/>
        <v>12769</v>
      </c>
      <c r="F195" s="7">
        <f t="shared" si="13"/>
        <v>4</v>
      </c>
      <c r="G195" s="7">
        <f t="shared" si="14"/>
        <v>0.94440000000000002</v>
      </c>
      <c r="H195" s="7">
        <f t="shared" si="15"/>
        <v>-1.0556000000000001</v>
      </c>
      <c r="I195" s="7">
        <f t="shared" si="16"/>
        <v>1.1142913600000002</v>
      </c>
      <c r="J195" s="77"/>
      <c r="K195" s="24" t="s">
        <v>58</v>
      </c>
      <c r="L195" s="19" t="s">
        <v>47</v>
      </c>
      <c r="M195" s="28">
        <v>119</v>
      </c>
      <c r="N195" s="19">
        <f>L187</f>
        <v>524434.89450000005</v>
      </c>
      <c r="O195" s="19"/>
      <c r="P195" s="19"/>
      <c r="Q195" s="77"/>
      <c r="R195" s="77"/>
      <c r="S195" s="77"/>
      <c r="T195" s="77"/>
      <c r="U195" s="77"/>
      <c r="V195" s="77"/>
      <c r="W195" s="77"/>
      <c r="X195" s="77"/>
      <c r="Y195" s="77"/>
    </row>
    <row r="196" spans="1:25">
      <c r="A196" s="6"/>
      <c r="B196" s="15">
        <v>116</v>
      </c>
      <c r="C196" s="15">
        <v>3</v>
      </c>
      <c r="D196" s="7">
        <f t="shared" ref="D196:D250" si="17">B196*C196</f>
        <v>348</v>
      </c>
      <c r="E196" s="7">
        <f t="shared" ref="E196:F250" si="18">B196^2</f>
        <v>13456</v>
      </c>
      <c r="F196" s="7">
        <f t="shared" si="18"/>
        <v>9</v>
      </c>
      <c r="G196" s="7">
        <f t="shared" ref="G196:G250" si="19">ROUND($M$178+$M$175*B196,4)</f>
        <v>1.6041000000000001</v>
      </c>
      <c r="H196" s="7">
        <f t="shared" ref="H196:H250" si="20">ROUND(G196-C196,4)</f>
        <v>-1.3958999999999999</v>
      </c>
      <c r="I196" s="7">
        <f t="shared" ref="I196:I250" si="21">H196^2</f>
        <v>1.9485368099999998</v>
      </c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</row>
    <row r="197" spans="1:25">
      <c r="A197" s="6"/>
      <c r="B197" s="15">
        <v>122</v>
      </c>
      <c r="C197" s="15">
        <v>9</v>
      </c>
      <c r="D197" s="7">
        <f t="shared" si="17"/>
        <v>1098</v>
      </c>
      <c r="E197" s="7">
        <f t="shared" si="18"/>
        <v>14884</v>
      </c>
      <c r="F197" s="7">
        <f t="shared" si="18"/>
        <v>81</v>
      </c>
      <c r="G197" s="7">
        <f t="shared" si="19"/>
        <v>2.9235000000000002</v>
      </c>
      <c r="H197" s="7">
        <f t="shared" si="20"/>
        <v>-6.0765000000000002</v>
      </c>
      <c r="I197" s="7">
        <f t="shared" si="21"/>
        <v>36.923852250000003</v>
      </c>
      <c r="J197" s="77"/>
      <c r="K197" s="73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</row>
    <row r="198" spans="1:25">
      <c r="A198" s="6"/>
      <c r="B198" s="15">
        <v>128</v>
      </c>
      <c r="C198" s="15">
        <v>5</v>
      </c>
      <c r="D198" s="7">
        <f t="shared" si="17"/>
        <v>640</v>
      </c>
      <c r="E198" s="7">
        <f t="shared" si="18"/>
        <v>16384</v>
      </c>
      <c r="F198" s="7">
        <f t="shared" si="18"/>
        <v>25</v>
      </c>
      <c r="G198" s="7">
        <f t="shared" si="19"/>
        <v>4.2428999999999997</v>
      </c>
      <c r="H198" s="7">
        <f t="shared" si="20"/>
        <v>-0.7571</v>
      </c>
      <c r="I198" s="7">
        <f t="shared" si="21"/>
        <v>0.57320040999999999</v>
      </c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</row>
    <row r="199" spans="1:25">
      <c r="A199" s="6"/>
      <c r="B199" s="15">
        <v>119</v>
      </c>
      <c r="C199" s="15">
        <v>6</v>
      </c>
      <c r="D199" s="7">
        <f t="shared" si="17"/>
        <v>714</v>
      </c>
      <c r="E199" s="7">
        <f t="shared" si="18"/>
        <v>14161</v>
      </c>
      <c r="F199" s="7">
        <f t="shared" si="18"/>
        <v>36</v>
      </c>
      <c r="G199" s="7">
        <f t="shared" si="19"/>
        <v>2.2637999999999998</v>
      </c>
      <c r="H199" s="7">
        <f t="shared" si="20"/>
        <v>-3.7362000000000002</v>
      </c>
      <c r="I199" s="7">
        <f t="shared" si="21"/>
        <v>13.959190440000002</v>
      </c>
      <c r="J199" s="77"/>
      <c r="K199" s="14"/>
      <c r="L199" s="14"/>
      <c r="M199" s="14"/>
      <c r="N199" s="14"/>
      <c r="O199" s="14"/>
      <c r="P199" s="77"/>
      <c r="Q199" s="77"/>
      <c r="R199" s="77"/>
      <c r="S199" s="77"/>
      <c r="T199" s="77"/>
      <c r="U199" s="77"/>
      <c r="V199" s="77"/>
      <c r="W199" s="77"/>
      <c r="X199" s="77"/>
      <c r="Y199" s="77"/>
    </row>
    <row r="200" spans="1:25">
      <c r="A200" s="6"/>
      <c r="B200" s="15">
        <v>113</v>
      </c>
      <c r="C200" s="15">
        <v>6</v>
      </c>
      <c r="D200" s="7">
        <f t="shared" si="17"/>
        <v>678</v>
      </c>
      <c r="E200" s="7">
        <f t="shared" si="18"/>
        <v>12769</v>
      </c>
      <c r="F200" s="7">
        <f t="shared" si="18"/>
        <v>36</v>
      </c>
      <c r="G200" s="7">
        <f t="shared" si="19"/>
        <v>0.94440000000000002</v>
      </c>
      <c r="H200" s="7">
        <f t="shared" si="20"/>
        <v>-5.0556000000000001</v>
      </c>
      <c r="I200" s="7">
        <f t="shared" si="21"/>
        <v>25.55909136</v>
      </c>
      <c r="J200" s="77"/>
      <c r="K200" s="29" t="s">
        <v>80</v>
      </c>
      <c r="L200" s="14">
        <v>0.05</v>
      </c>
      <c r="M200" s="14"/>
      <c r="N200" s="14"/>
      <c r="O200" s="14"/>
      <c r="P200" s="77"/>
      <c r="Q200" s="77"/>
      <c r="R200" s="77"/>
      <c r="S200" s="77"/>
      <c r="T200" s="77"/>
      <c r="U200" s="77"/>
      <c r="V200" s="77"/>
      <c r="W200" s="77"/>
      <c r="X200" s="77"/>
      <c r="Y200" s="77"/>
    </row>
    <row r="201" spans="1:25">
      <c r="A201" s="6"/>
      <c r="B201" s="15">
        <v>119</v>
      </c>
      <c r="C201" s="15">
        <v>2</v>
      </c>
      <c r="D201" s="7">
        <f t="shared" si="17"/>
        <v>238</v>
      </c>
      <c r="E201" s="7">
        <f t="shared" si="18"/>
        <v>14161</v>
      </c>
      <c r="F201" s="7">
        <f t="shared" si="18"/>
        <v>4</v>
      </c>
      <c r="G201" s="7">
        <f t="shared" si="19"/>
        <v>2.2637999999999998</v>
      </c>
      <c r="H201" s="7">
        <f t="shared" si="20"/>
        <v>0.26379999999999998</v>
      </c>
      <c r="I201" s="7">
        <f t="shared" si="21"/>
        <v>6.959043999999999E-2</v>
      </c>
      <c r="J201" s="77"/>
      <c r="K201" s="14"/>
      <c r="L201" s="14"/>
      <c r="M201" s="14"/>
      <c r="N201" s="14"/>
      <c r="O201" s="14"/>
      <c r="P201" s="77"/>
      <c r="Q201" s="77"/>
      <c r="R201" s="77"/>
      <c r="S201" s="77"/>
      <c r="T201" s="77"/>
      <c r="U201" s="77"/>
      <c r="V201" s="77"/>
      <c r="W201" s="77"/>
      <c r="X201" s="77"/>
      <c r="Y201" s="77"/>
    </row>
    <row r="202" spans="1:25">
      <c r="A202" s="6"/>
      <c r="B202" s="15">
        <v>118</v>
      </c>
      <c r="C202" s="15">
        <v>5</v>
      </c>
      <c r="D202" s="7">
        <f t="shared" si="17"/>
        <v>590</v>
      </c>
      <c r="E202" s="7">
        <f t="shared" si="18"/>
        <v>13924</v>
      </c>
      <c r="F202" s="7">
        <f t="shared" si="18"/>
        <v>25</v>
      </c>
      <c r="G202" s="7">
        <f t="shared" si="19"/>
        <v>2.0438999999999998</v>
      </c>
      <c r="H202" s="7">
        <f t="shared" si="20"/>
        <v>-2.9561000000000002</v>
      </c>
      <c r="I202" s="7">
        <f t="shared" si="21"/>
        <v>8.7385272100000009</v>
      </c>
      <c r="J202" s="77"/>
      <c r="K202" s="14"/>
      <c r="L202" s="14"/>
      <c r="M202" s="14"/>
      <c r="N202" s="14"/>
      <c r="O202" s="14"/>
      <c r="P202" s="77"/>
      <c r="Q202" s="77"/>
      <c r="R202" s="77"/>
      <c r="S202" s="77"/>
      <c r="T202" s="77"/>
      <c r="U202" s="77"/>
      <c r="V202" s="77"/>
      <c r="W202" s="77"/>
      <c r="X202" s="77"/>
      <c r="Y202" s="77"/>
    </row>
    <row r="203" spans="1:25">
      <c r="A203" s="6"/>
      <c r="B203" s="15">
        <v>116</v>
      </c>
      <c r="C203" s="15">
        <v>8</v>
      </c>
      <c r="D203" s="7">
        <f t="shared" si="17"/>
        <v>928</v>
      </c>
      <c r="E203" s="7">
        <f t="shared" si="18"/>
        <v>13456</v>
      </c>
      <c r="F203" s="7">
        <f t="shared" si="18"/>
        <v>64</v>
      </c>
      <c r="G203" s="7">
        <f t="shared" si="19"/>
        <v>1.6041000000000001</v>
      </c>
      <c r="H203" s="7">
        <f t="shared" si="20"/>
        <v>-6.3959000000000001</v>
      </c>
      <c r="I203" s="7">
        <f t="shared" si="21"/>
        <v>40.907536810000003</v>
      </c>
      <c r="J203" s="77"/>
      <c r="K203" s="14"/>
      <c r="L203" s="14"/>
      <c r="M203" s="14"/>
      <c r="N203" s="14"/>
      <c r="O203" s="14"/>
      <c r="P203" s="77"/>
      <c r="Q203" s="77"/>
      <c r="R203" s="77"/>
      <c r="S203" s="77"/>
      <c r="T203" s="77"/>
      <c r="U203" s="77"/>
      <c r="V203" s="77"/>
      <c r="W203" s="77"/>
      <c r="X203" s="77"/>
      <c r="Y203" s="77"/>
    </row>
    <row r="204" spans="1:25">
      <c r="A204" s="6"/>
      <c r="B204" s="15">
        <v>109</v>
      </c>
      <c r="C204" s="15">
        <v>2</v>
      </c>
      <c r="D204" s="7">
        <f t="shared" si="17"/>
        <v>218</v>
      </c>
      <c r="E204" s="7">
        <f t="shared" si="18"/>
        <v>11881</v>
      </c>
      <c r="F204" s="7">
        <f t="shared" si="18"/>
        <v>4</v>
      </c>
      <c r="G204" s="7">
        <f t="shared" si="19"/>
        <v>6.4799999999999996E-2</v>
      </c>
      <c r="H204" s="7">
        <f t="shared" si="20"/>
        <v>-1.9352</v>
      </c>
      <c r="I204" s="7">
        <f t="shared" si="21"/>
        <v>3.7449990400000002</v>
      </c>
      <c r="J204" s="77"/>
      <c r="K204" s="29" t="s">
        <v>133</v>
      </c>
      <c r="L204" s="14">
        <f>P193</f>
        <v>608.46716051537578</v>
      </c>
      <c r="M204" s="14"/>
      <c r="N204" s="14"/>
      <c r="O204" s="14"/>
      <c r="P204" s="77"/>
      <c r="Q204" s="77"/>
      <c r="R204" s="77"/>
      <c r="S204" s="77"/>
      <c r="T204" s="77"/>
      <c r="U204" s="77"/>
      <c r="V204" s="77"/>
      <c r="W204" s="77"/>
      <c r="X204" s="77"/>
      <c r="Y204" s="77"/>
    </row>
    <row r="205" spans="1:25">
      <c r="A205" s="6"/>
      <c r="B205" s="15">
        <v>101</v>
      </c>
      <c r="C205" s="15">
        <v>4</v>
      </c>
      <c r="D205" s="7">
        <f t="shared" si="17"/>
        <v>404</v>
      </c>
      <c r="E205" s="7">
        <f t="shared" si="18"/>
        <v>10201</v>
      </c>
      <c r="F205" s="7">
        <f t="shared" si="18"/>
        <v>16</v>
      </c>
      <c r="G205" s="7">
        <f t="shared" si="19"/>
        <v>-1.6943999999999999</v>
      </c>
      <c r="H205" s="7">
        <f t="shared" si="20"/>
        <v>-5.6943999999999999</v>
      </c>
      <c r="I205" s="7">
        <f t="shared" si="21"/>
        <v>32.426191359999997</v>
      </c>
      <c r="J205" s="77"/>
      <c r="K205" s="14"/>
      <c r="L205" s="14"/>
      <c r="M205" s="14"/>
      <c r="N205" s="14"/>
      <c r="O205" s="14"/>
      <c r="P205" s="77"/>
      <c r="Q205" s="77"/>
      <c r="R205" s="77"/>
      <c r="S205" s="77"/>
      <c r="T205" s="77"/>
      <c r="U205" s="77"/>
      <c r="V205" s="77"/>
      <c r="W205" s="77"/>
      <c r="X205" s="77"/>
      <c r="Y205" s="77"/>
    </row>
    <row r="206" spans="1:25">
      <c r="A206" s="6"/>
      <c r="B206" s="15">
        <v>103</v>
      </c>
      <c r="C206" s="15">
        <v>5</v>
      </c>
      <c r="D206" s="7">
        <f t="shared" si="17"/>
        <v>515</v>
      </c>
      <c r="E206" s="7">
        <f t="shared" si="18"/>
        <v>10609</v>
      </c>
      <c r="F206" s="7">
        <f t="shared" si="18"/>
        <v>25</v>
      </c>
      <c r="G206" s="7">
        <f t="shared" si="19"/>
        <v>-1.2545999999999999</v>
      </c>
      <c r="H206" s="7">
        <f t="shared" si="20"/>
        <v>-6.2545999999999999</v>
      </c>
      <c r="I206" s="7">
        <f t="shared" si="21"/>
        <v>39.12002116</v>
      </c>
      <c r="J206" s="77"/>
      <c r="K206" s="14"/>
      <c r="L206" s="14"/>
      <c r="M206" s="14"/>
      <c r="N206" s="14"/>
      <c r="O206" s="14"/>
      <c r="P206" s="77"/>
      <c r="Q206" s="77"/>
      <c r="R206" s="77"/>
      <c r="S206" s="77"/>
      <c r="T206" s="77"/>
      <c r="U206" s="77"/>
      <c r="V206" s="77"/>
      <c r="W206" s="77"/>
      <c r="X206" s="77"/>
      <c r="Y206" s="77"/>
    </row>
    <row r="207" spans="1:25">
      <c r="A207" s="6"/>
      <c r="B207" s="15">
        <v>109</v>
      </c>
      <c r="C207" s="15">
        <v>3</v>
      </c>
      <c r="D207" s="7">
        <f t="shared" si="17"/>
        <v>327</v>
      </c>
      <c r="E207" s="7">
        <f t="shared" si="18"/>
        <v>11881</v>
      </c>
      <c r="F207" s="7">
        <f t="shared" si="18"/>
        <v>9</v>
      </c>
      <c r="G207" s="7">
        <f t="shared" si="19"/>
        <v>6.4799999999999996E-2</v>
      </c>
      <c r="H207" s="7">
        <f t="shared" si="20"/>
        <v>-2.9352</v>
      </c>
      <c r="I207" s="7">
        <f t="shared" si="21"/>
        <v>8.6153990399999998</v>
      </c>
      <c r="J207" s="77"/>
      <c r="K207" s="14" t="str">
        <f>"f(0,05);("&amp;M193&amp;","&amp;M194&amp;")="</f>
        <v>f(0,05);(1,118)=</v>
      </c>
      <c r="L207" s="14">
        <f>ROUND(_xlfn.F.INV.RT(L200,M193,M194),4)</f>
        <v>3.9215</v>
      </c>
      <c r="M207" s="14"/>
      <c r="N207" s="14"/>
      <c r="O207" s="14"/>
      <c r="P207" s="77"/>
      <c r="Q207" s="77"/>
      <c r="R207" s="77"/>
      <c r="S207" s="77"/>
      <c r="T207" s="77"/>
      <c r="U207" s="77"/>
      <c r="V207" s="77"/>
      <c r="W207" s="77"/>
      <c r="X207" s="77"/>
      <c r="Y207" s="77"/>
    </row>
    <row r="208" spans="1:25">
      <c r="A208" s="6"/>
      <c r="B208" s="15">
        <v>112</v>
      </c>
      <c r="C208" s="15">
        <v>1</v>
      </c>
      <c r="D208" s="7">
        <f t="shared" si="17"/>
        <v>112</v>
      </c>
      <c r="E208" s="7">
        <f t="shared" si="18"/>
        <v>12544</v>
      </c>
      <c r="F208" s="7">
        <f t="shared" si="18"/>
        <v>1</v>
      </c>
      <c r="G208" s="7">
        <f t="shared" si="19"/>
        <v>0.72450000000000003</v>
      </c>
      <c r="H208" s="7">
        <f t="shared" si="20"/>
        <v>-0.27550000000000002</v>
      </c>
      <c r="I208" s="7">
        <f t="shared" si="21"/>
        <v>7.5900250000000016E-2</v>
      </c>
      <c r="J208" s="77"/>
      <c r="K208" s="14"/>
      <c r="L208" s="14"/>
      <c r="M208" s="14"/>
      <c r="N208" s="14"/>
      <c r="O208" s="14"/>
      <c r="P208" s="77"/>
      <c r="Q208" s="77"/>
      <c r="R208" s="77"/>
      <c r="S208" s="77"/>
      <c r="T208" s="77"/>
      <c r="U208" s="77"/>
      <c r="V208" s="77"/>
      <c r="W208" s="77"/>
      <c r="X208" s="77"/>
      <c r="Y208" s="77"/>
    </row>
    <row r="209" spans="1:25">
      <c r="A209" s="6"/>
      <c r="B209" s="15">
        <v>113</v>
      </c>
      <c r="C209" s="15">
        <v>5</v>
      </c>
      <c r="D209" s="7">
        <f t="shared" si="17"/>
        <v>565</v>
      </c>
      <c r="E209" s="7">
        <f t="shared" si="18"/>
        <v>12769</v>
      </c>
      <c r="F209" s="7">
        <f t="shared" si="18"/>
        <v>25</v>
      </c>
      <c r="G209" s="7">
        <f t="shared" si="19"/>
        <v>0.94440000000000002</v>
      </c>
      <c r="H209" s="7">
        <f t="shared" si="20"/>
        <v>-4.0556000000000001</v>
      </c>
      <c r="I209" s="7">
        <f t="shared" si="21"/>
        <v>16.44789136</v>
      </c>
      <c r="J209" s="77"/>
      <c r="K209" s="14" t="str">
        <f>IF(L207&lt;=L204, "R: Como  " &amp;ROUND(L207,4) &amp;" &lt; "&amp;ROUND(L204,4)&amp;" o modelo é significativo","R: Como  " &amp;ROUND(L207,4) &amp;" &gt; "&amp;ROUND(L204,4)&amp;" o modelo não é significativo" )</f>
        <v>R: Como  3,9215 &lt; 608,4672 o modelo é significativo</v>
      </c>
      <c r="L209" s="14"/>
      <c r="M209" s="14"/>
      <c r="N209" s="14"/>
      <c r="O209" s="14"/>
      <c r="P209" s="77"/>
      <c r="Q209" s="77"/>
      <c r="R209" s="77"/>
      <c r="S209" s="77"/>
      <c r="T209" s="77"/>
      <c r="U209" s="77"/>
      <c r="V209" s="77"/>
      <c r="W209" s="77"/>
      <c r="X209" s="77"/>
      <c r="Y209" s="77"/>
    </row>
    <row r="210" spans="1:25">
      <c r="A210" s="6"/>
      <c r="B210" s="15">
        <v>110</v>
      </c>
      <c r="C210" s="15">
        <v>1</v>
      </c>
      <c r="D210" s="7">
        <f t="shared" si="17"/>
        <v>110</v>
      </c>
      <c r="E210" s="7">
        <f t="shared" si="18"/>
        <v>12100</v>
      </c>
      <c r="F210" s="7">
        <f t="shared" si="18"/>
        <v>1</v>
      </c>
      <c r="G210" s="7">
        <f t="shared" si="19"/>
        <v>0.28470000000000001</v>
      </c>
      <c r="H210" s="7">
        <f t="shared" si="20"/>
        <v>-0.71530000000000005</v>
      </c>
      <c r="I210" s="7">
        <f t="shared" si="21"/>
        <v>0.51165409000000006</v>
      </c>
      <c r="J210" s="77"/>
      <c r="K210" s="14"/>
      <c r="L210" s="14"/>
      <c r="M210" s="14"/>
      <c r="N210" s="14"/>
      <c r="O210" s="14"/>
      <c r="P210" s="77"/>
      <c r="Q210" s="77"/>
      <c r="R210" s="77"/>
      <c r="S210" s="77"/>
      <c r="T210" s="77"/>
      <c r="U210" s="77"/>
      <c r="V210" s="77"/>
      <c r="W210" s="77"/>
      <c r="X210" s="77"/>
      <c r="Y210" s="77"/>
    </row>
    <row r="211" spans="1:25">
      <c r="A211" s="6"/>
      <c r="B211" s="15">
        <v>104</v>
      </c>
      <c r="C211" s="15">
        <v>4</v>
      </c>
      <c r="D211" s="7">
        <f t="shared" si="17"/>
        <v>416</v>
      </c>
      <c r="E211" s="7">
        <f t="shared" si="18"/>
        <v>10816</v>
      </c>
      <c r="F211" s="7">
        <f t="shared" si="18"/>
        <v>16</v>
      </c>
      <c r="G211" s="7">
        <f t="shared" si="19"/>
        <v>-1.0347</v>
      </c>
      <c r="H211" s="7">
        <f t="shared" si="20"/>
        <v>-5.0347</v>
      </c>
      <c r="I211" s="7">
        <f t="shared" si="21"/>
        <v>25.348204089999999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5">
      <c r="A212" s="6"/>
      <c r="B212" s="15">
        <v>98</v>
      </c>
      <c r="C212" s="15">
        <v>1</v>
      </c>
      <c r="D212" s="7">
        <f t="shared" si="17"/>
        <v>98</v>
      </c>
      <c r="E212" s="7">
        <f t="shared" si="18"/>
        <v>9604</v>
      </c>
      <c r="F212" s="7">
        <f t="shared" si="18"/>
        <v>1</v>
      </c>
      <c r="G212" s="7">
        <f t="shared" si="19"/>
        <v>-2.3540999999999999</v>
      </c>
      <c r="H212" s="7">
        <f t="shared" si="20"/>
        <v>-3.3540999999999999</v>
      </c>
      <c r="I212" s="7">
        <f t="shared" si="21"/>
        <v>11.249986809999999</v>
      </c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5">
      <c r="A213" s="6"/>
      <c r="B213" s="15">
        <v>98</v>
      </c>
      <c r="C213" s="15">
        <v>2</v>
      </c>
      <c r="D213" s="7">
        <f t="shared" si="17"/>
        <v>196</v>
      </c>
      <c r="E213" s="7">
        <f t="shared" si="18"/>
        <v>9604</v>
      </c>
      <c r="F213" s="7">
        <f t="shared" si="18"/>
        <v>4</v>
      </c>
      <c r="G213" s="7">
        <f t="shared" si="19"/>
        <v>-2.3540999999999999</v>
      </c>
      <c r="H213" s="7">
        <f t="shared" si="20"/>
        <v>-4.3540999999999999</v>
      </c>
      <c r="I213" s="7">
        <f t="shared" si="21"/>
        <v>18.958186809999997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5">
      <c r="A214" s="6"/>
      <c r="B214" s="15">
        <v>98</v>
      </c>
      <c r="C214" s="15">
        <v>6</v>
      </c>
      <c r="D214" s="7">
        <f t="shared" si="17"/>
        <v>588</v>
      </c>
      <c r="E214" s="7">
        <f t="shared" si="18"/>
        <v>9604</v>
      </c>
      <c r="F214" s="7">
        <f t="shared" si="18"/>
        <v>36</v>
      </c>
      <c r="G214" s="7">
        <f t="shared" si="19"/>
        <v>-2.3540999999999999</v>
      </c>
      <c r="H214" s="7">
        <f t="shared" si="20"/>
        <v>-8.3541000000000007</v>
      </c>
      <c r="I214" s="7">
        <f t="shared" si="21"/>
        <v>69.790986810000007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5">
      <c r="A215" s="6"/>
      <c r="B215" s="15">
        <v>91</v>
      </c>
      <c r="C215" s="15">
        <v>0</v>
      </c>
      <c r="D215" s="7">
        <f t="shared" si="17"/>
        <v>0</v>
      </c>
      <c r="E215" s="7">
        <f t="shared" si="18"/>
        <v>8281</v>
      </c>
      <c r="F215" s="7">
        <f t="shared" si="18"/>
        <v>0</v>
      </c>
      <c r="G215" s="7">
        <f t="shared" si="19"/>
        <v>-3.8934000000000002</v>
      </c>
      <c r="H215" s="7">
        <f t="shared" si="20"/>
        <v>-3.8934000000000002</v>
      </c>
      <c r="I215" s="7">
        <f t="shared" si="21"/>
        <v>15.158563560000001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5">
      <c r="A216" s="6"/>
      <c r="B216" s="15">
        <v>86</v>
      </c>
      <c r="C216" s="15">
        <v>5</v>
      </c>
      <c r="D216" s="7">
        <f t="shared" si="17"/>
        <v>430</v>
      </c>
      <c r="E216" s="7">
        <f t="shared" si="18"/>
        <v>7396</v>
      </c>
      <c r="F216" s="7">
        <f t="shared" si="18"/>
        <v>25</v>
      </c>
      <c r="G216" s="7">
        <f t="shared" si="19"/>
        <v>-4.9928999999999997</v>
      </c>
      <c r="H216" s="7">
        <f t="shared" si="20"/>
        <v>-9.9929000000000006</v>
      </c>
      <c r="I216" s="7">
        <f t="shared" si="21"/>
        <v>99.858050410000004</v>
      </c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5">
      <c r="A217" s="6"/>
      <c r="B217" s="15">
        <v>88</v>
      </c>
      <c r="C217" s="15">
        <v>3</v>
      </c>
      <c r="D217" s="7">
        <f t="shared" si="17"/>
        <v>264</v>
      </c>
      <c r="E217" s="7">
        <f t="shared" si="18"/>
        <v>7744</v>
      </c>
      <c r="F217" s="7">
        <f t="shared" si="18"/>
        <v>9</v>
      </c>
      <c r="G217" s="7">
        <f t="shared" si="19"/>
        <v>-4.5530999999999997</v>
      </c>
      <c r="H217" s="7">
        <f t="shared" si="20"/>
        <v>-7.5530999999999997</v>
      </c>
      <c r="I217" s="7">
        <f t="shared" si="21"/>
        <v>57.049319609999998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5">
      <c r="A218" s="6"/>
      <c r="B218" s="15">
        <v>89</v>
      </c>
      <c r="C218" s="15">
        <v>1</v>
      </c>
      <c r="D218" s="7">
        <f t="shared" si="17"/>
        <v>89</v>
      </c>
      <c r="E218" s="7">
        <f t="shared" si="18"/>
        <v>7921</v>
      </c>
      <c r="F218" s="7">
        <f t="shared" si="18"/>
        <v>1</v>
      </c>
      <c r="G218" s="7">
        <f t="shared" si="19"/>
        <v>-4.3331999999999997</v>
      </c>
      <c r="H218" s="7">
        <f t="shared" si="20"/>
        <v>-5.3331999999999997</v>
      </c>
      <c r="I218" s="7">
        <f t="shared" si="21"/>
        <v>28.443022239999998</v>
      </c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5">
      <c r="A219" s="6"/>
      <c r="B219" s="15">
        <v>89</v>
      </c>
      <c r="C219" s="15">
        <v>0</v>
      </c>
      <c r="D219" s="7">
        <f t="shared" si="17"/>
        <v>0</v>
      </c>
      <c r="E219" s="7">
        <f t="shared" si="18"/>
        <v>7921</v>
      </c>
      <c r="F219" s="7">
        <f t="shared" si="18"/>
        <v>0</v>
      </c>
      <c r="G219" s="7">
        <f t="shared" si="19"/>
        <v>-4.3331999999999997</v>
      </c>
      <c r="H219" s="7">
        <f t="shared" si="20"/>
        <v>-4.3331999999999997</v>
      </c>
      <c r="I219" s="7">
        <f t="shared" si="21"/>
        <v>18.776622239999998</v>
      </c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5">
      <c r="A220" s="6"/>
      <c r="B220" s="15">
        <v>84</v>
      </c>
      <c r="C220" s="15">
        <v>2</v>
      </c>
      <c r="D220" s="7">
        <f t="shared" si="17"/>
        <v>168</v>
      </c>
      <c r="E220" s="7">
        <f t="shared" si="18"/>
        <v>7056</v>
      </c>
      <c r="F220" s="7">
        <f t="shared" si="18"/>
        <v>4</v>
      </c>
      <c r="G220" s="7">
        <f t="shared" si="19"/>
        <v>-5.4326999999999996</v>
      </c>
      <c r="H220" s="7">
        <f t="shared" si="20"/>
        <v>-7.4326999999999996</v>
      </c>
      <c r="I220" s="7">
        <f t="shared" si="21"/>
        <v>55.245029289999998</v>
      </c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5">
      <c r="A221" s="6"/>
      <c r="B221" s="15">
        <v>85</v>
      </c>
      <c r="C221" s="15">
        <v>1</v>
      </c>
      <c r="D221" s="7">
        <f t="shared" si="17"/>
        <v>85</v>
      </c>
      <c r="E221" s="7">
        <f t="shared" si="18"/>
        <v>7225</v>
      </c>
      <c r="F221" s="7">
        <f t="shared" si="18"/>
        <v>1</v>
      </c>
      <c r="G221" s="7">
        <f t="shared" si="19"/>
        <v>-5.2127999999999997</v>
      </c>
      <c r="H221" s="7">
        <f t="shared" si="20"/>
        <v>-6.2127999999999997</v>
      </c>
      <c r="I221" s="7">
        <f t="shared" si="21"/>
        <v>38.598883839999999</v>
      </c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5">
      <c r="A222" s="6"/>
      <c r="B222" s="15">
        <v>90</v>
      </c>
      <c r="C222" s="15">
        <v>0</v>
      </c>
      <c r="D222" s="7">
        <f t="shared" si="17"/>
        <v>0</v>
      </c>
      <c r="E222" s="7">
        <f t="shared" si="18"/>
        <v>8100</v>
      </c>
      <c r="F222" s="7">
        <f t="shared" si="18"/>
        <v>0</v>
      </c>
      <c r="G222" s="7">
        <f t="shared" si="19"/>
        <v>-4.1132999999999997</v>
      </c>
      <c r="H222" s="7">
        <f t="shared" si="20"/>
        <v>-4.1132999999999997</v>
      </c>
      <c r="I222" s="7">
        <f t="shared" si="21"/>
        <v>16.919236889999997</v>
      </c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5">
      <c r="A223" s="6"/>
      <c r="B223" s="15">
        <v>87</v>
      </c>
      <c r="C223" s="15">
        <v>4</v>
      </c>
      <c r="D223" s="7">
        <f t="shared" si="17"/>
        <v>348</v>
      </c>
      <c r="E223" s="7">
        <f t="shared" si="18"/>
        <v>7569</v>
      </c>
      <c r="F223" s="7">
        <f t="shared" si="18"/>
        <v>16</v>
      </c>
      <c r="G223" s="7">
        <f t="shared" si="19"/>
        <v>-4.7729999999999997</v>
      </c>
      <c r="H223" s="7">
        <f t="shared" si="20"/>
        <v>-8.7729999999999997</v>
      </c>
      <c r="I223" s="7">
        <f t="shared" si="21"/>
        <v>76.965528999999989</v>
      </c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5">
      <c r="A224" s="6"/>
      <c r="B224" s="15">
        <v>83</v>
      </c>
      <c r="C224" s="15">
        <v>2</v>
      </c>
      <c r="D224" s="7">
        <f t="shared" si="17"/>
        <v>166</v>
      </c>
      <c r="E224" s="7">
        <f t="shared" si="18"/>
        <v>6889</v>
      </c>
      <c r="F224" s="7">
        <f t="shared" si="18"/>
        <v>4</v>
      </c>
      <c r="G224" s="7">
        <f t="shared" si="19"/>
        <v>-5.6525999999999996</v>
      </c>
      <c r="H224" s="7">
        <f t="shared" si="20"/>
        <v>-7.6525999999999996</v>
      </c>
      <c r="I224" s="7">
        <f t="shared" si="21"/>
        <v>58.562286759999992</v>
      </c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>
      <c r="A225" s="6"/>
      <c r="B225" s="15">
        <v>77</v>
      </c>
      <c r="C225" s="15">
        <v>5</v>
      </c>
      <c r="D225" s="7">
        <f t="shared" si="17"/>
        <v>385</v>
      </c>
      <c r="E225" s="7">
        <f t="shared" si="18"/>
        <v>5929</v>
      </c>
      <c r="F225" s="7">
        <f t="shared" si="18"/>
        <v>25</v>
      </c>
      <c r="G225" s="7">
        <f t="shared" si="19"/>
        <v>-6.9720000000000004</v>
      </c>
      <c r="H225" s="7">
        <f t="shared" si="20"/>
        <v>-11.972</v>
      </c>
      <c r="I225" s="7">
        <f t="shared" si="21"/>
        <v>143.32878399999998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>
      <c r="A226" s="6"/>
      <c r="B226" s="15">
        <v>75</v>
      </c>
      <c r="C226" s="15">
        <v>1</v>
      </c>
      <c r="D226" s="7">
        <f t="shared" si="17"/>
        <v>75</v>
      </c>
      <c r="E226" s="7">
        <f t="shared" si="18"/>
        <v>5625</v>
      </c>
      <c r="F226" s="7">
        <f t="shared" si="18"/>
        <v>1</v>
      </c>
      <c r="G226" s="7">
        <f t="shared" si="19"/>
        <v>-7.4118000000000004</v>
      </c>
      <c r="H226" s="7">
        <f t="shared" si="20"/>
        <v>-8.4117999999999995</v>
      </c>
      <c r="I226" s="7">
        <f t="shared" si="21"/>
        <v>70.758379239999996</v>
      </c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>
      <c r="A227" s="6"/>
      <c r="B227" s="15">
        <v>74</v>
      </c>
      <c r="C227" s="15">
        <v>2</v>
      </c>
      <c r="D227" s="7">
        <f t="shared" si="17"/>
        <v>148</v>
      </c>
      <c r="E227" s="7">
        <f t="shared" si="18"/>
        <v>5476</v>
      </c>
      <c r="F227" s="7">
        <f t="shared" si="18"/>
        <v>4</v>
      </c>
      <c r="G227" s="7">
        <f t="shared" si="19"/>
        <v>-7.6317000000000004</v>
      </c>
      <c r="H227" s="7">
        <f t="shared" si="20"/>
        <v>-9.6317000000000004</v>
      </c>
      <c r="I227" s="7">
        <f t="shared" si="21"/>
        <v>92.769644890000009</v>
      </c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>
      <c r="A228" s="6"/>
      <c r="B228" s="15">
        <v>74</v>
      </c>
      <c r="C228" s="15">
        <v>1</v>
      </c>
      <c r="D228" s="7">
        <f t="shared" si="17"/>
        <v>74</v>
      </c>
      <c r="E228" s="7">
        <f t="shared" si="18"/>
        <v>5476</v>
      </c>
      <c r="F228" s="7">
        <f t="shared" si="18"/>
        <v>1</v>
      </c>
      <c r="G228" s="7">
        <f t="shared" si="19"/>
        <v>-7.6317000000000004</v>
      </c>
      <c r="H228" s="7">
        <f t="shared" si="20"/>
        <v>-8.6317000000000004</v>
      </c>
      <c r="I228" s="7">
        <f t="shared" si="21"/>
        <v>74.506244890000005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>
      <c r="A229" s="6"/>
      <c r="B229" s="15">
        <v>73</v>
      </c>
      <c r="C229" s="15">
        <v>1</v>
      </c>
      <c r="D229" s="7">
        <f t="shared" si="17"/>
        <v>73</v>
      </c>
      <c r="E229" s="7">
        <f t="shared" si="18"/>
        <v>5329</v>
      </c>
      <c r="F229" s="7">
        <f t="shared" si="18"/>
        <v>1</v>
      </c>
      <c r="G229" s="7">
        <f t="shared" si="19"/>
        <v>-7.8516000000000004</v>
      </c>
      <c r="H229" s="7">
        <f t="shared" si="20"/>
        <v>-8.8515999999999995</v>
      </c>
      <c r="I229" s="7">
        <f t="shared" si="21"/>
        <v>78.350822559999997</v>
      </c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>
      <c r="A230" s="6"/>
      <c r="B230" s="15">
        <v>71</v>
      </c>
      <c r="C230" s="15">
        <v>1</v>
      </c>
      <c r="D230" s="7">
        <f t="shared" si="17"/>
        <v>71</v>
      </c>
      <c r="E230" s="7">
        <f t="shared" si="18"/>
        <v>5041</v>
      </c>
      <c r="F230" s="7">
        <f t="shared" si="18"/>
        <v>1</v>
      </c>
      <c r="G230" s="7">
        <f t="shared" si="19"/>
        <v>-8.2913999999999994</v>
      </c>
      <c r="H230" s="7">
        <f t="shared" si="20"/>
        <v>-9.2913999999999994</v>
      </c>
      <c r="I230" s="7">
        <f t="shared" si="21"/>
        <v>86.330113959999991</v>
      </c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>
      <c r="A231" s="6"/>
      <c r="B231" s="15">
        <v>71</v>
      </c>
      <c r="C231" s="15">
        <v>4</v>
      </c>
      <c r="D231" s="7">
        <f t="shared" si="17"/>
        <v>284</v>
      </c>
      <c r="E231" s="7">
        <f t="shared" si="18"/>
        <v>5041</v>
      </c>
      <c r="F231" s="7">
        <f t="shared" si="18"/>
        <v>16</v>
      </c>
      <c r="G231" s="7">
        <f t="shared" si="19"/>
        <v>-8.2913999999999994</v>
      </c>
      <c r="H231" s="7">
        <f t="shared" si="20"/>
        <v>-12.291399999999999</v>
      </c>
      <c r="I231" s="7">
        <f t="shared" si="21"/>
        <v>151.07851395999998</v>
      </c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>
      <c r="A232" s="6"/>
      <c r="B232" s="15">
        <v>70</v>
      </c>
      <c r="C232" s="15">
        <v>1</v>
      </c>
      <c r="D232" s="7">
        <f t="shared" si="17"/>
        <v>70</v>
      </c>
      <c r="E232" s="7">
        <f t="shared" si="18"/>
        <v>4900</v>
      </c>
      <c r="F232" s="7">
        <f t="shared" si="18"/>
        <v>1</v>
      </c>
      <c r="G232" s="7">
        <f t="shared" si="19"/>
        <v>-8.5113000000000003</v>
      </c>
      <c r="H232" s="7">
        <f t="shared" si="20"/>
        <v>-9.5113000000000003</v>
      </c>
      <c r="I232" s="7">
        <f t="shared" si="21"/>
        <v>90.464827690000007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>
      <c r="A233" s="6"/>
      <c r="B233" s="15">
        <v>72</v>
      </c>
      <c r="C233" s="15">
        <v>0</v>
      </c>
      <c r="D233" s="7">
        <f t="shared" si="17"/>
        <v>0</v>
      </c>
      <c r="E233" s="7">
        <f t="shared" si="18"/>
        <v>5184</v>
      </c>
      <c r="F233" s="7">
        <f t="shared" si="18"/>
        <v>0</v>
      </c>
      <c r="G233" s="7">
        <f t="shared" si="19"/>
        <v>-8.0715000000000003</v>
      </c>
      <c r="H233" s="7">
        <f t="shared" si="20"/>
        <v>-8.0715000000000003</v>
      </c>
      <c r="I233" s="7">
        <f t="shared" si="21"/>
        <v>65.149112250000002</v>
      </c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>
      <c r="A234" s="6"/>
      <c r="B234" s="15">
        <v>71</v>
      </c>
      <c r="C234" s="15">
        <v>7</v>
      </c>
      <c r="D234" s="7">
        <f t="shared" si="17"/>
        <v>497</v>
      </c>
      <c r="E234" s="7">
        <f t="shared" si="18"/>
        <v>5041</v>
      </c>
      <c r="F234" s="7">
        <f t="shared" si="18"/>
        <v>49</v>
      </c>
      <c r="G234" s="7">
        <f t="shared" si="19"/>
        <v>-8.2913999999999994</v>
      </c>
      <c r="H234" s="7">
        <f t="shared" si="20"/>
        <v>-15.291399999999999</v>
      </c>
      <c r="I234" s="7">
        <f t="shared" si="21"/>
        <v>233.82691395999998</v>
      </c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>
      <c r="A235" s="6"/>
      <c r="B235" s="15">
        <v>76</v>
      </c>
      <c r="C235" s="15">
        <v>1</v>
      </c>
      <c r="D235" s="7">
        <f t="shared" si="17"/>
        <v>76</v>
      </c>
      <c r="E235" s="7">
        <f t="shared" si="18"/>
        <v>5776</v>
      </c>
      <c r="F235" s="7">
        <f t="shared" si="18"/>
        <v>1</v>
      </c>
      <c r="G235" s="7">
        <f t="shared" si="19"/>
        <v>-7.1919000000000004</v>
      </c>
      <c r="H235" s="7">
        <f t="shared" si="20"/>
        <v>-8.1919000000000004</v>
      </c>
      <c r="I235" s="7">
        <f t="shared" si="21"/>
        <v>67.10722561</v>
      </c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>
      <c r="A236" s="6"/>
      <c r="B236" s="15">
        <v>72</v>
      </c>
      <c r="C236" s="15">
        <v>2</v>
      </c>
      <c r="D236" s="7">
        <f t="shared" si="17"/>
        <v>144</v>
      </c>
      <c r="E236" s="7">
        <f t="shared" si="18"/>
        <v>5184</v>
      </c>
      <c r="F236" s="7">
        <f t="shared" si="18"/>
        <v>4</v>
      </c>
      <c r="G236" s="7">
        <f t="shared" si="19"/>
        <v>-8.0715000000000003</v>
      </c>
      <c r="H236" s="7">
        <f t="shared" si="20"/>
        <v>-10.0715</v>
      </c>
      <c r="I236" s="7">
        <f t="shared" si="21"/>
        <v>101.43511225</v>
      </c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>
      <c r="A237" s="6"/>
      <c r="B237" s="15">
        <v>66</v>
      </c>
      <c r="C237" s="15">
        <v>2</v>
      </c>
      <c r="D237" s="7">
        <f t="shared" si="17"/>
        <v>132</v>
      </c>
      <c r="E237" s="7">
        <f t="shared" si="18"/>
        <v>4356</v>
      </c>
      <c r="F237" s="7">
        <f t="shared" si="18"/>
        <v>4</v>
      </c>
      <c r="G237" s="7">
        <f t="shared" si="19"/>
        <v>-9.3909000000000002</v>
      </c>
      <c r="H237" s="7">
        <f t="shared" si="20"/>
        <v>-11.3909</v>
      </c>
      <c r="I237" s="7">
        <f t="shared" si="21"/>
        <v>129.75260281000001</v>
      </c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>
      <c r="A238" s="6"/>
      <c r="B238" s="15">
        <v>56</v>
      </c>
      <c r="C238" s="15">
        <v>2</v>
      </c>
      <c r="D238" s="7">
        <f t="shared" si="17"/>
        <v>112</v>
      </c>
      <c r="E238" s="7">
        <f t="shared" si="18"/>
        <v>3136</v>
      </c>
      <c r="F238" s="7">
        <f t="shared" si="18"/>
        <v>4</v>
      </c>
      <c r="G238" s="7">
        <f t="shared" si="19"/>
        <v>-11.5899</v>
      </c>
      <c r="H238" s="7">
        <f t="shared" si="20"/>
        <v>-13.5899</v>
      </c>
      <c r="I238" s="7">
        <f t="shared" si="21"/>
        <v>184.68538201000001</v>
      </c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>
      <c r="A239" s="6"/>
      <c r="B239" s="15">
        <v>58</v>
      </c>
      <c r="C239" s="15">
        <v>1</v>
      </c>
      <c r="D239" s="7">
        <f t="shared" si="17"/>
        <v>58</v>
      </c>
      <c r="E239" s="7">
        <f t="shared" si="18"/>
        <v>3364</v>
      </c>
      <c r="F239" s="7">
        <f t="shared" si="18"/>
        <v>1</v>
      </c>
      <c r="G239" s="7">
        <f t="shared" si="19"/>
        <v>-11.1501</v>
      </c>
      <c r="H239" s="7">
        <f t="shared" si="20"/>
        <v>-12.1501</v>
      </c>
      <c r="I239" s="7">
        <f t="shared" si="21"/>
        <v>147.62493001000001</v>
      </c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>
      <c r="A240" s="6"/>
      <c r="B240" s="15">
        <v>55</v>
      </c>
      <c r="C240" s="15">
        <v>3</v>
      </c>
      <c r="D240" s="7">
        <f t="shared" si="17"/>
        <v>165</v>
      </c>
      <c r="E240" s="7">
        <f t="shared" si="18"/>
        <v>3025</v>
      </c>
      <c r="F240" s="7">
        <f t="shared" si="18"/>
        <v>9</v>
      </c>
      <c r="G240" s="7">
        <f t="shared" si="19"/>
        <v>-11.809799999999999</v>
      </c>
      <c r="H240" s="7">
        <f t="shared" si="20"/>
        <v>-14.809799999999999</v>
      </c>
      <c r="I240" s="7">
        <f t="shared" si="21"/>
        <v>219.33017603999997</v>
      </c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>
      <c r="A241" s="6"/>
      <c r="B241" s="15">
        <v>59</v>
      </c>
      <c r="C241" s="15">
        <v>0</v>
      </c>
      <c r="D241" s="7">
        <f t="shared" si="17"/>
        <v>0</v>
      </c>
      <c r="E241" s="7">
        <f t="shared" si="18"/>
        <v>3481</v>
      </c>
      <c r="F241" s="7">
        <f t="shared" si="18"/>
        <v>0</v>
      </c>
      <c r="G241" s="7">
        <f t="shared" si="19"/>
        <v>-10.930199999999999</v>
      </c>
      <c r="H241" s="7">
        <f t="shared" si="20"/>
        <v>-10.930199999999999</v>
      </c>
      <c r="I241" s="7">
        <f t="shared" si="21"/>
        <v>119.46927203999998</v>
      </c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>
      <c r="A242" s="6"/>
      <c r="B242" s="15">
        <v>58</v>
      </c>
      <c r="C242" s="15">
        <v>0</v>
      </c>
      <c r="D242" s="7">
        <f t="shared" si="17"/>
        <v>0</v>
      </c>
      <c r="E242" s="7">
        <f t="shared" si="18"/>
        <v>3364</v>
      </c>
      <c r="F242" s="7">
        <f t="shared" si="18"/>
        <v>0</v>
      </c>
      <c r="G242" s="7">
        <f t="shared" si="19"/>
        <v>-11.1501</v>
      </c>
      <c r="H242" s="7">
        <f t="shared" si="20"/>
        <v>-11.1501</v>
      </c>
      <c r="I242" s="7">
        <f t="shared" si="21"/>
        <v>124.32473001</v>
      </c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>
      <c r="A243" s="6"/>
      <c r="B243" s="15">
        <v>57</v>
      </c>
      <c r="C243" s="15">
        <v>1</v>
      </c>
      <c r="D243" s="7">
        <f t="shared" si="17"/>
        <v>57</v>
      </c>
      <c r="E243" s="7">
        <f t="shared" si="18"/>
        <v>3249</v>
      </c>
      <c r="F243" s="7">
        <f t="shared" si="18"/>
        <v>1</v>
      </c>
      <c r="G243" s="7">
        <f t="shared" si="19"/>
        <v>-11.37</v>
      </c>
      <c r="H243" s="7">
        <f t="shared" si="20"/>
        <v>-12.37</v>
      </c>
      <c r="I243" s="7">
        <f t="shared" si="21"/>
        <v>153.01689999999999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>
      <c r="A244" s="6"/>
      <c r="B244" s="15">
        <v>52</v>
      </c>
      <c r="C244" s="15">
        <v>3</v>
      </c>
      <c r="D244" s="7">
        <f t="shared" si="17"/>
        <v>156</v>
      </c>
      <c r="E244" s="7">
        <f t="shared" si="18"/>
        <v>2704</v>
      </c>
      <c r="F244" s="7">
        <f t="shared" si="18"/>
        <v>9</v>
      </c>
      <c r="G244" s="7">
        <f t="shared" si="19"/>
        <v>-12.4695</v>
      </c>
      <c r="H244" s="7">
        <f t="shared" si="20"/>
        <v>-15.4695</v>
      </c>
      <c r="I244" s="7">
        <f t="shared" si="21"/>
        <v>239.30543025</v>
      </c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>
      <c r="A245" s="6"/>
      <c r="B245" s="15">
        <v>53</v>
      </c>
      <c r="C245" s="15">
        <v>1</v>
      </c>
      <c r="D245" s="7">
        <f t="shared" si="17"/>
        <v>53</v>
      </c>
      <c r="E245" s="7">
        <f t="shared" si="18"/>
        <v>2809</v>
      </c>
      <c r="F245" s="7">
        <f t="shared" si="18"/>
        <v>1</v>
      </c>
      <c r="G245" s="7">
        <f t="shared" si="19"/>
        <v>-12.249599999999999</v>
      </c>
      <c r="H245" s="7">
        <f t="shared" si="20"/>
        <v>-13.249599999999999</v>
      </c>
      <c r="I245" s="7">
        <f t="shared" si="21"/>
        <v>175.55190015999997</v>
      </c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>
      <c r="A246" s="6"/>
      <c r="B246" s="15">
        <v>53</v>
      </c>
      <c r="C246" s="15">
        <v>0</v>
      </c>
      <c r="D246" s="7">
        <f t="shared" si="17"/>
        <v>0</v>
      </c>
      <c r="E246" s="7">
        <f t="shared" si="18"/>
        <v>2809</v>
      </c>
      <c r="F246" s="7">
        <f t="shared" si="18"/>
        <v>0</v>
      </c>
      <c r="G246" s="7">
        <f t="shared" si="19"/>
        <v>-12.249599999999999</v>
      </c>
      <c r="H246" s="7">
        <f t="shared" si="20"/>
        <v>-12.249599999999999</v>
      </c>
      <c r="I246" s="7">
        <f t="shared" si="21"/>
        <v>150.05270015999997</v>
      </c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>
      <c r="A247" s="6"/>
      <c r="B247" s="15">
        <v>52</v>
      </c>
      <c r="C247" s="15">
        <v>1</v>
      </c>
      <c r="D247" s="7">
        <f t="shared" si="17"/>
        <v>52</v>
      </c>
      <c r="E247" s="7">
        <f t="shared" si="18"/>
        <v>2704</v>
      </c>
      <c r="F247" s="7">
        <f t="shared" si="18"/>
        <v>1</v>
      </c>
      <c r="G247" s="7">
        <f t="shared" si="19"/>
        <v>-12.4695</v>
      </c>
      <c r="H247" s="7">
        <f t="shared" si="20"/>
        <v>-13.4695</v>
      </c>
      <c r="I247" s="7">
        <f t="shared" si="21"/>
        <v>181.42743025000001</v>
      </c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>
      <c r="A248" s="6"/>
      <c r="B248" s="15">
        <v>49</v>
      </c>
      <c r="C248" s="15">
        <v>0</v>
      </c>
      <c r="D248" s="7">
        <f t="shared" si="17"/>
        <v>0</v>
      </c>
      <c r="E248" s="7">
        <f t="shared" si="18"/>
        <v>2401</v>
      </c>
      <c r="F248" s="7">
        <f t="shared" si="18"/>
        <v>0</v>
      </c>
      <c r="G248" s="7">
        <f t="shared" si="19"/>
        <v>-13.129200000000001</v>
      </c>
      <c r="H248" s="7">
        <f t="shared" si="20"/>
        <v>-13.129200000000001</v>
      </c>
      <c r="I248" s="7">
        <f t="shared" si="21"/>
        <v>172.37589264000002</v>
      </c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>
      <c r="A249" s="6"/>
      <c r="B249" s="15">
        <v>54</v>
      </c>
      <c r="C249" s="15">
        <v>0</v>
      </c>
      <c r="D249" s="7">
        <f t="shared" si="17"/>
        <v>0</v>
      </c>
      <c r="E249" s="7">
        <f t="shared" si="18"/>
        <v>2916</v>
      </c>
      <c r="F249" s="7">
        <f t="shared" si="18"/>
        <v>0</v>
      </c>
      <c r="G249" s="7">
        <f t="shared" si="19"/>
        <v>-12.0297</v>
      </c>
      <c r="H249" s="7">
        <f t="shared" si="20"/>
        <v>-12.0297</v>
      </c>
      <c r="I249" s="7">
        <f t="shared" si="21"/>
        <v>144.71368208999999</v>
      </c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>
      <c r="A250" s="6"/>
      <c r="B250" s="15">
        <v>52</v>
      </c>
      <c r="C250" s="15">
        <v>2</v>
      </c>
      <c r="D250" s="4">
        <f t="shared" si="17"/>
        <v>104</v>
      </c>
      <c r="E250" s="7">
        <f t="shared" si="18"/>
        <v>2704</v>
      </c>
      <c r="F250" s="7">
        <f t="shared" si="18"/>
        <v>4</v>
      </c>
      <c r="G250" s="7">
        <f t="shared" si="19"/>
        <v>-12.4695</v>
      </c>
      <c r="H250" s="7">
        <f t="shared" si="20"/>
        <v>-14.4695</v>
      </c>
      <c r="I250" s="7">
        <f t="shared" si="21"/>
        <v>209.36643025000001</v>
      </c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>
      <c r="A251" s="4" t="s">
        <v>18</v>
      </c>
      <c r="B251" s="4">
        <f t="shared" ref="B251" si="22">SUM(B131:B250)</f>
        <v>33704</v>
      </c>
      <c r="C251" s="4">
        <f t="shared" ref="C251:I251" si="23">SUM(C131:C250)</f>
        <v>4543</v>
      </c>
      <c r="D251" s="4">
        <f t="shared" si="23"/>
        <v>3273427</v>
      </c>
      <c r="E251" s="4">
        <f t="shared" si="23"/>
        <v>18548310</v>
      </c>
      <c r="F251" s="4">
        <f t="shared" si="23"/>
        <v>696425</v>
      </c>
      <c r="G251" s="4">
        <f t="shared" si="23"/>
        <v>4542.9935999999989</v>
      </c>
      <c r="H251" s="4">
        <f t="shared" si="23"/>
        <v>-6.4000000000152824E-3</v>
      </c>
      <c r="I251" s="4">
        <f t="shared" si="23"/>
        <v>85124.508199340024</v>
      </c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</row>
    <row r="253" spans="1:20">
      <c r="A253" s="6"/>
      <c r="B253" s="15"/>
      <c r="C253" s="6"/>
      <c r="D253" s="6"/>
      <c r="E253" s="6"/>
      <c r="F253" s="6"/>
      <c r="G253" s="15"/>
      <c r="H253" s="15"/>
      <c r="I253" s="1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</row>
    <row r="255" spans="1:20">
      <c r="A255" s="6"/>
      <c r="B255" s="3"/>
      <c r="C255" s="3"/>
      <c r="D255" s="3"/>
      <c r="E255" s="3"/>
      <c r="F255" s="3"/>
      <c r="G255" s="3"/>
      <c r="H255" s="15"/>
      <c r="I255" s="1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>
      <c r="A256" s="6"/>
      <c r="B256" s="2" t="s">
        <v>9</v>
      </c>
      <c r="C256" s="2" t="s">
        <v>10</v>
      </c>
      <c r="D256" s="2" t="s">
        <v>11</v>
      </c>
      <c r="E256" s="2" t="s">
        <v>12</v>
      </c>
      <c r="F256" s="2" t="s">
        <v>13</v>
      </c>
      <c r="G256" s="2"/>
      <c r="H256" s="4"/>
      <c r="I256" s="4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>
      <c r="A257" s="6"/>
      <c r="B257" s="4" t="s">
        <v>5</v>
      </c>
      <c r="C257" s="15" t="s">
        <v>2</v>
      </c>
      <c r="D257" s="4"/>
      <c r="E257" s="2"/>
      <c r="F257" s="4"/>
      <c r="G257" s="4"/>
      <c r="H257" s="4"/>
      <c r="I257" s="4"/>
      <c r="J257" s="6"/>
      <c r="K257" s="80" t="s">
        <v>15</v>
      </c>
      <c r="L257" s="80"/>
      <c r="M257" s="6" t="s">
        <v>29</v>
      </c>
      <c r="N257" s="6"/>
      <c r="O257" s="6"/>
      <c r="P257" s="6"/>
      <c r="Q257" s="6"/>
      <c r="R257" s="6"/>
      <c r="S257" s="6"/>
      <c r="T257" s="6"/>
    </row>
    <row r="258" spans="1:20">
      <c r="A258" s="6"/>
      <c r="B258" s="15">
        <v>6869</v>
      </c>
      <c r="C258" s="15">
        <v>275</v>
      </c>
      <c r="D258" s="7">
        <f>B258*C258</f>
        <v>1888975</v>
      </c>
      <c r="E258" s="7">
        <f>B258^2</f>
        <v>47183161</v>
      </c>
      <c r="F258" s="7">
        <f>C258^2</f>
        <v>75625</v>
      </c>
      <c r="G258" s="7">
        <f>ROUND($M$305+$M$302*B258,4)</f>
        <v>217.18539999999999</v>
      </c>
      <c r="H258" s="7">
        <f>ROUND(G258-C258,4)</f>
        <v>-57.814599999999999</v>
      </c>
      <c r="I258" s="7">
        <f>H258^2</f>
        <v>3342.5279731599999</v>
      </c>
      <c r="J258" s="6"/>
      <c r="K258" s="80" t="s">
        <v>14</v>
      </c>
      <c r="L258" s="80"/>
      <c r="M258" s="80" t="s">
        <v>24</v>
      </c>
      <c r="N258" s="80"/>
      <c r="O258" s="6"/>
      <c r="P258" s="6"/>
      <c r="Q258" s="6"/>
      <c r="R258" s="6"/>
      <c r="S258" s="6"/>
      <c r="T258" s="6"/>
    </row>
    <row r="259" spans="1:20">
      <c r="A259" s="6"/>
      <c r="B259" s="15">
        <v>6775</v>
      </c>
      <c r="C259" s="15">
        <v>260</v>
      </c>
      <c r="D259" s="7">
        <f t="shared" ref="D259:D322" si="24">B259*C259</f>
        <v>1761500</v>
      </c>
      <c r="E259" s="7">
        <f t="shared" ref="E259:F322" si="25">B259^2</f>
        <v>45900625</v>
      </c>
      <c r="F259" s="7">
        <f t="shared" si="25"/>
        <v>67600</v>
      </c>
      <c r="G259" s="7">
        <f t="shared" ref="G259:G322" si="26">ROUND($M$305+$M$302*B259,4)</f>
        <v>214.02699999999999</v>
      </c>
      <c r="H259" s="7">
        <f t="shared" ref="H259:H322" si="27">ROUND(G259-C259,4)</f>
        <v>-45.972999999999999</v>
      </c>
      <c r="I259" s="7">
        <f t="shared" ref="I259:I322" si="28">H259^2</f>
        <v>2113.5167289999999</v>
      </c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>
      <c r="A260" s="6"/>
      <c r="B260" s="15">
        <v>6684</v>
      </c>
      <c r="C260" s="15">
        <v>240</v>
      </c>
      <c r="D260" s="7">
        <f t="shared" si="24"/>
        <v>1604160</v>
      </c>
      <c r="E260" s="7">
        <f t="shared" si="25"/>
        <v>44675856</v>
      </c>
      <c r="F260" s="7">
        <f t="shared" si="25"/>
        <v>57600</v>
      </c>
      <c r="G260" s="7">
        <f t="shared" si="26"/>
        <v>210.96940000000001</v>
      </c>
      <c r="H260" s="7">
        <f t="shared" si="27"/>
        <v>-29.0306</v>
      </c>
      <c r="I260" s="7">
        <f t="shared" si="28"/>
        <v>842.77573636</v>
      </c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>
      <c r="A261" s="6"/>
      <c r="B261" s="15">
        <v>6496</v>
      </c>
      <c r="C261" s="15">
        <v>225</v>
      </c>
      <c r="D261" s="7">
        <f t="shared" si="24"/>
        <v>1461600</v>
      </c>
      <c r="E261" s="7">
        <f t="shared" si="25"/>
        <v>42198016</v>
      </c>
      <c r="F261" s="7">
        <f t="shared" si="25"/>
        <v>50625</v>
      </c>
      <c r="G261" s="7">
        <f t="shared" si="26"/>
        <v>204.65260000000001</v>
      </c>
      <c r="H261" s="7">
        <f t="shared" si="27"/>
        <v>-20.3474</v>
      </c>
      <c r="I261" s="7">
        <f t="shared" si="28"/>
        <v>414.01668676000003</v>
      </c>
      <c r="J261" s="6"/>
      <c r="K261" s="80"/>
      <c r="L261" s="80"/>
      <c r="M261" s="6"/>
      <c r="N261" s="6"/>
      <c r="O261" s="6"/>
      <c r="P261" s="6"/>
      <c r="Q261" s="6"/>
      <c r="R261" s="6"/>
      <c r="S261" s="6"/>
      <c r="T261" s="6"/>
    </row>
    <row r="262" spans="1:20">
      <c r="A262" s="6"/>
      <c r="B262" s="15">
        <v>6412</v>
      </c>
      <c r="C262" s="15">
        <v>258</v>
      </c>
      <c r="D262" s="7">
        <f t="shared" si="24"/>
        <v>1654296</v>
      </c>
      <c r="E262" s="7">
        <f t="shared" si="25"/>
        <v>41113744</v>
      </c>
      <c r="F262" s="7">
        <f t="shared" si="25"/>
        <v>66564</v>
      </c>
      <c r="G262" s="7">
        <f t="shared" si="26"/>
        <v>201.83019999999999</v>
      </c>
      <c r="H262" s="7">
        <f t="shared" si="27"/>
        <v>-56.169800000000002</v>
      </c>
      <c r="I262" s="7">
        <f t="shared" si="28"/>
        <v>3155.0464320400001</v>
      </c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>
      <c r="A263" s="6"/>
      <c r="B263" s="15">
        <v>6158</v>
      </c>
      <c r="C263" s="15">
        <v>214</v>
      </c>
      <c r="D263" s="7">
        <f t="shared" si="24"/>
        <v>1317812</v>
      </c>
      <c r="E263" s="7">
        <f t="shared" si="25"/>
        <v>37920964</v>
      </c>
      <c r="F263" s="7">
        <f t="shared" si="25"/>
        <v>45796</v>
      </c>
      <c r="G263" s="7">
        <f t="shared" si="26"/>
        <v>193.29580000000001</v>
      </c>
      <c r="H263" s="7">
        <f t="shared" si="27"/>
        <v>-20.7042</v>
      </c>
      <c r="I263" s="7">
        <f t="shared" si="28"/>
        <v>428.66389764000002</v>
      </c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>
      <c r="A264" s="6"/>
      <c r="B264" s="15">
        <v>6248</v>
      </c>
      <c r="C264" s="15">
        <v>204</v>
      </c>
      <c r="D264" s="7">
        <f t="shared" si="24"/>
        <v>1274592</v>
      </c>
      <c r="E264" s="7">
        <f t="shared" si="25"/>
        <v>39037504</v>
      </c>
      <c r="F264" s="7">
        <f t="shared" si="25"/>
        <v>41616</v>
      </c>
      <c r="G264" s="7">
        <f t="shared" si="26"/>
        <v>196.31979999999999</v>
      </c>
      <c r="H264" s="7">
        <f t="shared" si="27"/>
        <v>-7.6802000000000001</v>
      </c>
      <c r="I264" s="7">
        <f t="shared" si="28"/>
        <v>58.985472040000005</v>
      </c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>
      <c r="A265" s="6"/>
      <c r="B265" s="15">
        <v>6344</v>
      </c>
      <c r="C265" s="15">
        <v>196</v>
      </c>
      <c r="D265" s="7">
        <f t="shared" si="24"/>
        <v>1243424</v>
      </c>
      <c r="E265" s="7">
        <f t="shared" si="25"/>
        <v>40246336</v>
      </c>
      <c r="F265" s="7">
        <f t="shared" si="25"/>
        <v>38416</v>
      </c>
      <c r="G265" s="7">
        <f t="shared" si="26"/>
        <v>199.5454</v>
      </c>
      <c r="H265" s="7">
        <f t="shared" si="27"/>
        <v>3.5453999999999999</v>
      </c>
      <c r="I265" s="7">
        <f t="shared" si="28"/>
        <v>12.569861159999999</v>
      </c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>
      <c r="A266" s="6"/>
      <c r="B266" s="15">
        <v>6070</v>
      </c>
      <c r="C266" s="15">
        <v>203</v>
      </c>
      <c r="D266" s="7">
        <f t="shared" si="24"/>
        <v>1232210</v>
      </c>
      <c r="E266" s="7">
        <f t="shared" si="25"/>
        <v>36844900</v>
      </c>
      <c r="F266" s="7">
        <f t="shared" si="25"/>
        <v>41209</v>
      </c>
      <c r="G266" s="7">
        <f t="shared" si="26"/>
        <v>190.339</v>
      </c>
      <c r="H266" s="7">
        <f t="shared" si="27"/>
        <v>-12.661</v>
      </c>
      <c r="I266" s="7">
        <f t="shared" si="28"/>
        <v>160.30092099999999</v>
      </c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>
      <c r="A267" s="6"/>
      <c r="B267" s="15">
        <v>5829</v>
      </c>
      <c r="C267" s="15">
        <v>161</v>
      </c>
      <c r="D267" s="7">
        <f t="shared" si="24"/>
        <v>938469</v>
      </c>
      <c r="E267" s="7">
        <f t="shared" si="25"/>
        <v>33977241</v>
      </c>
      <c r="F267" s="7">
        <f t="shared" si="25"/>
        <v>25921</v>
      </c>
      <c r="G267" s="7">
        <f t="shared" si="26"/>
        <v>182.2414</v>
      </c>
      <c r="H267" s="7">
        <f t="shared" si="27"/>
        <v>21.241399999999999</v>
      </c>
      <c r="I267" s="7">
        <f t="shared" si="28"/>
        <v>451.19707395999995</v>
      </c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>
      <c r="A268" s="6"/>
      <c r="B268" s="15">
        <v>5570</v>
      </c>
      <c r="C268" s="15">
        <v>167</v>
      </c>
      <c r="D268" s="7">
        <f t="shared" si="24"/>
        <v>930190</v>
      </c>
      <c r="E268" s="7">
        <f t="shared" si="25"/>
        <v>31024900</v>
      </c>
      <c r="F268" s="7">
        <f t="shared" si="25"/>
        <v>27889</v>
      </c>
      <c r="G268" s="7">
        <f t="shared" si="26"/>
        <v>173.53899999999999</v>
      </c>
      <c r="H268" s="7">
        <f t="shared" si="27"/>
        <v>6.5389999999999997</v>
      </c>
      <c r="I268" s="7">
        <f t="shared" si="28"/>
        <v>42.758520999999995</v>
      </c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>
      <c r="A269" s="6"/>
      <c r="B269" s="15">
        <v>5230</v>
      </c>
      <c r="C269" s="15">
        <v>149</v>
      </c>
      <c r="D269" s="7">
        <f t="shared" si="24"/>
        <v>779270</v>
      </c>
      <c r="E269" s="7">
        <f t="shared" si="25"/>
        <v>27352900</v>
      </c>
      <c r="F269" s="7">
        <f t="shared" si="25"/>
        <v>22201</v>
      </c>
      <c r="G269" s="7">
        <f t="shared" si="26"/>
        <v>162.11500000000001</v>
      </c>
      <c r="H269" s="7">
        <f t="shared" si="27"/>
        <v>13.115</v>
      </c>
      <c r="I269" s="7">
        <f t="shared" si="28"/>
        <v>172.00322500000001</v>
      </c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>
      <c r="A270" s="6"/>
      <c r="B270" s="15">
        <v>4850</v>
      </c>
      <c r="C270" s="15">
        <v>149</v>
      </c>
      <c r="D270" s="7">
        <f t="shared" si="24"/>
        <v>722650</v>
      </c>
      <c r="E270" s="7">
        <f t="shared" si="25"/>
        <v>23522500</v>
      </c>
      <c r="F270" s="7">
        <f t="shared" si="25"/>
        <v>22201</v>
      </c>
      <c r="G270" s="7">
        <f t="shared" si="26"/>
        <v>149.34700000000001</v>
      </c>
      <c r="H270" s="7">
        <f t="shared" si="27"/>
        <v>0.34699999999999998</v>
      </c>
      <c r="I270" s="7">
        <f t="shared" si="28"/>
        <v>0.12040899999999999</v>
      </c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>
      <c r="A271" s="6"/>
      <c r="B271" s="15">
        <v>4826</v>
      </c>
      <c r="C271" s="15">
        <v>138</v>
      </c>
      <c r="D271" s="7">
        <f t="shared" si="24"/>
        <v>665988</v>
      </c>
      <c r="E271" s="7">
        <f t="shared" si="25"/>
        <v>23290276</v>
      </c>
      <c r="F271" s="7">
        <f t="shared" si="25"/>
        <v>19044</v>
      </c>
      <c r="G271" s="7">
        <f t="shared" si="26"/>
        <v>148.54060000000001</v>
      </c>
      <c r="H271" s="7">
        <f t="shared" si="27"/>
        <v>10.5406</v>
      </c>
      <c r="I271" s="7">
        <f t="shared" si="28"/>
        <v>111.10424835999999</v>
      </c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>
      <c r="A272" s="6"/>
      <c r="B272" s="15">
        <v>4832</v>
      </c>
      <c r="C272" s="15">
        <v>90</v>
      </c>
      <c r="D272" s="7">
        <f t="shared" si="24"/>
        <v>434880</v>
      </c>
      <c r="E272" s="7">
        <f t="shared" si="25"/>
        <v>23348224</v>
      </c>
      <c r="F272" s="7">
        <f t="shared" si="25"/>
        <v>8100</v>
      </c>
      <c r="G272" s="7">
        <f t="shared" si="26"/>
        <v>148.7422</v>
      </c>
      <c r="H272" s="7">
        <f t="shared" si="27"/>
        <v>58.742199999999997</v>
      </c>
      <c r="I272" s="7">
        <f t="shared" si="28"/>
        <v>3450.6460608399998</v>
      </c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>
      <c r="A273" s="6"/>
      <c r="B273" s="15">
        <v>4482</v>
      </c>
      <c r="C273" s="15">
        <v>111</v>
      </c>
      <c r="D273" s="7">
        <f t="shared" si="24"/>
        <v>497502</v>
      </c>
      <c r="E273" s="7">
        <f t="shared" si="25"/>
        <v>20088324</v>
      </c>
      <c r="F273" s="7">
        <f t="shared" si="25"/>
        <v>12321</v>
      </c>
      <c r="G273" s="7">
        <f t="shared" si="26"/>
        <v>136.98220000000001</v>
      </c>
      <c r="H273" s="7">
        <f t="shared" si="27"/>
        <v>25.982199999999999</v>
      </c>
      <c r="I273" s="7">
        <f t="shared" si="28"/>
        <v>675.07471683999995</v>
      </c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>
      <c r="A274" s="6"/>
      <c r="B274" s="15">
        <v>4137</v>
      </c>
      <c r="C274" s="15">
        <v>127</v>
      </c>
      <c r="D274" s="7">
        <f t="shared" si="24"/>
        <v>525399</v>
      </c>
      <c r="E274" s="7">
        <f t="shared" si="25"/>
        <v>17114769</v>
      </c>
      <c r="F274" s="7">
        <f t="shared" si="25"/>
        <v>16129</v>
      </c>
      <c r="G274" s="7">
        <f t="shared" si="26"/>
        <v>125.39019999999999</v>
      </c>
      <c r="H274" s="7">
        <f t="shared" si="27"/>
        <v>-1.6097999999999999</v>
      </c>
      <c r="I274" s="7">
        <f t="shared" si="28"/>
        <v>2.5914560399999997</v>
      </c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>
      <c r="A275" s="6"/>
      <c r="B275" s="15">
        <v>3819</v>
      </c>
      <c r="C275" s="15">
        <v>105</v>
      </c>
      <c r="D275" s="7">
        <f t="shared" si="24"/>
        <v>400995</v>
      </c>
      <c r="E275" s="7">
        <f t="shared" si="25"/>
        <v>14584761</v>
      </c>
      <c r="F275" s="7">
        <f t="shared" si="25"/>
        <v>11025</v>
      </c>
      <c r="G275" s="7">
        <f t="shared" si="26"/>
        <v>114.7054</v>
      </c>
      <c r="H275" s="7">
        <f t="shared" si="27"/>
        <v>9.7053999999999991</v>
      </c>
      <c r="I275" s="7">
        <f t="shared" si="28"/>
        <v>94.194789159999985</v>
      </c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>
      <c r="A276" s="6"/>
      <c r="B276" s="15">
        <v>3584</v>
      </c>
      <c r="C276" s="15">
        <v>67</v>
      </c>
      <c r="D276" s="7">
        <f t="shared" si="24"/>
        <v>240128</v>
      </c>
      <c r="E276" s="7">
        <f t="shared" si="25"/>
        <v>12845056</v>
      </c>
      <c r="F276" s="7">
        <f t="shared" si="25"/>
        <v>4489</v>
      </c>
      <c r="G276" s="7">
        <f t="shared" si="26"/>
        <v>106.8094</v>
      </c>
      <c r="H276" s="7">
        <f t="shared" si="27"/>
        <v>39.809399999999997</v>
      </c>
      <c r="I276" s="7">
        <f t="shared" si="28"/>
        <v>1584.7883283599997</v>
      </c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>
      <c r="A277" s="6"/>
      <c r="B277" s="15">
        <v>3284</v>
      </c>
      <c r="C277" s="15">
        <v>76</v>
      </c>
      <c r="D277" s="7">
        <f t="shared" si="24"/>
        <v>249584</v>
      </c>
      <c r="E277" s="7">
        <f t="shared" si="25"/>
        <v>10784656</v>
      </c>
      <c r="F277" s="7">
        <f t="shared" si="25"/>
        <v>5776</v>
      </c>
      <c r="G277" s="7">
        <f t="shared" si="26"/>
        <v>96.729399999999998</v>
      </c>
      <c r="H277" s="7">
        <f t="shared" si="27"/>
        <v>20.729399999999998</v>
      </c>
      <c r="I277" s="7">
        <f t="shared" si="28"/>
        <v>429.70802435999991</v>
      </c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>
      <c r="A278" s="6"/>
      <c r="B278" s="15">
        <v>3316</v>
      </c>
      <c r="C278" s="15">
        <v>65</v>
      </c>
      <c r="D278" s="7">
        <f t="shared" si="24"/>
        <v>215540</v>
      </c>
      <c r="E278" s="7">
        <f t="shared" si="25"/>
        <v>10995856</v>
      </c>
      <c r="F278" s="7">
        <f t="shared" si="25"/>
        <v>4225</v>
      </c>
      <c r="G278" s="7">
        <f t="shared" si="26"/>
        <v>97.804599999999994</v>
      </c>
      <c r="H278" s="7">
        <f t="shared" si="27"/>
        <v>32.804600000000001</v>
      </c>
      <c r="I278" s="7">
        <f t="shared" si="28"/>
        <v>1076.1417811599999</v>
      </c>
      <c r="J278" s="6"/>
      <c r="K278" s="6" t="s">
        <v>19</v>
      </c>
      <c r="L278" s="6">
        <f>COUNT(B258,B259:B377)</f>
        <v>120</v>
      </c>
      <c r="M278" s="6"/>
      <c r="N278" s="6"/>
      <c r="O278" s="6"/>
      <c r="P278" s="6"/>
      <c r="Q278" s="6"/>
      <c r="R278" s="6"/>
      <c r="S278" s="6"/>
      <c r="T278" s="6"/>
    </row>
    <row r="279" spans="1:20">
      <c r="A279" s="6"/>
      <c r="B279" s="15">
        <v>3322</v>
      </c>
      <c r="C279" s="15">
        <v>61</v>
      </c>
      <c r="D279" s="7">
        <f t="shared" si="24"/>
        <v>202642</v>
      </c>
      <c r="E279" s="7">
        <f t="shared" si="25"/>
        <v>11035684</v>
      </c>
      <c r="F279" s="7">
        <f t="shared" si="25"/>
        <v>3721</v>
      </c>
      <c r="G279" s="7">
        <f t="shared" si="26"/>
        <v>98.006200000000007</v>
      </c>
      <c r="H279" s="7">
        <f t="shared" si="27"/>
        <v>37.0062</v>
      </c>
      <c r="I279" s="7">
        <f t="shared" si="28"/>
        <v>1369.4588384399999</v>
      </c>
      <c r="J279" s="6"/>
      <c r="K279" s="6" t="s">
        <v>20</v>
      </c>
      <c r="L279" s="6">
        <f>ROUND(AVERAGE(B258:B377),4)</f>
        <v>1531.8833</v>
      </c>
      <c r="M279" s="6"/>
      <c r="N279" s="6"/>
      <c r="O279" s="6"/>
      <c r="P279" s="6"/>
      <c r="Q279" s="6"/>
      <c r="R279" s="6"/>
      <c r="S279" s="6"/>
      <c r="T279" s="6"/>
    </row>
    <row r="280" spans="1:20">
      <c r="A280" s="6"/>
      <c r="B280" s="15">
        <v>3012</v>
      </c>
      <c r="C280" s="15">
        <v>63</v>
      </c>
      <c r="D280" s="7">
        <f t="shared" si="24"/>
        <v>189756</v>
      </c>
      <c r="E280" s="7">
        <f t="shared" si="25"/>
        <v>9072144</v>
      </c>
      <c r="F280" s="7">
        <f t="shared" si="25"/>
        <v>3969</v>
      </c>
      <c r="G280" s="7">
        <f t="shared" si="26"/>
        <v>87.590199999999996</v>
      </c>
      <c r="H280" s="7">
        <f t="shared" si="27"/>
        <v>24.590199999999999</v>
      </c>
      <c r="I280" s="7">
        <f t="shared" si="28"/>
        <v>604.67793603999996</v>
      </c>
      <c r="J280" s="6"/>
      <c r="K280" s="6" t="s">
        <v>21</v>
      </c>
      <c r="L280" s="6">
        <f>ROUND(AVERAGE(C258:C377),4)</f>
        <v>37.8583</v>
      </c>
      <c r="M280" s="6"/>
      <c r="N280" s="6"/>
      <c r="O280" s="6"/>
      <c r="P280" s="6"/>
      <c r="Q280" s="6"/>
      <c r="R280" s="6"/>
      <c r="S280" s="6"/>
      <c r="T280" s="6"/>
    </row>
    <row r="281" spans="1:20">
      <c r="A281" s="6"/>
      <c r="B281" s="15">
        <v>2767</v>
      </c>
      <c r="C281" s="15">
        <v>50</v>
      </c>
      <c r="D281" s="7">
        <f t="shared" si="24"/>
        <v>138350</v>
      </c>
      <c r="E281" s="7">
        <f t="shared" si="25"/>
        <v>7656289</v>
      </c>
      <c r="F281" s="7">
        <f t="shared" si="25"/>
        <v>2500</v>
      </c>
      <c r="G281" s="7">
        <f t="shared" si="26"/>
        <v>79.358199999999997</v>
      </c>
      <c r="H281" s="7">
        <f t="shared" si="27"/>
        <v>29.3582</v>
      </c>
      <c r="I281" s="7">
        <f t="shared" si="28"/>
        <v>861.90390723999997</v>
      </c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>
      <c r="A282" s="6"/>
      <c r="B282" s="15">
        <v>2613</v>
      </c>
      <c r="C282" s="15">
        <v>49</v>
      </c>
      <c r="D282" s="7">
        <f t="shared" si="24"/>
        <v>128037</v>
      </c>
      <c r="E282" s="7">
        <f t="shared" si="25"/>
        <v>6827769</v>
      </c>
      <c r="F282" s="7">
        <f t="shared" si="25"/>
        <v>2401</v>
      </c>
      <c r="G282" s="7">
        <f t="shared" si="26"/>
        <v>74.183800000000005</v>
      </c>
      <c r="H282" s="7">
        <f t="shared" si="27"/>
        <v>25.183800000000002</v>
      </c>
      <c r="I282" s="7">
        <f t="shared" si="28"/>
        <v>634.22378244000004</v>
      </c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>
      <c r="A283" s="6"/>
      <c r="B283" s="15">
        <v>2404</v>
      </c>
      <c r="C283" s="15">
        <v>58</v>
      </c>
      <c r="D283" s="7">
        <f t="shared" si="24"/>
        <v>139432</v>
      </c>
      <c r="E283" s="7">
        <f t="shared" si="25"/>
        <v>5779216</v>
      </c>
      <c r="F283" s="7">
        <f t="shared" si="25"/>
        <v>3364</v>
      </c>
      <c r="G283" s="7">
        <f t="shared" si="26"/>
        <v>67.1614</v>
      </c>
      <c r="H283" s="7">
        <f t="shared" si="27"/>
        <v>9.1614000000000004</v>
      </c>
      <c r="I283" s="7">
        <f t="shared" si="28"/>
        <v>83.931249960000002</v>
      </c>
      <c r="J283" s="6"/>
      <c r="K283" s="6"/>
      <c r="L283" s="6"/>
      <c r="M283" s="6"/>
      <c r="N283" s="6" t="s">
        <v>22</v>
      </c>
      <c r="O283" s="6">
        <f>D378-(L278*L279*L280)</f>
        <v>14798112.295633201</v>
      </c>
      <c r="P283" s="6"/>
      <c r="Q283" s="6"/>
      <c r="R283" s="6"/>
      <c r="S283" s="6"/>
      <c r="T283" s="6"/>
    </row>
    <row r="284" spans="1:20">
      <c r="A284" s="6"/>
      <c r="B284" s="15">
        <v>2180</v>
      </c>
      <c r="C284" s="15">
        <v>33</v>
      </c>
      <c r="D284" s="7">
        <f t="shared" si="24"/>
        <v>71940</v>
      </c>
      <c r="E284" s="7">
        <f t="shared" si="25"/>
        <v>4752400</v>
      </c>
      <c r="F284" s="7">
        <f t="shared" si="25"/>
        <v>1089</v>
      </c>
      <c r="G284" s="7">
        <f t="shared" si="26"/>
        <v>59.634999999999998</v>
      </c>
      <c r="H284" s="7">
        <f t="shared" si="27"/>
        <v>26.635000000000002</v>
      </c>
      <c r="I284" s="7">
        <f t="shared" si="28"/>
        <v>709.42322500000012</v>
      </c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>
      <c r="A285" s="6"/>
      <c r="B285" s="15">
        <v>2165</v>
      </c>
      <c r="C285" s="15">
        <v>41</v>
      </c>
      <c r="D285" s="7">
        <f t="shared" si="24"/>
        <v>88765</v>
      </c>
      <c r="E285" s="7">
        <f t="shared" si="25"/>
        <v>4687225</v>
      </c>
      <c r="F285" s="7">
        <f t="shared" si="25"/>
        <v>1681</v>
      </c>
      <c r="G285" s="7">
        <f t="shared" si="26"/>
        <v>59.131</v>
      </c>
      <c r="H285" s="7">
        <f t="shared" si="27"/>
        <v>18.131</v>
      </c>
      <c r="I285" s="7">
        <f t="shared" si="28"/>
        <v>328.733161</v>
      </c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>
      <c r="A286" s="6"/>
      <c r="B286" s="15">
        <v>2167</v>
      </c>
      <c r="C286" s="15">
        <v>34</v>
      </c>
      <c r="D286" s="7">
        <f t="shared" si="24"/>
        <v>73678</v>
      </c>
      <c r="E286" s="7">
        <f t="shared" si="25"/>
        <v>4695889</v>
      </c>
      <c r="F286" s="7">
        <f t="shared" si="25"/>
        <v>1156</v>
      </c>
      <c r="G286" s="7">
        <f t="shared" si="26"/>
        <v>59.1982</v>
      </c>
      <c r="H286" s="7">
        <f t="shared" si="27"/>
        <v>25.1982</v>
      </c>
      <c r="I286" s="7">
        <f t="shared" si="28"/>
        <v>634.94928324</v>
      </c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>
      <c r="A287" s="6"/>
      <c r="B287" s="15">
        <v>1997</v>
      </c>
      <c r="C287" s="15">
        <v>38</v>
      </c>
      <c r="D287" s="7">
        <f t="shared" si="24"/>
        <v>75886</v>
      </c>
      <c r="E287" s="7">
        <f t="shared" si="25"/>
        <v>3988009</v>
      </c>
      <c r="F287" s="7">
        <f t="shared" si="25"/>
        <v>1444</v>
      </c>
      <c r="G287" s="7">
        <f t="shared" si="26"/>
        <v>53.486199999999997</v>
      </c>
      <c r="H287" s="7">
        <f t="shared" si="27"/>
        <v>15.4862</v>
      </c>
      <c r="I287" s="7">
        <f t="shared" si="28"/>
        <v>239.82239043999999</v>
      </c>
      <c r="J287" s="6"/>
      <c r="K287" s="6"/>
      <c r="L287" s="6"/>
      <c r="M287" s="6"/>
      <c r="N287" s="6" t="s">
        <v>22</v>
      </c>
      <c r="O287" s="6">
        <f>E378-(L278*(L279^2))</f>
        <v>440292950.62173325</v>
      </c>
      <c r="P287" s="6"/>
      <c r="Q287" s="6"/>
      <c r="R287" s="6"/>
      <c r="S287" s="6"/>
      <c r="T287" s="6"/>
    </row>
    <row r="288" spans="1:20">
      <c r="A288" s="6"/>
      <c r="B288" s="15">
        <v>1827</v>
      </c>
      <c r="C288" s="15">
        <v>41</v>
      </c>
      <c r="D288" s="7">
        <f t="shared" si="24"/>
        <v>74907</v>
      </c>
      <c r="E288" s="7">
        <f t="shared" si="25"/>
        <v>3337929</v>
      </c>
      <c r="F288" s="7">
        <f t="shared" si="25"/>
        <v>1681</v>
      </c>
      <c r="G288" s="7">
        <f t="shared" si="26"/>
        <v>47.7742</v>
      </c>
      <c r="H288" s="7">
        <f t="shared" si="27"/>
        <v>6.7742000000000004</v>
      </c>
      <c r="I288" s="7">
        <f t="shared" si="28"/>
        <v>45.889785640000007</v>
      </c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>
      <c r="A289" s="6"/>
      <c r="B289" s="15">
        <v>1708</v>
      </c>
      <c r="C289" s="15">
        <v>28</v>
      </c>
      <c r="D289" s="7">
        <f t="shared" si="24"/>
        <v>47824</v>
      </c>
      <c r="E289" s="7">
        <f t="shared" si="25"/>
        <v>2917264</v>
      </c>
      <c r="F289" s="7">
        <f t="shared" si="25"/>
        <v>784</v>
      </c>
      <c r="G289" s="7">
        <f t="shared" si="26"/>
        <v>43.775799999999997</v>
      </c>
      <c r="H289" s="7">
        <f t="shared" si="27"/>
        <v>15.7758</v>
      </c>
      <c r="I289" s="7">
        <f t="shared" si="28"/>
        <v>248.87586564</v>
      </c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>
      <c r="A290" s="6"/>
      <c r="B290" s="15">
        <v>1583</v>
      </c>
      <c r="C290" s="15">
        <v>28</v>
      </c>
      <c r="D290" s="7">
        <f t="shared" si="24"/>
        <v>44324</v>
      </c>
      <c r="E290" s="7">
        <f t="shared" si="25"/>
        <v>2505889</v>
      </c>
      <c r="F290" s="7">
        <f t="shared" si="25"/>
        <v>784</v>
      </c>
      <c r="G290" s="7">
        <f t="shared" si="26"/>
        <v>39.575800000000001</v>
      </c>
      <c r="H290" s="7">
        <f t="shared" si="27"/>
        <v>11.575799999999999</v>
      </c>
      <c r="I290" s="7">
        <f t="shared" si="28"/>
        <v>133.99914563999999</v>
      </c>
      <c r="J290" s="6"/>
      <c r="K290" s="6"/>
      <c r="L290" s="6"/>
      <c r="M290" s="6"/>
      <c r="N290" s="6" t="s">
        <v>22</v>
      </c>
      <c r="O290" s="6">
        <f>ROUND((F378-(L278*(L280^2))),4)</f>
        <v>524434.89450000005</v>
      </c>
      <c r="P290" s="6"/>
      <c r="Q290" s="6"/>
      <c r="R290" s="6"/>
      <c r="S290" s="6"/>
      <c r="T290" s="6"/>
    </row>
    <row r="291" spans="1:20">
      <c r="A291" s="6"/>
      <c r="B291" s="15">
        <v>1416</v>
      </c>
      <c r="C291" s="15">
        <v>26</v>
      </c>
      <c r="D291" s="7">
        <f t="shared" si="24"/>
        <v>36816</v>
      </c>
      <c r="E291" s="7">
        <f t="shared" si="25"/>
        <v>2005056</v>
      </c>
      <c r="F291" s="7">
        <f t="shared" si="25"/>
        <v>676</v>
      </c>
      <c r="G291" s="7">
        <f t="shared" si="26"/>
        <v>33.964599999999997</v>
      </c>
      <c r="H291" s="7">
        <f t="shared" si="27"/>
        <v>7.9645999999999999</v>
      </c>
      <c r="I291" s="7">
        <f t="shared" si="28"/>
        <v>63.434853159999996</v>
      </c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>
      <c r="A292" s="6"/>
      <c r="B292" s="15">
        <v>1414</v>
      </c>
      <c r="C292" s="15">
        <v>28</v>
      </c>
      <c r="D292" s="7">
        <f t="shared" si="24"/>
        <v>39592</v>
      </c>
      <c r="E292" s="7">
        <f t="shared" si="25"/>
        <v>1999396</v>
      </c>
      <c r="F292" s="7">
        <f t="shared" si="25"/>
        <v>784</v>
      </c>
      <c r="G292" s="7">
        <f t="shared" si="26"/>
        <v>33.897399999999998</v>
      </c>
      <c r="H292" s="7">
        <f t="shared" si="27"/>
        <v>5.8974000000000002</v>
      </c>
      <c r="I292" s="7">
        <f t="shared" si="28"/>
        <v>34.779326760000004</v>
      </c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>
      <c r="A293" s="6"/>
      <c r="B293" s="15">
        <v>1403</v>
      </c>
      <c r="C293" s="15">
        <v>25</v>
      </c>
      <c r="D293" s="7">
        <f t="shared" si="24"/>
        <v>35075</v>
      </c>
      <c r="E293" s="7">
        <f t="shared" si="25"/>
        <v>1968409</v>
      </c>
      <c r="F293" s="7">
        <f t="shared" si="25"/>
        <v>625</v>
      </c>
      <c r="G293" s="7">
        <f t="shared" si="26"/>
        <v>33.527799999999999</v>
      </c>
      <c r="H293" s="7">
        <f t="shared" si="27"/>
        <v>8.5277999999999992</v>
      </c>
      <c r="I293" s="7">
        <f t="shared" si="28"/>
        <v>72.723372839999982</v>
      </c>
      <c r="J293" s="6"/>
      <c r="K293" s="6"/>
      <c r="L293" s="6"/>
      <c r="M293" s="6"/>
      <c r="N293" s="6"/>
      <c r="O293" s="15"/>
      <c r="P293" s="15"/>
      <c r="Q293" s="15"/>
      <c r="R293" s="15"/>
      <c r="S293" s="6"/>
      <c r="T293" s="6"/>
    </row>
    <row r="294" spans="1:20">
      <c r="A294" s="6"/>
      <c r="B294" s="15">
        <v>1278</v>
      </c>
      <c r="C294" s="15">
        <v>30</v>
      </c>
      <c r="D294" s="7">
        <f t="shared" si="24"/>
        <v>38340</v>
      </c>
      <c r="E294" s="7">
        <f t="shared" si="25"/>
        <v>1633284</v>
      </c>
      <c r="F294" s="7">
        <f t="shared" si="25"/>
        <v>900</v>
      </c>
      <c r="G294" s="7">
        <f t="shared" si="26"/>
        <v>29.3278</v>
      </c>
      <c r="H294" s="7">
        <f t="shared" si="27"/>
        <v>-0.67220000000000002</v>
      </c>
      <c r="I294" s="7">
        <f t="shared" si="28"/>
        <v>0.45185284000000003</v>
      </c>
      <c r="J294" s="6"/>
      <c r="K294" s="6"/>
      <c r="L294" s="6"/>
      <c r="M294" s="6" t="s">
        <v>22</v>
      </c>
      <c r="N294" s="6">
        <f>O283/(SQRT(O287)*SQRT(O290))</f>
        <v>0.97384460391552086</v>
      </c>
      <c r="O294" s="15"/>
      <c r="P294" s="15"/>
      <c r="Q294" s="15">
        <f>N294^2</f>
        <v>0.94837331257537771</v>
      </c>
      <c r="R294" s="15"/>
      <c r="S294" s="6"/>
      <c r="T294" s="6"/>
    </row>
    <row r="295" spans="1:20">
      <c r="A295" s="6"/>
      <c r="B295" s="15">
        <v>1201</v>
      </c>
      <c r="C295" s="15">
        <v>22</v>
      </c>
      <c r="D295" s="7">
        <f t="shared" si="24"/>
        <v>26422</v>
      </c>
      <c r="E295" s="7">
        <f t="shared" si="25"/>
        <v>1442401</v>
      </c>
      <c r="F295" s="7">
        <f t="shared" si="25"/>
        <v>484</v>
      </c>
      <c r="G295" s="7">
        <f t="shared" si="26"/>
        <v>26.740600000000001</v>
      </c>
      <c r="H295" s="7">
        <f t="shared" si="27"/>
        <v>4.7405999999999997</v>
      </c>
      <c r="I295" s="7">
        <f t="shared" si="28"/>
        <v>22.473288359999998</v>
      </c>
      <c r="J295" s="6"/>
      <c r="K295" s="6"/>
      <c r="L295" s="6"/>
      <c r="M295" s="6"/>
      <c r="N295" s="6"/>
      <c r="O295" s="15"/>
      <c r="P295" s="15"/>
      <c r="Q295" s="15"/>
      <c r="R295" s="15"/>
      <c r="S295" s="6"/>
      <c r="T295" s="6"/>
    </row>
    <row r="296" spans="1:20">
      <c r="A296" s="6"/>
      <c r="B296" s="15">
        <v>1102</v>
      </c>
      <c r="C296" s="15">
        <v>18</v>
      </c>
      <c r="D296" s="7">
        <f t="shared" si="24"/>
        <v>19836</v>
      </c>
      <c r="E296" s="7">
        <f t="shared" si="25"/>
        <v>1214404</v>
      </c>
      <c r="F296" s="7">
        <f t="shared" si="25"/>
        <v>324</v>
      </c>
      <c r="G296" s="7">
        <f t="shared" si="26"/>
        <v>23.414200000000001</v>
      </c>
      <c r="H296" s="7">
        <f t="shared" si="27"/>
        <v>5.4142000000000001</v>
      </c>
      <c r="I296" s="7">
        <f t="shared" si="28"/>
        <v>29.31356164</v>
      </c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>
      <c r="A297" s="6"/>
      <c r="B297" s="15">
        <v>1046</v>
      </c>
      <c r="C297" s="15">
        <v>15</v>
      </c>
      <c r="D297" s="7">
        <f t="shared" si="24"/>
        <v>15690</v>
      </c>
      <c r="E297" s="7">
        <f t="shared" si="25"/>
        <v>1094116</v>
      </c>
      <c r="F297" s="7">
        <f t="shared" si="25"/>
        <v>225</v>
      </c>
      <c r="G297" s="7">
        <f t="shared" si="26"/>
        <v>21.532599999999999</v>
      </c>
      <c r="H297" s="7">
        <f t="shared" si="27"/>
        <v>6.5326000000000004</v>
      </c>
      <c r="I297" s="7">
        <f t="shared" si="28"/>
        <v>42.674862760000003</v>
      </c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>
      <c r="A298" s="6"/>
      <c r="B298" s="15">
        <v>980</v>
      </c>
      <c r="C298" s="15">
        <v>19</v>
      </c>
      <c r="D298" s="7">
        <f t="shared" si="24"/>
        <v>18620</v>
      </c>
      <c r="E298" s="7">
        <f t="shared" si="25"/>
        <v>960400</v>
      </c>
      <c r="F298" s="7">
        <f t="shared" si="25"/>
        <v>361</v>
      </c>
      <c r="G298" s="7">
        <f t="shared" si="26"/>
        <v>19.315000000000001</v>
      </c>
      <c r="H298" s="7">
        <f t="shared" si="27"/>
        <v>0.315</v>
      </c>
      <c r="I298" s="7">
        <f t="shared" si="28"/>
        <v>9.9225000000000008E-2</v>
      </c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>
      <c r="A299" s="6"/>
      <c r="B299" s="15">
        <v>976</v>
      </c>
      <c r="C299" s="15">
        <v>15</v>
      </c>
      <c r="D299" s="7">
        <f t="shared" si="24"/>
        <v>14640</v>
      </c>
      <c r="E299" s="7">
        <f t="shared" si="25"/>
        <v>952576</v>
      </c>
      <c r="F299" s="7">
        <f t="shared" si="25"/>
        <v>225</v>
      </c>
      <c r="G299" s="7">
        <f t="shared" si="26"/>
        <v>19.180599999999998</v>
      </c>
      <c r="H299" s="7">
        <f t="shared" si="27"/>
        <v>4.1806000000000001</v>
      </c>
      <c r="I299" s="7">
        <f t="shared" si="28"/>
        <v>17.477416359999999</v>
      </c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>
      <c r="A300" s="6"/>
      <c r="B300" s="15">
        <v>996</v>
      </c>
      <c r="C300" s="15">
        <v>10</v>
      </c>
      <c r="D300" s="7">
        <f t="shared" si="24"/>
        <v>9960</v>
      </c>
      <c r="E300" s="7">
        <f t="shared" si="25"/>
        <v>992016</v>
      </c>
      <c r="F300" s="7">
        <f t="shared" si="25"/>
        <v>100</v>
      </c>
      <c r="G300" s="7">
        <f t="shared" si="26"/>
        <v>19.852599999999999</v>
      </c>
      <c r="H300" s="7">
        <f t="shared" si="27"/>
        <v>9.8526000000000007</v>
      </c>
      <c r="I300" s="7">
        <f t="shared" si="28"/>
        <v>97.073726760000014</v>
      </c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>
      <c r="A301" s="6"/>
      <c r="B301" s="15">
        <v>955</v>
      </c>
      <c r="C301" s="15">
        <v>13</v>
      </c>
      <c r="D301" s="7">
        <f t="shared" si="24"/>
        <v>12415</v>
      </c>
      <c r="E301" s="7">
        <f t="shared" si="25"/>
        <v>912025</v>
      </c>
      <c r="F301" s="7">
        <f t="shared" si="25"/>
        <v>169</v>
      </c>
      <c r="G301" s="7">
        <f t="shared" si="26"/>
        <v>18.475000000000001</v>
      </c>
      <c r="H301" s="7">
        <f t="shared" si="27"/>
        <v>5.4749999999999996</v>
      </c>
      <c r="I301" s="7">
        <f t="shared" si="28"/>
        <v>29.975624999999997</v>
      </c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>
      <c r="A302" s="6"/>
      <c r="B302" s="15">
        <v>856</v>
      </c>
      <c r="C302" s="15">
        <v>15</v>
      </c>
      <c r="D302" s="7">
        <f t="shared" si="24"/>
        <v>12840</v>
      </c>
      <c r="E302" s="7">
        <f t="shared" si="25"/>
        <v>732736</v>
      </c>
      <c r="F302" s="7">
        <f t="shared" si="25"/>
        <v>225</v>
      </c>
      <c r="G302" s="7">
        <f t="shared" si="26"/>
        <v>15.1486</v>
      </c>
      <c r="H302" s="7">
        <f t="shared" si="27"/>
        <v>0.14860000000000001</v>
      </c>
      <c r="I302" s="7">
        <f t="shared" si="28"/>
        <v>2.2081960000000005E-2</v>
      </c>
      <c r="J302" s="6"/>
      <c r="K302" s="6"/>
      <c r="L302" s="6" t="s">
        <v>22</v>
      </c>
      <c r="M302" s="6">
        <f>ROUND((O283/O287),4)</f>
        <v>3.3599999999999998E-2</v>
      </c>
      <c r="N302" s="6"/>
      <c r="O302" s="6"/>
      <c r="P302" s="6"/>
      <c r="Q302" s="6"/>
      <c r="R302" s="6"/>
      <c r="S302" s="6"/>
      <c r="T302" s="6"/>
    </row>
    <row r="303" spans="1:20">
      <c r="A303" s="6"/>
      <c r="B303" s="15">
        <v>828</v>
      </c>
      <c r="C303" s="15">
        <v>21</v>
      </c>
      <c r="D303" s="7">
        <f t="shared" si="24"/>
        <v>17388</v>
      </c>
      <c r="E303" s="7">
        <f t="shared" si="25"/>
        <v>685584</v>
      </c>
      <c r="F303" s="7">
        <f t="shared" si="25"/>
        <v>441</v>
      </c>
      <c r="G303" s="7">
        <f t="shared" si="26"/>
        <v>14.207800000000001</v>
      </c>
      <c r="H303" s="7">
        <f t="shared" si="27"/>
        <v>-6.7922000000000002</v>
      </c>
      <c r="I303" s="7">
        <f t="shared" si="28"/>
        <v>46.133980840000007</v>
      </c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>
      <c r="A304" s="6"/>
      <c r="B304" s="15">
        <v>789</v>
      </c>
      <c r="C304" s="15">
        <v>11</v>
      </c>
      <c r="D304" s="7">
        <f t="shared" si="24"/>
        <v>8679</v>
      </c>
      <c r="E304" s="7">
        <f t="shared" si="25"/>
        <v>622521</v>
      </c>
      <c r="F304" s="7">
        <f t="shared" si="25"/>
        <v>121</v>
      </c>
      <c r="G304" s="7">
        <f t="shared" si="26"/>
        <v>12.897399999999999</v>
      </c>
      <c r="H304" s="7">
        <f t="shared" si="27"/>
        <v>1.8974</v>
      </c>
      <c r="I304" s="7">
        <f t="shared" si="28"/>
        <v>3.6001267599999998</v>
      </c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5">
      <c r="A305" s="6"/>
      <c r="B305" s="15">
        <v>744</v>
      </c>
      <c r="C305" s="15">
        <v>8</v>
      </c>
      <c r="D305" s="7">
        <f t="shared" si="24"/>
        <v>5952</v>
      </c>
      <c r="E305" s="7">
        <f t="shared" si="25"/>
        <v>553536</v>
      </c>
      <c r="F305" s="7">
        <f t="shared" si="25"/>
        <v>64</v>
      </c>
      <c r="G305" s="7">
        <f t="shared" si="26"/>
        <v>11.385400000000001</v>
      </c>
      <c r="H305" s="7">
        <f t="shared" si="27"/>
        <v>3.3854000000000002</v>
      </c>
      <c r="I305" s="7">
        <f t="shared" si="28"/>
        <v>11.460933160000002</v>
      </c>
      <c r="J305" s="6"/>
      <c r="K305" s="6"/>
      <c r="L305" s="6" t="s">
        <v>22</v>
      </c>
      <c r="M305" s="6">
        <f>ROUND((L280-(M302*L279)),4)</f>
        <v>-13.613</v>
      </c>
      <c r="N305" s="6"/>
      <c r="O305" s="6"/>
      <c r="P305" s="6"/>
      <c r="Q305" s="6"/>
      <c r="R305" s="6"/>
      <c r="S305" s="6"/>
      <c r="T305" s="6"/>
    </row>
    <row r="306" spans="1:25">
      <c r="A306" s="6"/>
      <c r="B306" s="15">
        <v>765</v>
      </c>
      <c r="C306" s="15">
        <v>6</v>
      </c>
      <c r="D306" s="7">
        <f t="shared" si="24"/>
        <v>4590</v>
      </c>
      <c r="E306" s="7">
        <f t="shared" si="25"/>
        <v>585225</v>
      </c>
      <c r="F306" s="7">
        <f t="shared" si="25"/>
        <v>36</v>
      </c>
      <c r="G306" s="7">
        <f t="shared" si="26"/>
        <v>12.090999999999999</v>
      </c>
      <c r="H306" s="7">
        <f t="shared" si="27"/>
        <v>6.0910000000000002</v>
      </c>
      <c r="I306" s="7">
        <f t="shared" si="28"/>
        <v>37.100281000000003</v>
      </c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5">
      <c r="A307" s="6"/>
      <c r="B307" s="15">
        <v>771</v>
      </c>
      <c r="C307" s="15">
        <v>16</v>
      </c>
      <c r="D307" s="7">
        <f t="shared" si="24"/>
        <v>12336</v>
      </c>
      <c r="E307" s="7">
        <f t="shared" si="25"/>
        <v>594441</v>
      </c>
      <c r="F307" s="7">
        <f t="shared" si="25"/>
        <v>256</v>
      </c>
      <c r="G307" s="7">
        <f t="shared" si="26"/>
        <v>12.2926</v>
      </c>
      <c r="H307" s="7">
        <f t="shared" si="27"/>
        <v>-3.7073999999999998</v>
      </c>
      <c r="I307" s="7">
        <f t="shared" si="28"/>
        <v>13.744814759999999</v>
      </c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5">
      <c r="A308" s="6"/>
      <c r="B308" s="15">
        <v>743</v>
      </c>
      <c r="C308" s="15">
        <v>10</v>
      </c>
      <c r="D308" s="7">
        <f t="shared" si="24"/>
        <v>7430</v>
      </c>
      <c r="E308" s="7">
        <f t="shared" si="25"/>
        <v>552049</v>
      </c>
      <c r="F308" s="7">
        <f t="shared" si="25"/>
        <v>100</v>
      </c>
      <c r="G308" s="7">
        <f t="shared" si="26"/>
        <v>11.351800000000001</v>
      </c>
      <c r="H308" s="7">
        <f t="shared" si="27"/>
        <v>1.3517999999999999</v>
      </c>
      <c r="I308" s="7">
        <f t="shared" si="28"/>
        <v>1.8273632399999997</v>
      </c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5">
      <c r="A309" s="6"/>
      <c r="B309" s="15">
        <v>712</v>
      </c>
      <c r="C309" s="15">
        <v>11</v>
      </c>
      <c r="D309" s="7">
        <f t="shared" si="24"/>
        <v>7832</v>
      </c>
      <c r="E309" s="7">
        <f t="shared" si="25"/>
        <v>506944</v>
      </c>
      <c r="F309" s="7">
        <f t="shared" si="25"/>
        <v>121</v>
      </c>
      <c r="G309" s="7">
        <f t="shared" si="26"/>
        <v>10.3102</v>
      </c>
      <c r="H309" s="7">
        <f t="shared" si="27"/>
        <v>-0.68979999999999997</v>
      </c>
      <c r="I309" s="7">
        <f t="shared" si="28"/>
        <v>0.47582403999999995</v>
      </c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</row>
    <row r="310" spans="1:25">
      <c r="A310" s="6"/>
      <c r="B310" s="15">
        <v>695</v>
      </c>
      <c r="C310" s="15">
        <v>9</v>
      </c>
      <c r="D310" s="7">
        <f t="shared" si="24"/>
        <v>6255</v>
      </c>
      <c r="E310" s="7">
        <f t="shared" si="25"/>
        <v>483025</v>
      </c>
      <c r="F310" s="7">
        <f t="shared" si="25"/>
        <v>81</v>
      </c>
      <c r="G310" s="7">
        <f t="shared" si="26"/>
        <v>9.7390000000000008</v>
      </c>
      <c r="H310" s="7">
        <f t="shared" si="27"/>
        <v>0.73899999999999999</v>
      </c>
      <c r="I310" s="7">
        <f t="shared" si="28"/>
        <v>0.54612099999999997</v>
      </c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</row>
    <row r="311" spans="1:25">
      <c r="A311" s="6"/>
      <c r="B311" s="15">
        <v>669</v>
      </c>
      <c r="C311" s="15">
        <v>5</v>
      </c>
      <c r="D311" s="7">
        <f t="shared" si="24"/>
        <v>3345</v>
      </c>
      <c r="E311" s="7">
        <f t="shared" si="25"/>
        <v>447561</v>
      </c>
      <c r="F311" s="7">
        <f t="shared" si="25"/>
        <v>25</v>
      </c>
      <c r="G311" s="7">
        <f t="shared" si="26"/>
        <v>8.8653999999999993</v>
      </c>
      <c r="H311" s="7">
        <f t="shared" si="27"/>
        <v>3.8654000000000002</v>
      </c>
      <c r="I311" s="7">
        <f t="shared" si="28"/>
        <v>14.941317160000001</v>
      </c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</row>
    <row r="312" spans="1:25">
      <c r="A312" s="6"/>
      <c r="B312" s="15">
        <v>618</v>
      </c>
      <c r="C312" s="15">
        <v>8</v>
      </c>
      <c r="D312" s="7">
        <f t="shared" si="24"/>
        <v>4944</v>
      </c>
      <c r="E312" s="7">
        <f t="shared" si="25"/>
        <v>381924</v>
      </c>
      <c r="F312" s="7">
        <f t="shared" si="25"/>
        <v>64</v>
      </c>
      <c r="G312" s="7">
        <f t="shared" si="26"/>
        <v>7.1517999999999997</v>
      </c>
      <c r="H312" s="7">
        <f t="shared" si="27"/>
        <v>-0.84819999999999995</v>
      </c>
      <c r="I312" s="7">
        <f t="shared" si="28"/>
        <v>0.71944323999999993</v>
      </c>
      <c r="J312" s="77"/>
      <c r="K312" s="38" t="s">
        <v>41</v>
      </c>
      <c r="L312" s="33">
        <f>ROUND(O290-N312*O283,4)</f>
        <v>27218.321400000001</v>
      </c>
      <c r="M312" s="38"/>
      <c r="N312" s="33">
        <f>M302</f>
        <v>3.3599999999999998E-2</v>
      </c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</row>
    <row r="313" spans="1:25">
      <c r="A313" s="6"/>
      <c r="B313" s="15">
        <v>633</v>
      </c>
      <c r="C313" s="15">
        <v>10</v>
      </c>
      <c r="D313" s="7">
        <f t="shared" si="24"/>
        <v>6330</v>
      </c>
      <c r="E313" s="7">
        <f t="shared" si="25"/>
        <v>400689</v>
      </c>
      <c r="F313" s="7">
        <f t="shared" si="25"/>
        <v>100</v>
      </c>
      <c r="G313" s="7">
        <f t="shared" si="26"/>
        <v>7.6558000000000002</v>
      </c>
      <c r="H313" s="7">
        <f t="shared" si="27"/>
        <v>-2.3441999999999998</v>
      </c>
      <c r="I313" s="7">
        <f t="shared" si="28"/>
        <v>5.4952736399999988</v>
      </c>
      <c r="J313" s="77"/>
      <c r="K313" s="36" t="s">
        <v>42</v>
      </c>
      <c r="L313" s="26">
        <f>ROUND((O283^2)/O287,4)</f>
        <v>497360.05810000002</v>
      </c>
      <c r="M313" s="77"/>
      <c r="N313" s="26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</row>
    <row r="314" spans="1:25">
      <c r="A314" s="6"/>
      <c r="B314" s="15">
        <v>623</v>
      </c>
      <c r="C314" s="15">
        <v>6</v>
      </c>
      <c r="D314" s="7">
        <f t="shared" si="24"/>
        <v>3738</v>
      </c>
      <c r="E314" s="7">
        <f t="shared" si="25"/>
        <v>388129</v>
      </c>
      <c r="F314" s="7">
        <f t="shared" si="25"/>
        <v>36</v>
      </c>
      <c r="G314" s="7">
        <f t="shared" si="26"/>
        <v>7.3197999999999999</v>
      </c>
      <c r="H314" s="7">
        <f t="shared" si="27"/>
        <v>1.3198000000000001</v>
      </c>
      <c r="I314" s="7">
        <f t="shared" si="28"/>
        <v>1.7418720400000003</v>
      </c>
      <c r="J314" s="77"/>
      <c r="K314" s="36" t="s">
        <v>43</v>
      </c>
      <c r="L314" s="26">
        <f>O290</f>
        <v>524434.89450000005</v>
      </c>
      <c r="M314" s="77"/>
      <c r="N314" s="26">
        <f>M305</f>
        <v>-13.613</v>
      </c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</row>
    <row r="315" spans="1:25">
      <c r="A315" s="6"/>
      <c r="B315" s="15">
        <v>584</v>
      </c>
      <c r="C315" s="15">
        <v>2</v>
      </c>
      <c r="D315" s="7">
        <f t="shared" si="24"/>
        <v>1168</v>
      </c>
      <c r="E315" s="7">
        <f t="shared" si="25"/>
        <v>341056</v>
      </c>
      <c r="F315" s="7">
        <f t="shared" si="25"/>
        <v>4</v>
      </c>
      <c r="G315" s="7">
        <f t="shared" si="26"/>
        <v>6.0094000000000003</v>
      </c>
      <c r="H315" s="7">
        <f t="shared" si="27"/>
        <v>4.0094000000000003</v>
      </c>
      <c r="I315" s="7">
        <f t="shared" si="28"/>
        <v>16.075288360000002</v>
      </c>
      <c r="J315" s="77"/>
      <c r="K315" s="36" t="s">
        <v>59</v>
      </c>
      <c r="L315" s="26">
        <f>ROUND(SQRT(L312/(L278-2)),4)</f>
        <v>15.1876</v>
      </c>
      <c r="M315" s="77"/>
      <c r="N315" s="26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</row>
    <row r="316" spans="1:25" ht="13.5" thickBot="1">
      <c r="A316" s="6"/>
      <c r="B316" s="15">
        <v>558</v>
      </c>
      <c r="C316" s="15">
        <v>3</v>
      </c>
      <c r="D316" s="7">
        <f t="shared" si="24"/>
        <v>1674</v>
      </c>
      <c r="E316" s="7">
        <f t="shared" si="25"/>
        <v>311364</v>
      </c>
      <c r="F316" s="7">
        <f t="shared" si="25"/>
        <v>9</v>
      </c>
      <c r="G316" s="7">
        <f t="shared" si="26"/>
        <v>5.1357999999999997</v>
      </c>
      <c r="H316" s="7">
        <f t="shared" si="27"/>
        <v>2.1358000000000001</v>
      </c>
      <c r="I316" s="7">
        <f t="shared" si="28"/>
        <v>4.5616416400000004</v>
      </c>
      <c r="J316" s="77"/>
      <c r="K316" s="37"/>
      <c r="L316" s="27"/>
      <c r="M316" s="37"/>
      <c r="N316" s="27">
        <f>ROUND(N312*SQRT(O287/O290),4)</f>
        <v>0.97360000000000002</v>
      </c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</row>
    <row r="317" spans="1:25">
      <c r="A317" s="6"/>
      <c r="B317" s="15">
        <v>538</v>
      </c>
      <c r="C317" s="15">
        <v>11</v>
      </c>
      <c r="D317" s="7">
        <f t="shared" si="24"/>
        <v>5918</v>
      </c>
      <c r="E317" s="7">
        <f t="shared" si="25"/>
        <v>289444</v>
      </c>
      <c r="F317" s="7">
        <f t="shared" si="25"/>
        <v>121</v>
      </c>
      <c r="G317" s="7">
        <f t="shared" si="26"/>
        <v>4.4638</v>
      </c>
      <c r="H317" s="7">
        <f t="shared" si="27"/>
        <v>-6.5362</v>
      </c>
      <c r="I317" s="7">
        <f t="shared" si="28"/>
        <v>42.721910440000002</v>
      </c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</row>
    <row r="318" spans="1:25" ht="13.5" thickBot="1">
      <c r="A318" s="6"/>
      <c r="B318" s="15">
        <v>513</v>
      </c>
      <c r="C318" s="15">
        <v>9</v>
      </c>
      <c r="D318" s="7">
        <f t="shared" si="24"/>
        <v>4617</v>
      </c>
      <c r="E318" s="7">
        <f t="shared" si="25"/>
        <v>263169</v>
      </c>
      <c r="F318" s="7">
        <f t="shared" si="25"/>
        <v>81</v>
      </c>
      <c r="G318" s="7">
        <f t="shared" si="26"/>
        <v>3.6238000000000001</v>
      </c>
      <c r="H318" s="7">
        <f t="shared" si="27"/>
        <v>-5.3761999999999999</v>
      </c>
      <c r="I318" s="7">
        <f t="shared" si="28"/>
        <v>28.90352644</v>
      </c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</row>
    <row r="319" spans="1:25">
      <c r="A319" s="6"/>
      <c r="B319" s="15">
        <v>512</v>
      </c>
      <c r="C319" s="15">
        <v>7</v>
      </c>
      <c r="D319" s="7">
        <f t="shared" si="24"/>
        <v>3584</v>
      </c>
      <c r="E319" s="7">
        <f t="shared" si="25"/>
        <v>262144</v>
      </c>
      <c r="F319" s="7">
        <f t="shared" si="25"/>
        <v>49</v>
      </c>
      <c r="G319" s="7">
        <f t="shared" si="26"/>
        <v>3.5901999999999998</v>
      </c>
      <c r="H319" s="7">
        <f t="shared" si="27"/>
        <v>-3.4098000000000002</v>
      </c>
      <c r="I319" s="7">
        <f t="shared" si="28"/>
        <v>11.626736040000001</v>
      </c>
      <c r="J319" s="77"/>
      <c r="K319" s="20"/>
      <c r="L319" s="20" t="s">
        <v>55</v>
      </c>
      <c r="M319" s="20" t="s">
        <v>48</v>
      </c>
      <c r="N319" s="20" t="s">
        <v>49</v>
      </c>
      <c r="O319" s="20" t="s">
        <v>50</v>
      </c>
      <c r="P319" s="20" t="s">
        <v>51</v>
      </c>
      <c r="Q319" s="77"/>
      <c r="R319" s="77"/>
      <c r="S319" s="77"/>
      <c r="T319" s="77"/>
      <c r="U319" s="77"/>
      <c r="V319" s="77"/>
      <c r="W319" s="77"/>
      <c r="X319" s="77"/>
      <c r="Y319" s="77"/>
    </row>
    <row r="320" spans="1:25">
      <c r="A320" s="6"/>
      <c r="B320" s="15">
        <v>517</v>
      </c>
      <c r="C320" s="15">
        <v>4</v>
      </c>
      <c r="D320" s="7">
        <f t="shared" si="24"/>
        <v>2068</v>
      </c>
      <c r="E320" s="7">
        <f t="shared" si="25"/>
        <v>267289</v>
      </c>
      <c r="F320" s="7">
        <f t="shared" si="25"/>
        <v>16</v>
      </c>
      <c r="G320" s="7">
        <f t="shared" si="26"/>
        <v>3.7582</v>
      </c>
      <c r="H320" s="7">
        <f t="shared" si="27"/>
        <v>-0.24179999999999999</v>
      </c>
      <c r="I320" s="7">
        <f t="shared" si="28"/>
        <v>5.8467239999999997E-2</v>
      </c>
      <c r="J320" s="77"/>
      <c r="K320" s="76" t="s">
        <v>56</v>
      </c>
      <c r="L320" s="18" t="s">
        <v>45</v>
      </c>
      <c r="M320" s="18">
        <v>1</v>
      </c>
      <c r="N320" s="18">
        <f>L313</f>
        <v>497360.05810000002</v>
      </c>
      <c r="O320" s="18">
        <f>N320/M320</f>
        <v>497360.05810000002</v>
      </c>
      <c r="P320" s="18">
        <f>O320/O321</f>
        <v>2156.2125743654419</v>
      </c>
      <c r="Q320" s="77"/>
      <c r="R320" s="77"/>
      <c r="S320" s="77"/>
      <c r="T320" s="77"/>
      <c r="U320" s="77"/>
      <c r="V320" s="77"/>
      <c r="W320" s="77"/>
      <c r="X320" s="77"/>
      <c r="Y320" s="77"/>
    </row>
    <row r="321" spans="1:25">
      <c r="A321" s="6"/>
      <c r="B321" s="15">
        <v>536</v>
      </c>
      <c r="C321" s="15">
        <v>6</v>
      </c>
      <c r="D321" s="7">
        <f t="shared" si="24"/>
        <v>3216</v>
      </c>
      <c r="E321" s="7">
        <f t="shared" si="25"/>
        <v>287296</v>
      </c>
      <c r="F321" s="7">
        <f t="shared" si="25"/>
        <v>36</v>
      </c>
      <c r="G321" s="7">
        <f t="shared" si="26"/>
        <v>4.3966000000000003</v>
      </c>
      <c r="H321" s="7">
        <f t="shared" si="27"/>
        <v>-1.6033999999999999</v>
      </c>
      <c r="I321" s="7">
        <f t="shared" si="28"/>
        <v>2.5708915599999997</v>
      </c>
      <c r="J321" s="77"/>
      <c r="K321" s="76" t="s">
        <v>57</v>
      </c>
      <c r="L321" s="18" t="s">
        <v>46</v>
      </c>
      <c r="M321" s="77">
        <v>118</v>
      </c>
      <c r="N321" s="18">
        <f>L312</f>
        <v>27218.321400000001</v>
      </c>
      <c r="O321" s="18">
        <f>N321/M321</f>
        <v>230.6637406779661</v>
      </c>
      <c r="P321" s="18"/>
      <c r="Q321" s="77"/>
      <c r="R321" s="77"/>
      <c r="S321" s="77"/>
      <c r="T321" s="77"/>
      <c r="U321" s="77"/>
      <c r="V321" s="77"/>
      <c r="W321" s="77"/>
      <c r="X321" s="77"/>
      <c r="Y321" s="77"/>
    </row>
    <row r="322" spans="1:25" ht="13.5" thickBot="1">
      <c r="A322" s="6"/>
      <c r="B322" s="15">
        <v>504</v>
      </c>
      <c r="C322" s="15">
        <v>2</v>
      </c>
      <c r="D322" s="7">
        <f t="shared" si="24"/>
        <v>1008</v>
      </c>
      <c r="E322" s="7">
        <f t="shared" si="25"/>
        <v>254016</v>
      </c>
      <c r="F322" s="7">
        <f t="shared" si="25"/>
        <v>4</v>
      </c>
      <c r="G322" s="7">
        <f t="shared" si="26"/>
        <v>3.3214000000000001</v>
      </c>
      <c r="H322" s="7">
        <f t="shared" si="27"/>
        <v>1.3213999999999999</v>
      </c>
      <c r="I322" s="7">
        <f t="shared" si="28"/>
        <v>1.7460979599999997</v>
      </c>
      <c r="J322" s="77"/>
      <c r="K322" s="24" t="s">
        <v>58</v>
      </c>
      <c r="L322" s="19" t="s">
        <v>47</v>
      </c>
      <c r="M322" s="28">
        <v>119</v>
      </c>
      <c r="N322" s="19">
        <f>L314</f>
        <v>524434.89450000005</v>
      </c>
      <c r="O322" s="19"/>
      <c r="P322" s="19"/>
      <c r="Q322" s="77"/>
      <c r="R322" s="77"/>
      <c r="S322" s="77"/>
      <c r="T322" s="77"/>
      <c r="U322" s="77"/>
      <c r="V322" s="77"/>
      <c r="W322" s="77"/>
      <c r="X322" s="77"/>
      <c r="Y322" s="77"/>
    </row>
    <row r="323" spans="1:25">
      <c r="A323" s="6"/>
      <c r="B323" s="15">
        <v>488</v>
      </c>
      <c r="C323" s="15">
        <v>3</v>
      </c>
      <c r="D323" s="7">
        <f t="shared" ref="D323:D377" si="29">B323*C323</f>
        <v>1464</v>
      </c>
      <c r="E323" s="7">
        <f t="shared" ref="E323:F377" si="30">B323^2</f>
        <v>238144</v>
      </c>
      <c r="F323" s="7">
        <f t="shared" si="30"/>
        <v>9</v>
      </c>
      <c r="G323" s="7">
        <f t="shared" ref="G323:G377" si="31">ROUND($M$305+$M$302*B323,4)</f>
        <v>2.7837999999999998</v>
      </c>
      <c r="H323" s="7">
        <f t="shared" ref="H323:H377" si="32">ROUND(G323-C323,4)</f>
        <v>-0.2162</v>
      </c>
      <c r="I323" s="7">
        <f t="shared" ref="I323:I377" si="33">H323^2</f>
        <v>4.6742440000000003E-2</v>
      </c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</row>
    <row r="324" spans="1:25">
      <c r="A324" s="6"/>
      <c r="B324" s="15">
        <v>495</v>
      </c>
      <c r="C324" s="15">
        <v>9</v>
      </c>
      <c r="D324" s="7">
        <f t="shared" si="29"/>
        <v>4455</v>
      </c>
      <c r="E324" s="7">
        <f t="shared" si="30"/>
        <v>245025</v>
      </c>
      <c r="F324" s="7">
        <f t="shared" si="30"/>
        <v>81</v>
      </c>
      <c r="G324" s="7">
        <f t="shared" si="31"/>
        <v>3.0190000000000001</v>
      </c>
      <c r="H324" s="7">
        <f t="shared" si="32"/>
        <v>-5.9809999999999999</v>
      </c>
      <c r="I324" s="7">
        <f t="shared" si="33"/>
        <v>35.772360999999997</v>
      </c>
      <c r="J324" s="77"/>
      <c r="K324" s="73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</row>
    <row r="325" spans="1:25">
      <c r="A325" s="6"/>
      <c r="B325" s="15">
        <v>486</v>
      </c>
      <c r="C325" s="15">
        <v>5</v>
      </c>
      <c r="D325" s="7">
        <f t="shared" si="29"/>
        <v>2430</v>
      </c>
      <c r="E325" s="7">
        <f t="shared" si="30"/>
        <v>236196</v>
      </c>
      <c r="F325" s="7">
        <f t="shared" si="30"/>
        <v>25</v>
      </c>
      <c r="G325" s="7">
        <f t="shared" si="31"/>
        <v>2.7166000000000001</v>
      </c>
      <c r="H325" s="7">
        <f t="shared" si="32"/>
        <v>-2.2833999999999999</v>
      </c>
      <c r="I325" s="7">
        <f t="shared" si="33"/>
        <v>5.2139155599999993</v>
      </c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</row>
    <row r="326" spans="1:25">
      <c r="A326" s="6"/>
      <c r="B326" s="15">
        <v>466</v>
      </c>
      <c r="C326" s="15">
        <v>6</v>
      </c>
      <c r="D326" s="7">
        <f t="shared" si="29"/>
        <v>2796</v>
      </c>
      <c r="E326" s="7">
        <f t="shared" si="30"/>
        <v>217156</v>
      </c>
      <c r="F326" s="7">
        <f t="shared" si="30"/>
        <v>36</v>
      </c>
      <c r="G326" s="7">
        <f t="shared" si="31"/>
        <v>2.0446</v>
      </c>
      <c r="H326" s="7">
        <f t="shared" si="32"/>
        <v>-3.9554</v>
      </c>
      <c r="I326" s="7">
        <f t="shared" si="33"/>
        <v>15.645189160000001</v>
      </c>
      <c r="J326" s="77"/>
      <c r="K326" s="14"/>
      <c r="L326" s="14"/>
      <c r="M326" s="14"/>
      <c r="N326" s="14"/>
      <c r="O326" s="14"/>
      <c r="P326" s="77"/>
      <c r="Q326" s="77"/>
      <c r="R326" s="77"/>
      <c r="S326" s="77"/>
      <c r="T326" s="77"/>
      <c r="U326" s="77"/>
      <c r="V326" s="77"/>
      <c r="W326" s="77"/>
      <c r="X326" s="77"/>
      <c r="Y326" s="77"/>
    </row>
    <row r="327" spans="1:25">
      <c r="A327" s="6"/>
      <c r="B327" s="15">
        <v>466</v>
      </c>
      <c r="C327" s="15">
        <v>6</v>
      </c>
      <c r="D327" s="7">
        <f t="shared" si="29"/>
        <v>2796</v>
      </c>
      <c r="E327" s="7">
        <f t="shared" si="30"/>
        <v>217156</v>
      </c>
      <c r="F327" s="7">
        <f t="shared" si="30"/>
        <v>36</v>
      </c>
      <c r="G327" s="7">
        <f t="shared" si="31"/>
        <v>2.0446</v>
      </c>
      <c r="H327" s="7">
        <f t="shared" si="32"/>
        <v>-3.9554</v>
      </c>
      <c r="I327" s="7">
        <f t="shared" si="33"/>
        <v>15.645189160000001</v>
      </c>
      <c r="J327" s="77"/>
      <c r="K327" s="29" t="s">
        <v>80</v>
      </c>
      <c r="L327" s="14">
        <v>0.05</v>
      </c>
      <c r="M327" s="14"/>
      <c r="N327" s="14"/>
      <c r="O327" s="14"/>
      <c r="P327" s="77"/>
      <c r="Q327" s="77"/>
      <c r="R327" s="77"/>
      <c r="S327" s="77"/>
      <c r="T327" s="77"/>
      <c r="U327" s="77"/>
      <c r="V327" s="77"/>
      <c r="W327" s="77"/>
      <c r="X327" s="77"/>
      <c r="Y327" s="77"/>
    </row>
    <row r="328" spans="1:25">
      <c r="A328" s="6"/>
      <c r="B328" s="15">
        <v>479</v>
      </c>
      <c r="C328" s="15">
        <v>2</v>
      </c>
      <c r="D328" s="7">
        <f t="shared" si="29"/>
        <v>958</v>
      </c>
      <c r="E328" s="7">
        <f t="shared" si="30"/>
        <v>229441</v>
      </c>
      <c r="F328" s="7">
        <f t="shared" si="30"/>
        <v>4</v>
      </c>
      <c r="G328" s="7">
        <f t="shared" si="31"/>
        <v>2.4813999999999998</v>
      </c>
      <c r="H328" s="7">
        <f t="shared" si="32"/>
        <v>0.48139999999999999</v>
      </c>
      <c r="I328" s="7">
        <f t="shared" si="33"/>
        <v>0.23174596</v>
      </c>
      <c r="J328" s="77"/>
      <c r="K328" s="14"/>
      <c r="L328" s="14"/>
      <c r="M328" s="14"/>
      <c r="N328" s="14"/>
      <c r="O328" s="14"/>
      <c r="P328" s="77"/>
      <c r="Q328" s="77"/>
      <c r="R328" s="77"/>
      <c r="S328" s="77"/>
      <c r="T328" s="77"/>
      <c r="U328" s="77"/>
      <c r="V328" s="77"/>
      <c r="W328" s="77"/>
      <c r="X328" s="77"/>
      <c r="Y328" s="77"/>
    </row>
    <row r="329" spans="1:25">
      <c r="A329" s="6"/>
      <c r="B329" s="15">
        <v>459</v>
      </c>
      <c r="C329" s="15">
        <v>5</v>
      </c>
      <c r="D329" s="7">
        <f t="shared" si="29"/>
        <v>2295</v>
      </c>
      <c r="E329" s="7">
        <f t="shared" si="30"/>
        <v>210681</v>
      </c>
      <c r="F329" s="7">
        <f t="shared" si="30"/>
        <v>25</v>
      </c>
      <c r="G329" s="7">
        <f t="shared" si="31"/>
        <v>1.8093999999999999</v>
      </c>
      <c r="H329" s="7">
        <f t="shared" si="32"/>
        <v>-3.1905999999999999</v>
      </c>
      <c r="I329" s="7">
        <f t="shared" si="33"/>
        <v>10.17992836</v>
      </c>
      <c r="J329" s="77"/>
      <c r="K329" s="14"/>
      <c r="L329" s="14"/>
      <c r="M329" s="14"/>
      <c r="N329" s="14"/>
      <c r="O329" s="14"/>
      <c r="P329" s="77"/>
      <c r="Q329" s="77"/>
      <c r="R329" s="77"/>
      <c r="S329" s="77"/>
      <c r="T329" s="77"/>
      <c r="U329" s="77"/>
      <c r="V329" s="77"/>
      <c r="W329" s="77"/>
      <c r="X329" s="77"/>
      <c r="Y329" s="77"/>
    </row>
    <row r="330" spans="1:25">
      <c r="A330" s="6"/>
      <c r="B330" s="15">
        <v>447</v>
      </c>
      <c r="C330" s="15">
        <v>8</v>
      </c>
      <c r="D330" s="7">
        <f t="shared" si="29"/>
        <v>3576</v>
      </c>
      <c r="E330" s="7">
        <f t="shared" si="30"/>
        <v>199809</v>
      </c>
      <c r="F330" s="7">
        <f t="shared" si="30"/>
        <v>64</v>
      </c>
      <c r="G330" s="7">
        <f t="shared" si="31"/>
        <v>1.4061999999999999</v>
      </c>
      <c r="H330" s="7">
        <f t="shared" si="32"/>
        <v>-6.5937999999999999</v>
      </c>
      <c r="I330" s="7">
        <f t="shared" si="33"/>
        <v>43.47819844</v>
      </c>
      <c r="J330" s="77"/>
      <c r="K330" s="14"/>
      <c r="L330" s="14"/>
      <c r="M330" s="14"/>
      <c r="N330" s="14"/>
      <c r="O330" s="14"/>
      <c r="P330" s="77"/>
      <c r="Q330" s="77"/>
      <c r="R330" s="77"/>
      <c r="S330" s="77"/>
      <c r="T330" s="77"/>
      <c r="U330" s="77"/>
      <c r="V330" s="77"/>
      <c r="W330" s="77"/>
      <c r="X330" s="77"/>
      <c r="Y330" s="77"/>
    </row>
    <row r="331" spans="1:25">
      <c r="A331" s="6"/>
      <c r="B331" s="15">
        <v>423</v>
      </c>
      <c r="C331" s="15">
        <v>2</v>
      </c>
      <c r="D331" s="7">
        <f t="shared" si="29"/>
        <v>846</v>
      </c>
      <c r="E331" s="7">
        <f t="shared" si="30"/>
        <v>178929</v>
      </c>
      <c r="F331" s="7">
        <f t="shared" si="30"/>
        <v>4</v>
      </c>
      <c r="G331" s="7">
        <f t="shared" si="31"/>
        <v>0.5998</v>
      </c>
      <c r="H331" s="7">
        <f t="shared" si="32"/>
        <v>-1.4001999999999999</v>
      </c>
      <c r="I331" s="7">
        <f t="shared" si="33"/>
        <v>1.9605600399999996</v>
      </c>
      <c r="J331" s="77"/>
      <c r="K331" s="29" t="s">
        <v>133</v>
      </c>
      <c r="L331" s="14">
        <f>P320</f>
        <v>2156.2125743654419</v>
      </c>
      <c r="M331" s="14"/>
      <c r="N331" s="14"/>
      <c r="O331" s="14"/>
      <c r="P331" s="77"/>
      <c r="Q331" s="77"/>
      <c r="R331" s="77"/>
      <c r="S331" s="77"/>
      <c r="T331" s="77"/>
      <c r="U331" s="77"/>
      <c r="V331" s="77"/>
      <c r="W331" s="77"/>
      <c r="X331" s="77"/>
      <c r="Y331" s="77"/>
    </row>
    <row r="332" spans="1:25">
      <c r="A332" s="6"/>
      <c r="B332" s="15">
        <v>429</v>
      </c>
      <c r="C332" s="15">
        <v>4</v>
      </c>
      <c r="D332" s="7">
        <f t="shared" si="29"/>
        <v>1716</v>
      </c>
      <c r="E332" s="7">
        <f t="shared" si="30"/>
        <v>184041</v>
      </c>
      <c r="F332" s="7">
        <f t="shared" si="30"/>
        <v>16</v>
      </c>
      <c r="G332" s="7">
        <f t="shared" si="31"/>
        <v>0.8014</v>
      </c>
      <c r="H332" s="7">
        <f t="shared" si="32"/>
        <v>-3.1985999999999999</v>
      </c>
      <c r="I332" s="7">
        <f t="shared" si="33"/>
        <v>10.231041959999999</v>
      </c>
      <c r="J332" s="77"/>
      <c r="K332" s="14"/>
      <c r="L332" s="14"/>
      <c r="M332" s="14"/>
      <c r="N332" s="14"/>
      <c r="O332" s="14"/>
      <c r="P332" s="77"/>
      <c r="Q332" s="77"/>
      <c r="R332" s="77"/>
      <c r="S332" s="77"/>
      <c r="T332" s="77"/>
      <c r="U332" s="77"/>
      <c r="V332" s="77"/>
      <c r="W332" s="77"/>
      <c r="X332" s="77"/>
      <c r="Y332" s="77"/>
    </row>
    <row r="333" spans="1:25">
      <c r="A333" s="6"/>
      <c r="B333" s="15">
        <v>415</v>
      </c>
      <c r="C333" s="15">
        <v>5</v>
      </c>
      <c r="D333" s="7">
        <f t="shared" si="29"/>
        <v>2075</v>
      </c>
      <c r="E333" s="7">
        <f t="shared" si="30"/>
        <v>172225</v>
      </c>
      <c r="F333" s="7">
        <f t="shared" si="30"/>
        <v>25</v>
      </c>
      <c r="G333" s="7">
        <f t="shared" si="31"/>
        <v>0.33100000000000002</v>
      </c>
      <c r="H333" s="7">
        <f t="shared" si="32"/>
        <v>-4.6689999999999996</v>
      </c>
      <c r="I333" s="7">
        <f t="shared" si="33"/>
        <v>21.799560999999997</v>
      </c>
      <c r="J333" s="77"/>
      <c r="K333" s="14"/>
      <c r="L333" s="14"/>
      <c r="M333" s="14"/>
      <c r="N333" s="14"/>
      <c r="O333" s="14"/>
      <c r="P333" s="77"/>
      <c r="Q333" s="77"/>
      <c r="R333" s="77"/>
      <c r="S333" s="77"/>
      <c r="T333" s="77"/>
      <c r="U333" s="77"/>
      <c r="V333" s="77"/>
      <c r="W333" s="77"/>
      <c r="X333" s="77"/>
      <c r="Y333" s="77"/>
    </row>
    <row r="334" spans="1:25">
      <c r="A334" s="6"/>
      <c r="B334" s="15">
        <v>428</v>
      </c>
      <c r="C334" s="15">
        <v>3</v>
      </c>
      <c r="D334" s="7">
        <f t="shared" si="29"/>
        <v>1284</v>
      </c>
      <c r="E334" s="7">
        <f t="shared" si="30"/>
        <v>183184</v>
      </c>
      <c r="F334" s="7">
        <f t="shared" si="30"/>
        <v>9</v>
      </c>
      <c r="G334" s="7">
        <f t="shared" si="31"/>
        <v>0.76780000000000004</v>
      </c>
      <c r="H334" s="7">
        <f t="shared" si="32"/>
        <v>-2.2322000000000002</v>
      </c>
      <c r="I334" s="7">
        <f t="shared" si="33"/>
        <v>4.982716840000001</v>
      </c>
      <c r="J334" s="77"/>
      <c r="K334" s="14" t="str">
        <f>"f(0,05);("&amp;M320&amp;","&amp;M321&amp;")="</f>
        <v>f(0,05);(1,118)=</v>
      </c>
      <c r="L334" s="14">
        <f>ROUND(_xlfn.F.INV.RT(L327,M320,M321),4)</f>
        <v>3.9215</v>
      </c>
      <c r="M334" s="14"/>
      <c r="N334" s="14"/>
      <c r="O334" s="14"/>
      <c r="P334" s="77"/>
      <c r="Q334" s="77"/>
      <c r="R334" s="77"/>
      <c r="S334" s="77"/>
      <c r="T334" s="77"/>
      <c r="U334" s="77"/>
      <c r="V334" s="77"/>
      <c r="W334" s="77"/>
      <c r="X334" s="77"/>
      <c r="Y334" s="77"/>
    </row>
    <row r="335" spans="1:25">
      <c r="A335" s="6"/>
      <c r="B335" s="15">
        <v>454</v>
      </c>
      <c r="C335" s="15">
        <v>1</v>
      </c>
      <c r="D335" s="7">
        <f t="shared" si="29"/>
        <v>454</v>
      </c>
      <c r="E335" s="7">
        <f t="shared" si="30"/>
        <v>206116</v>
      </c>
      <c r="F335" s="7">
        <f t="shared" si="30"/>
        <v>1</v>
      </c>
      <c r="G335" s="7">
        <f t="shared" si="31"/>
        <v>1.6414</v>
      </c>
      <c r="H335" s="7">
        <f t="shared" si="32"/>
        <v>0.64139999999999997</v>
      </c>
      <c r="I335" s="7">
        <f t="shared" si="33"/>
        <v>0.41139395999999995</v>
      </c>
      <c r="J335" s="77"/>
      <c r="K335" s="14"/>
      <c r="L335" s="14"/>
      <c r="M335" s="14"/>
      <c r="N335" s="14"/>
      <c r="O335" s="14"/>
      <c r="P335" s="77"/>
      <c r="Q335" s="77"/>
      <c r="R335" s="77"/>
      <c r="S335" s="77"/>
      <c r="T335" s="77"/>
      <c r="U335" s="77"/>
      <c r="V335" s="77"/>
      <c r="W335" s="77"/>
      <c r="X335" s="77"/>
      <c r="Y335" s="77"/>
    </row>
    <row r="336" spans="1:25">
      <c r="A336" s="6"/>
      <c r="B336" s="15">
        <v>429</v>
      </c>
      <c r="C336" s="15">
        <v>5</v>
      </c>
      <c r="D336" s="7">
        <f t="shared" si="29"/>
        <v>2145</v>
      </c>
      <c r="E336" s="7">
        <f t="shared" si="30"/>
        <v>184041</v>
      </c>
      <c r="F336" s="7">
        <f t="shared" si="30"/>
        <v>25</v>
      </c>
      <c r="G336" s="7">
        <f t="shared" si="31"/>
        <v>0.8014</v>
      </c>
      <c r="H336" s="7">
        <f t="shared" si="32"/>
        <v>-4.1985999999999999</v>
      </c>
      <c r="I336" s="7">
        <f t="shared" si="33"/>
        <v>17.62824196</v>
      </c>
      <c r="J336" s="77"/>
      <c r="K336" s="14" t="str">
        <f>IF(L334&lt;=L331, "R: Como  " &amp;ROUND(L334,4) &amp;" &lt; "&amp;ROUND(L331,4)&amp;" o modelo é significativo","R: Como  " &amp;ROUND(L334,4) &amp;" &gt; "&amp;ROUND(L331,4)&amp;" o modelo não é significativo" )</f>
        <v>R: Como  3,9215 &lt; 2156,2126 o modelo é significativo</v>
      </c>
      <c r="L336" s="14"/>
      <c r="M336" s="14"/>
      <c r="N336" s="14"/>
      <c r="O336" s="14"/>
      <c r="P336" s="77"/>
      <c r="Q336" s="77"/>
      <c r="R336" s="77"/>
      <c r="S336" s="77"/>
      <c r="T336" s="77"/>
      <c r="U336" s="77"/>
      <c r="V336" s="77"/>
      <c r="W336" s="77"/>
      <c r="X336" s="77"/>
      <c r="Y336" s="77"/>
    </row>
    <row r="337" spans="1:25">
      <c r="A337" s="6"/>
      <c r="B337" s="15">
        <v>397</v>
      </c>
      <c r="C337" s="15">
        <v>1</v>
      </c>
      <c r="D337" s="7">
        <f t="shared" si="29"/>
        <v>397</v>
      </c>
      <c r="E337" s="7">
        <f t="shared" si="30"/>
        <v>157609</v>
      </c>
      <c r="F337" s="7">
        <f t="shared" si="30"/>
        <v>1</v>
      </c>
      <c r="G337" s="7">
        <f t="shared" si="31"/>
        <v>-0.27379999999999999</v>
      </c>
      <c r="H337" s="7">
        <f t="shared" si="32"/>
        <v>-1.2738</v>
      </c>
      <c r="I337" s="7">
        <f t="shared" si="33"/>
        <v>1.6225664400000002</v>
      </c>
      <c r="J337" s="77"/>
      <c r="K337" s="14"/>
      <c r="L337" s="14"/>
      <c r="M337" s="14"/>
      <c r="N337" s="14"/>
      <c r="O337" s="14"/>
      <c r="P337" s="77"/>
      <c r="Q337" s="77"/>
      <c r="R337" s="77"/>
      <c r="S337" s="77"/>
      <c r="T337" s="77"/>
      <c r="U337" s="77"/>
      <c r="V337" s="77"/>
      <c r="W337" s="77"/>
      <c r="X337" s="77"/>
      <c r="Y337" s="77"/>
    </row>
    <row r="338" spans="1:25">
      <c r="A338" s="6"/>
      <c r="B338" s="15">
        <v>395</v>
      </c>
      <c r="C338" s="15">
        <v>4</v>
      </c>
      <c r="D338" s="7">
        <f t="shared" si="29"/>
        <v>1580</v>
      </c>
      <c r="E338" s="7">
        <f t="shared" si="30"/>
        <v>156025</v>
      </c>
      <c r="F338" s="7">
        <f t="shared" si="30"/>
        <v>16</v>
      </c>
      <c r="G338" s="7">
        <f t="shared" si="31"/>
        <v>-0.34100000000000003</v>
      </c>
      <c r="H338" s="7">
        <f t="shared" si="32"/>
        <v>-4.3410000000000002</v>
      </c>
      <c r="I338" s="7">
        <f t="shared" si="33"/>
        <v>18.844281000000002</v>
      </c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5">
      <c r="A339" s="6"/>
      <c r="B339" s="15">
        <v>384</v>
      </c>
      <c r="C339" s="15">
        <v>1</v>
      </c>
      <c r="D339" s="7">
        <f t="shared" si="29"/>
        <v>384</v>
      </c>
      <c r="E339" s="7">
        <f t="shared" si="30"/>
        <v>147456</v>
      </c>
      <c r="F339" s="7">
        <f t="shared" si="30"/>
        <v>1</v>
      </c>
      <c r="G339" s="7">
        <f t="shared" si="31"/>
        <v>-0.71060000000000001</v>
      </c>
      <c r="H339" s="7">
        <f t="shared" si="32"/>
        <v>-1.7105999999999999</v>
      </c>
      <c r="I339" s="7">
        <f t="shared" si="33"/>
        <v>2.9261523599999997</v>
      </c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5">
      <c r="A340" s="6"/>
      <c r="B340" s="15">
        <v>342</v>
      </c>
      <c r="C340" s="15">
        <v>2</v>
      </c>
      <c r="D340" s="7">
        <f t="shared" si="29"/>
        <v>684</v>
      </c>
      <c r="E340" s="7">
        <f t="shared" si="30"/>
        <v>116964</v>
      </c>
      <c r="F340" s="7">
        <f t="shared" si="30"/>
        <v>4</v>
      </c>
      <c r="G340" s="7">
        <f t="shared" si="31"/>
        <v>-2.1217999999999999</v>
      </c>
      <c r="H340" s="7">
        <f t="shared" si="32"/>
        <v>-4.1218000000000004</v>
      </c>
      <c r="I340" s="7">
        <f t="shared" si="33"/>
        <v>16.989235240000003</v>
      </c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5">
      <c r="A341" s="6"/>
      <c r="B341" s="15">
        <v>348</v>
      </c>
      <c r="C341" s="15">
        <v>6</v>
      </c>
      <c r="D341" s="7">
        <f t="shared" si="29"/>
        <v>2088</v>
      </c>
      <c r="E341" s="7">
        <f t="shared" si="30"/>
        <v>121104</v>
      </c>
      <c r="F341" s="7">
        <f t="shared" si="30"/>
        <v>36</v>
      </c>
      <c r="G341" s="7">
        <f t="shared" si="31"/>
        <v>-1.9201999999999999</v>
      </c>
      <c r="H341" s="7">
        <f t="shared" si="32"/>
        <v>-7.9202000000000004</v>
      </c>
      <c r="I341" s="7">
        <f t="shared" si="33"/>
        <v>62.729568040000004</v>
      </c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5">
      <c r="A342" s="6"/>
      <c r="B342" s="15">
        <v>365</v>
      </c>
      <c r="C342" s="15">
        <v>0</v>
      </c>
      <c r="D342" s="7">
        <f t="shared" si="29"/>
        <v>0</v>
      </c>
      <c r="E342" s="7">
        <f t="shared" si="30"/>
        <v>133225</v>
      </c>
      <c r="F342" s="7">
        <f t="shared" si="30"/>
        <v>0</v>
      </c>
      <c r="G342" s="7">
        <f t="shared" si="31"/>
        <v>-1.349</v>
      </c>
      <c r="H342" s="7">
        <f t="shared" si="32"/>
        <v>-1.349</v>
      </c>
      <c r="I342" s="7">
        <f t="shared" si="33"/>
        <v>1.819801</v>
      </c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5">
      <c r="A343" s="6"/>
      <c r="B343" s="15">
        <v>346</v>
      </c>
      <c r="C343" s="15">
        <v>5</v>
      </c>
      <c r="D343" s="7">
        <f t="shared" si="29"/>
        <v>1730</v>
      </c>
      <c r="E343" s="7">
        <f t="shared" si="30"/>
        <v>119716</v>
      </c>
      <c r="F343" s="7">
        <f t="shared" si="30"/>
        <v>25</v>
      </c>
      <c r="G343" s="7">
        <f t="shared" si="31"/>
        <v>-1.9874000000000001</v>
      </c>
      <c r="H343" s="7">
        <f t="shared" si="32"/>
        <v>-6.9874000000000001</v>
      </c>
      <c r="I343" s="7">
        <f t="shared" si="33"/>
        <v>48.823758760000004</v>
      </c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5">
      <c r="A344" s="6"/>
      <c r="B344" s="15">
        <v>332</v>
      </c>
      <c r="C344" s="15">
        <v>3</v>
      </c>
      <c r="D344" s="7">
        <f t="shared" si="29"/>
        <v>996</v>
      </c>
      <c r="E344" s="7">
        <f t="shared" si="30"/>
        <v>110224</v>
      </c>
      <c r="F344" s="7">
        <f t="shared" si="30"/>
        <v>9</v>
      </c>
      <c r="G344" s="7">
        <f t="shared" si="31"/>
        <v>-2.4578000000000002</v>
      </c>
      <c r="H344" s="7">
        <f t="shared" si="32"/>
        <v>-5.4577999999999998</v>
      </c>
      <c r="I344" s="7">
        <f t="shared" si="33"/>
        <v>29.787580839999997</v>
      </c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5">
      <c r="A345" s="6"/>
      <c r="B345" s="15">
        <v>324</v>
      </c>
      <c r="C345" s="15">
        <v>1</v>
      </c>
      <c r="D345" s="7">
        <f t="shared" si="29"/>
        <v>324</v>
      </c>
      <c r="E345" s="7">
        <f t="shared" si="30"/>
        <v>104976</v>
      </c>
      <c r="F345" s="7">
        <f t="shared" si="30"/>
        <v>1</v>
      </c>
      <c r="G345" s="7">
        <f t="shared" si="31"/>
        <v>-2.7265999999999999</v>
      </c>
      <c r="H345" s="7">
        <f t="shared" si="32"/>
        <v>-3.7265999999999999</v>
      </c>
      <c r="I345" s="7">
        <f t="shared" si="33"/>
        <v>13.88754756</v>
      </c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5">
      <c r="A346" s="6"/>
      <c r="B346" s="15">
        <v>324</v>
      </c>
      <c r="C346" s="15">
        <v>0</v>
      </c>
      <c r="D346" s="7">
        <f t="shared" si="29"/>
        <v>0</v>
      </c>
      <c r="E346" s="7">
        <f t="shared" si="30"/>
        <v>104976</v>
      </c>
      <c r="F346" s="7">
        <f t="shared" si="30"/>
        <v>0</v>
      </c>
      <c r="G346" s="7">
        <f t="shared" si="31"/>
        <v>-2.7265999999999999</v>
      </c>
      <c r="H346" s="7">
        <f t="shared" si="32"/>
        <v>-2.7265999999999999</v>
      </c>
      <c r="I346" s="7">
        <f t="shared" si="33"/>
        <v>7.43434756</v>
      </c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5">
      <c r="A347" s="6"/>
      <c r="B347" s="15">
        <v>302</v>
      </c>
      <c r="C347" s="15">
        <v>2</v>
      </c>
      <c r="D347" s="7">
        <f t="shared" si="29"/>
        <v>604</v>
      </c>
      <c r="E347" s="7">
        <f t="shared" si="30"/>
        <v>91204</v>
      </c>
      <c r="F347" s="7">
        <f t="shared" si="30"/>
        <v>4</v>
      </c>
      <c r="G347" s="7">
        <f t="shared" si="31"/>
        <v>-3.4658000000000002</v>
      </c>
      <c r="H347" s="7">
        <f t="shared" si="32"/>
        <v>-5.4657999999999998</v>
      </c>
      <c r="I347" s="7">
        <f t="shared" si="33"/>
        <v>29.874969639999996</v>
      </c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5">
      <c r="A348" s="6"/>
      <c r="B348" s="15">
        <v>311</v>
      </c>
      <c r="C348" s="15">
        <v>1</v>
      </c>
      <c r="D348" s="7">
        <f t="shared" si="29"/>
        <v>311</v>
      </c>
      <c r="E348" s="7">
        <f t="shared" si="30"/>
        <v>96721</v>
      </c>
      <c r="F348" s="7">
        <f t="shared" si="30"/>
        <v>1</v>
      </c>
      <c r="G348" s="7">
        <f t="shared" si="31"/>
        <v>-3.1634000000000002</v>
      </c>
      <c r="H348" s="7">
        <f t="shared" si="32"/>
        <v>-4.1634000000000002</v>
      </c>
      <c r="I348" s="7">
        <f t="shared" si="33"/>
        <v>17.333899560000003</v>
      </c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5">
      <c r="A349" s="6"/>
      <c r="B349" s="15">
        <v>322</v>
      </c>
      <c r="C349" s="15">
        <v>0</v>
      </c>
      <c r="D349" s="7">
        <f t="shared" si="29"/>
        <v>0</v>
      </c>
      <c r="E349" s="7">
        <f t="shared" si="30"/>
        <v>103684</v>
      </c>
      <c r="F349" s="7">
        <f t="shared" si="30"/>
        <v>0</v>
      </c>
      <c r="G349" s="7">
        <f t="shared" si="31"/>
        <v>-2.7938000000000001</v>
      </c>
      <c r="H349" s="7">
        <f t="shared" si="32"/>
        <v>-2.7938000000000001</v>
      </c>
      <c r="I349" s="7">
        <f t="shared" si="33"/>
        <v>7.8053184400000006</v>
      </c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5">
      <c r="A350" s="6"/>
      <c r="B350" s="15">
        <v>296</v>
      </c>
      <c r="C350" s="15">
        <v>4</v>
      </c>
      <c r="D350" s="7">
        <f t="shared" si="29"/>
        <v>1184</v>
      </c>
      <c r="E350" s="7">
        <f t="shared" si="30"/>
        <v>87616</v>
      </c>
      <c r="F350" s="7">
        <f t="shared" si="30"/>
        <v>16</v>
      </c>
      <c r="G350" s="7">
        <f t="shared" si="31"/>
        <v>-3.6674000000000002</v>
      </c>
      <c r="H350" s="7">
        <f t="shared" si="32"/>
        <v>-7.6673999999999998</v>
      </c>
      <c r="I350" s="7">
        <f t="shared" si="33"/>
        <v>58.789022759999995</v>
      </c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5">
      <c r="A351" s="6"/>
      <c r="B351" s="15">
        <v>297</v>
      </c>
      <c r="C351" s="15">
        <v>2</v>
      </c>
      <c r="D351" s="7">
        <f t="shared" si="29"/>
        <v>594</v>
      </c>
      <c r="E351" s="7">
        <f t="shared" si="30"/>
        <v>88209</v>
      </c>
      <c r="F351" s="7">
        <f t="shared" si="30"/>
        <v>4</v>
      </c>
      <c r="G351" s="7">
        <f t="shared" si="31"/>
        <v>-3.6337999999999999</v>
      </c>
      <c r="H351" s="7">
        <f t="shared" si="32"/>
        <v>-5.6337999999999999</v>
      </c>
      <c r="I351" s="7">
        <f t="shared" si="33"/>
        <v>31.739702439999999</v>
      </c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5">
      <c r="A352" s="6"/>
      <c r="B352" s="15">
        <v>283</v>
      </c>
      <c r="C352" s="15">
        <v>5</v>
      </c>
      <c r="D352" s="7">
        <f t="shared" si="29"/>
        <v>1415</v>
      </c>
      <c r="E352" s="7">
        <f t="shared" si="30"/>
        <v>80089</v>
      </c>
      <c r="F352" s="7">
        <f t="shared" si="30"/>
        <v>25</v>
      </c>
      <c r="G352" s="7">
        <f t="shared" si="31"/>
        <v>-4.1041999999999996</v>
      </c>
      <c r="H352" s="7">
        <f t="shared" si="32"/>
        <v>-9.1042000000000005</v>
      </c>
      <c r="I352" s="7">
        <f t="shared" si="33"/>
        <v>82.886457640000003</v>
      </c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>
      <c r="A353" s="6"/>
      <c r="B353" s="15">
        <v>280</v>
      </c>
      <c r="C353" s="15">
        <v>1</v>
      </c>
      <c r="D353" s="7">
        <f t="shared" si="29"/>
        <v>280</v>
      </c>
      <c r="E353" s="7">
        <f t="shared" si="30"/>
        <v>78400</v>
      </c>
      <c r="F353" s="7">
        <f t="shared" si="30"/>
        <v>1</v>
      </c>
      <c r="G353" s="7">
        <f t="shared" si="31"/>
        <v>-4.2050000000000001</v>
      </c>
      <c r="H353" s="7">
        <f t="shared" si="32"/>
        <v>-5.2050000000000001</v>
      </c>
      <c r="I353" s="7">
        <f t="shared" si="33"/>
        <v>27.092025</v>
      </c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>
      <c r="A354" s="6"/>
      <c r="B354" s="15">
        <v>260</v>
      </c>
      <c r="C354" s="15">
        <v>2</v>
      </c>
      <c r="D354" s="7">
        <f t="shared" si="29"/>
        <v>520</v>
      </c>
      <c r="E354" s="7">
        <f t="shared" si="30"/>
        <v>67600</v>
      </c>
      <c r="F354" s="7">
        <f t="shared" si="30"/>
        <v>4</v>
      </c>
      <c r="G354" s="7">
        <f t="shared" si="31"/>
        <v>-4.8769999999999998</v>
      </c>
      <c r="H354" s="7">
        <f t="shared" si="32"/>
        <v>-6.8769999999999998</v>
      </c>
      <c r="I354" s="7">
        <f t="shared" si="33"/>
        <v>47.293129</v>
      </c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>
      <c r="A355" s="6"/>
      <c r="B355" s="15">
        <v>268</v>
      </c>
      <c r="C355" s="15">
        <v>1</v>
      </c>
      <c r="D355" s="7">
        <f t="shared" si="29"/>
        <v>268</v>
      </c>
      <c r="E355" s="7">
        <f t="shared" si="30"/>
        <v>71824</v>
      </c>
      <c r="F355" s="7">
        <f t="shared" si="30"/>
        <v>1</v>
      </c>
      <c r="G355" s="7">
        <f t="shared" si="31"/>
        <v>-4.6082000000000001</v>
      </c>
      <c r="H355" s="7">
        <f t="shared" si="32"/>
        <v>-5.6082000000000001</v>
      </c>
      <c r="I355" s="7">
        <f t="shared" si="33"/>
        <v>31.451907240000001</v>
      </c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>
      <c r="A356" s="6"/>
      <c r="B356" s="15">
        <v>277</v>
      </c>
      <c r="C356" s="15">
        <v>1</v>
      </c>
      <c r="D356" s="7">
        <f t="shared" si="29"/>
        <v>277</v>
      </c>
      <c r="E356" s="7">
        <f t="shared" si="30"/>
        <v>76729</v>
      </c>
      <c r="F356" s="7">
        <f t="shared" si="30"/>
        <v>1</v>
      </c>
      <c r="G356" s="7">
        <f t="shared" si="31"/>
        <v>-4.3057999999999996</v>
      </c>
      <c r="H356" s="7">
        <f t="shared" si="32"/>
        <v>-5.3057999999999996</v>
      </c>
      <c r="I356" s="7">
        <f t="shared" si="33"/>
        <v>28.151513639999997</v>
      </c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>
      <c r="A357" s="6"/>
      <c r="B357" s="15">
        <v>257</v>
      </c>
      <c r="C357" s="15">
        <v>1</v>
      </c>
      <c r="D357" s="7">
        <f t="shared" si="29"/>
        <v>257</v>
      </c>
      <c r="E357" s="7">
        <f t="shared" si="30"/>
        <v>66049</v>
      </c>
      <c r="F357" s="7">
        <f t="shared" si="30"/>
        <v>1</v>
      </c>
      <c r="G357" s="7">
        <f t="shared" si="31"/>
        <v>-4.9778000000000002</v>
      </c>
      <c r="H357" s="7">
        <f t="shared" si="32"/>
        <v>-5.9778000000000002</v>
      </c>
      <c r="I357" s="7">
        <f t="shared" si="33"/>
        <v>35.734092840000002</v>
      </c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>
      <c r="A358" s="6"/>
      <c r="B358" s="15">
        <v>248</v>
      </c>
      <c r="C358" s="15">
        <v>4</v>
      </c>
      <c r="D358" s="7">
        <f t="shared" si="29"/>
        <v>992</v>
      </c>
      <c r="E358" s="7">
        <f t="shared" si="30"/>
        <v>61504</v>
      </c>
      <c r="F358" s="7">
        <f t="shared" si="30"/>
        <v>16</v>
      </c>
      <c r="G358" s="7">
        <f t="shared" si="31"/>
        <v>-5.2801999999999998</v>
      </c>
      <c r="H358" s="7">
        <f t="shared" si="32"/>
        <v>-9.2802000000000007</v>
      </c>
      <c r="I358" s="7">
        <f t="shared" si="33"/>
        <v>86.122112040000019</v>
      </c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>
      <c r="A359" s="6"/>
      <c r="B359" s="15">
        <v>244</v>
      </c>
      <c r="C359" s="15">
        <v>1</v>
      </c>
      <c r="D359" s="7">
        <f t="shared" si="29"/>
        <v>244</v>
      </c>
      <c r="E359" s="7">
        <f t="shared" si="30"/>
        <v>59536</v>
      </c>
      <c r="F359" s="7">
        <f t="shared" si="30"/>
        <v>1</v>
      </c>
      <c r="G359" s="7">
        <f t="shared" si="31"/>
        <v>-5.4146000000000001</v>
      </c>
      <c r="H359" s="7">
        <f t="shared" si="32"/>
        <v>-6.4146000000000001</v>
      </c>
      <c r="I359" s="7">
        <f t="shared" si="33"/>
        <v>41.147093160000004</v>
      </c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>
      <c r="A360" s="6"/>
      <c r="B360" s="15">
        <v>236</v>
      </c>
      <c r="C360" s="15">
        <v>0</v>
      </c>
      <c r="D360" s="7">
        <f t="shared" si="29"/>
        <v>0</v>
      </c>
      <c r="E360" s="7">
        <f t="shared" si="30"/>
        <v>55696</v>
      </c>
      <c r="F360" s="7">
        <f t="shared" si="30"/>
        <v>0</v>
      </c>
      <c r="G360" s="7">
        <f t="shared" si="31"/>
        <v>-5.6833999999999998</v>
      </c>
      <c r="H360" s="7">
        <f t="shared" si="32"/>
        <v>-5.6833999999999998</v>
      </c>
      <c r="I360" s="7">
        <f t="shared" si="33"/>
        <v>32.301035559999995</v>
      </c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>
      <c r="A361" s="6"/>
      <c r="B361" s="15">
        <v>223</v>
      </c>
      <c r="C361" s="15">
        <v>7</v>
      </c>
      <c r="D361" s="7">
        <f t="shared" si="29"/>
        <v>1561</v>
      </c>
      <c r="E361" s="7">
        <f t="shared" si="30"/>
        <v>49729</v>
      </c>
      <c r="F361" s="7">
        <f t="shared" si="30"/>
        <v>49</v>
      </c>
      <c r="G361" s="7">
        <f t="shared" si="31"/>
        <v>-6.1201999999999996</v>
      </c>
      <c r="H361" s="7">
        <f t="shared" si="32"/>
        <v>-13.120200000000001</v>
      </c>
      <c r="I361" s="7">
        <f t="shared" si="33"/>
        <v>172.13964804000003</v>
      </c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>
      <c r="A362" s="6"/>
      <c r="B362" s="15">
        <v>245</v>
      </c>
      <c r="C362" s="15">
        <v>1</v>
      </c>
      <c r="D362" s="7">
        <f t="shared" si="29"/>
        <v>245</v>
      </c>
      <c r="E362" s="7">
        <f t="shared" si="30"/>
        <v>60025</v>
      </c>
      <c r="F362" s="7">
        <f t="shared" si="30"/>
        <v>1</v>
      </c>
      <c r="G362" s="7">
        <f t="shared" si="31"/>
        <v>-5.3810000000000002</v>
      </c>
      <c r="H362" s="7">
        <f t="shared" si="32"/>
        <v>-6.3810000000000002</v>
      </c>
      <c r="I362" s="7">
        <f t="shared" si="33"/>
        <v>40.717161000000004</v>
      </c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>
      <c r="A363" s="6"/>
      <c r="B363" s="15">
        <v>246</v>
      </c>
      <c r="C363" s="15">
        <v>2</v>
      </c>
      <c r="D363" s="7">
        <f t="shared" si="29"/>
        <v>492</v>
      </c>
      <c r="E363" s="7">
        <f t="shared" si="30"/>
        <v>60516</v>
      </c>
      <c r="F363" s="7">
        <f t="shared" si="30"/>
        <v>4</v>
      </c>
      <c r="G363" s="7">
        <f t="shared" si="31"/>
        <v>-5.3474000000000004</v>
      </c>
      <c r="H363" s="7">
        <f t="shared" si="32"/>
        <v>-7.3474000000000004</v>
      </c>
      <c r="I363" s="7">
        <f t="shared" si="33"/>
        <v>53.984286760000003</v>
      </c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>
      <c r="A364" s="6"/>
      <c r="B364" s="15">
        <v>233</v>
      </c>
      <c r="C364" s="15">
        <v>2</v>
      </c>
      <c r="D364" s="7">
        <f t="shared" si="29"/>
        <v>466</v>
      </c>
      <c r="E364" s="7">
        <f t="shared" si="30"/>
        <v>54289</v>
      </c>
      <c r="F364" s="7">
        <f t="shared" si="30"/>
        <v>4</v>
      </c>
      <c r="G364" s="7">
        <f t="shared" si="31"/>
        <v>-5.7842000000000002</v>
      </c>
      <c r="H364" s="7">
        <f t="shared" si="32"/>
        <v>-7.7842000000000002</v>
      </c>
      <c r="I364" s="7">
        <f t="shared" si="33"/>
        <v>60.593769640000005</v>
      </c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>
      <c r="A365" s="6"/>
      <c r="B365" s="15">
        <v>211</v>
      </c>
      <c r="C365" s="15">
        <v>2</v>
      </c>
      <c r="D365" s="7">
        <f t="shared" si="29"/>
        <v>422</v>
      </c>
      <c r="E365" s="7">
        <f t="shared" si="30"/>
        <v>44521</v>
      </c>
      <c r="F365" s="7">
        <f t="shared" si="30"/>
        <v>4</v>
      </c>
      <c r="G365" s="7">
        <f t="shared" si="31"/>
        <v>-6.5233999999999996</v>
      </c>
      <c r="H365" s="7">
        <f t="shared" si="32"/>
        <v>-8.5234000000000005</v>
      </c>
      <c r="I365" s="7">
        <f t="shared" si="33"/>
        <v>72.648347560000005</v>
      </c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>
      <c r="A366" s="6"/>
      <c r="B366" s="15">
        <v>208</v>
      </c>
      <c r="C366" s="15">
        <v>1</v>
      </c>
      <c r="D366" s="7">
        <f t="shared" si="29"/>
        <v>208</v>
      </c>
      <c r="E366" s="7">
        <f t="shared" si="30"/>
        <v>43264</v>
      </c>
      <c r="F366" s="7">
        <f t="shared" si="30"/>
        <v>1</v>
      </c>
      <c r="G366" s="7">
        <f t="shared" si="31"/>
        <v>-6.6242000000000001</v>
      </c>
      <c r="H366" s="7">
        <f t="shared" si="32"/>
        <v>-7.6242000000000001</v>
      </c>
      <c r="I366" s="7">
        <f t="shared" si="33"/>
        <v>58.128425640000003</v>
      </c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>
      <c r="A367" s="6"/>
      <c r="B367" s="15">
        <v>207</v>
      </c>
      <c r="C367" s="15">
        <v>3</v>
      </c>
      <c r="D367" s="7">
        <f t="shared" si="29"/>
        <v>621</v>
      </c>
      <c r="E367" s="7">
        <f t="shared" si="30"/>
        <v>42849</v>
      </c>
      <c r="F367" s="7">
        <f t="shared" si="30"/>
        <v>9</v>
      </c>
      <c r="G367" s="7">
        <f t="shared" si="31"/>
        <v>-6.6577999999999999</v>
      </c>
      <c r="H367" s="7">
        <f t="shared" si="32"/>
        <v>-9.6577999999999999</v>
      </c>
      <c r="I367" s="7">
        <f t="shared" si="33"/>
        <v>93.273100839999998</v>
      </c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>
      <c r="A368" s="6"/>
      <c r="B368" s="15">
        <v>210</v>
      </c>
      <c r="C368" s="15">
        <v>0</v>
      </c>
      <c r="D368" s="7">
        <f t="shared" si="29"/>
        <v>0</v>
      </c>
      <c r="E368" s="7">
        <f t="shared" si="30"/>
        <v>44100</v>
      </c>
      <c r="F368" s="7">
        <f t="shared" si="30"/>
        <v>0</v>
      </c>
      <c r="G368" s="7">
        <f t="shared" si="31"/>
        <v>-6.5570000000000004</v>
      </c>
      <c r="H368" s="7">
        <f t="shared" si="32"/>
        <v>-6.5570000000000004</v>
      </c>
      <c r="I368" s="7">
        <f t="shared" si="33"/>
        <v>42.994249000000003</v>
      </c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>
      <c r="A369" s="6"/>
      <c r="B369" s="15">
        <v>220</v>
      </c>
      <c r="C369" s="15">
        <v>0</v>
      </c>
      <c r="D369" s="7">
        <f t="shared" si="29"/>
        <v>0</v>
      </c>
      <c r="E369" s="7">
        <f t="shared" si="30"/>
        <v>48400</v>
      </c>
      <c r="F369" s="7">
        <f t="shared" si="30"/>
        <v>0</v>
      </c>
      <c r="G369" s="7">
        <f t="shared" si="31"/>
        <v>-6.2210000000000001</v>
      </c>
      <c r="H369" s="7">
        <f t="shared" si="32"/>
        <v>-6.2210000000000001</v>
      </c>
      <c r="I369" s="7">
        <f t="shared" si="33"/>
        <v>38.700841000000004</v>
      </c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>
      <c r="A370" s="6"/>
      <c r="B370" s="15">
        <v>239</v>
      </c>
      <c r="C370" s="15">
        <v>1</v>
      </c>
      <c r="D370" s="7">
        <f t="shared" si="29"/>
        <v>239</v>
      </c>
      <c r="E370" s="7">
        <f t="shared" si="30"/>
        <v>57121</v>
      </c>
      <c r="F370" s="7">
        <f t="shared" si="30"/>
        <v>1</v>
      </c>
      <c r="G370" s="7">
        <f t="shared" si="31"/>
        <v>-5.5826000000000002</v>
      </c>
      <c r="H370" s="7">
        <f t="shared" si="32"/>
        <v>-6.5826000000000002</v>
      </c>
      <c r="I370" s="7">
        <f t="shared" si="33"/>
        <v>43.330622760000004</v>
      </c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>
      <c r="A371" s="6"/>
      <c r="B371" s="15">
        <v>237</v>
      </c>
      <c r="C371" s="15">
        <v>3</v>
      </c>
      <c r="D371" s="7">
        <f t="shared" si="29"/>
        <v>711</v>
      </c>
      <c r="E371" s="7">
        <f t="shared" si="30"/>
        <v>56169</v>
      </c>
      <c r="F371" s="7">
        <f t="shared" si="30"/>
        <v>9</v>
      </c>
      <c r="G371" s="7">
        <f t="shared" si="31"/>
        <v>-5.6497999999999999</v>
      </c>
      <c r="H371" s="7">
        <f t="shared" si="32"/>
        <v>-8.6498000000000008</v>
      </c>
      <c r="I371" s="7">
        <f t="shared" si="33"/>
        <v>74.819040040000019</v>
      </c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>
      <c r="A372" s="6"/>
      <c r="B372" s="15">
        <v>233</v>
      </c>
      <c r="C372" s="15">
        <v>1</v>
      </c>
      <c r="D372" s="7">
        <f t="shared" si="29"/>
        <v>233</v>
      </c>
      <c r="E372" s="7">
        <f t="shared" si="30"/>
        <v>54289</v>
      </c>
      <c r="F372" s="7">
        <f t="shared" si="30"/>
        <v>1</v>
      </c>
      <c r="G372" s="7">
        <f t="shared" si="31"/>
        <v>-5.7842000000000002</v>
      </c>
      <c r="H372" s="7">
        <f t="shared" si="32"/>
        <v>-6.7842000000000002</v>
      </c>
      <c r="I372" s="7">
        <f t="shared" si="33"/>
        <v>46.025369640000001</v>
      </c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>
      <c r="A373" s="6"/>
      <c r="B373" s="15">
        <v>233</v>
      </c>
      <c r="C373" s="15">
        <v>0</v>
      </c>
      <c r="D373" s="7">
        <f t="shared" si="29"/>
        <v>0</v>
      </c>
      <c r="E373" s="7">
        <f t="shared" si="30"/>
        <v>54289</v>
      </c>
      <c r="F373" s="7">
        <f t="shared" si="30"/>
        <v>0</v>
      </c>
      <c r="G373" s="7">
        <f t="shared" si="31"/>
        <v>-5.7842000000000002</v>
      </c>
      <c r="H373" s="7">
        <f t="shared" si="32"/>
        <v>-5.7842000000000002</v>
      </c>
      <c r="I373" s="7">
        <f t="shared" si="33"/>
        <v>33.456969640000004</v>
      </c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>
      <c r="A374" s="6"/>
      <c r="B374" s="15">
        <v>246</v>
      </c>
      <c r="C374" s="15">
        <v>1</v>
      </c>
      <c r="D374" s="7">
        <f t="shared" si="29"/>
        <v>246</v>
      </c>
      <c r="E374" s="7">
        <f t="shared" si="30"/>
        <v>60516</v>
      </c>
      <c r="F374" s="7">
        <f t="shared" si="30"/>
        <v>1</v>
      </c>
      <c r="G374" s="7">
        <f t="shared" si="31"/>
        <v>-5.3474000000000004</v>
      </c>
      <c r="H374" s="7">
        <f t="shared" si="32"/>
        <v>-6.3474000000000004</v>
      </c>
      <c r="I374" s="7">
        <f t="shared" si="33"/>
        <v>40.289486760000003</v>
      </c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>
      <c r="A375" s="6"/>
      <c r="B375" s="15">
        <v>244</v>
      </c>
      <c r="C375" s="15">
        <v>0</v>
      </c>
      <c r="D375" s="7">
        <f t="shared" si="29"/>
        <v>0</v>
      </c>
      <c r="E375" s="7">
        <f t="shared" si="30"/>
        <v>59536</v>
      </c>
      <c r="F375" s="7">
        <f t="shared" si="30"/>
        <v>0</v>
      </c>
      <c r="G375" s="7">
        <f t="shared" si="31"/>
        <v>-5.4146000000000001</v>
      </c>
      <c r="H375" s="7">
        <f t="shared" si="32"/>
        <v>-5.4146000000000001</v>
      </c>
      <c r="I375" s="7">
        <f t="shared" si="33"/>
        <v>29.317893160000001</v>
      </c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>
      <c r="A376" s="6"/>
      <c r="B376" s="15">
        <v>271</v>
      </c>
      <c r="C376" s="15">
        <v>0</v>
      </c>
      <c r="D376" s="7">
        <f t="shared" si="29"/>
        <v>0</v>
      </c>
      <c r="E376" s="7">
        <f t="shared" si="30"/>
        <v>73441</v>
      </c>
      <c r="F376" s="7">
        <f t="shared" si="30"/>
        <v>0</v>
      </c>
      <c r="G376" s="7">
        <f t="shared" si="31"/>
        <v>-4.5073999999999996</v>
      </c>
      <c r="H376" s="7">
        <f t="shared" si="32"/>
        <v>-4.5073999999999996</v>
      </c>
      <c r="I376" s="7">
        <f t="shared" si="33"/>
        <v>20.316654759999995</v>
      </c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>
      <c r="A377" s="6"/>
      <c r="B377" s="15">
        <v>283</v>
      </c>
      <c r="C377" s="15">
        <v>2</v>
      </c>
      <c r="D377" s="4">
        <f t="shared" si="29"/>
        <v>566</v>
      </c>
      <c r="E377" s="7">
        <f t="shared" si="30"/>
        <v>80089</v>
      </c>
      <c r="F377" s="7">
        <f t="shared" si="30"/>
        <v>4</v>
      </c>
      <c r="G377" s="7">
        <f t="shared" si="31"/>
        <v>-4.1041999999999996</v>
      </c>
      <c r="H377" s="7">
        <f t="shared" si="32"/>
        <v>-6.1041999999999996</v>
      </c>
      <c r="I377" s="7">
        <f t="shared" si="33"/>
        <v>37.261257639999997</v>
      </c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>
      <c r="A378" s="4" t="s">
        <v>18</v>
      </c>
      <c r="B378" s="4">
        <f t="shared" ref="B378" si="34">SUM(B258:B377)</f>
        <v>183826</v>
      </c>
      <c r="C378" s="4">
        <f t="shared" ref="C378:I378" si="35">SUM(C258:C377)</f>
        <v>4543</v>
      </c>
      <c r="D378" s="4">
        <f t="shared" si="35"/>
        <v>21757452</v>
      </c>
      <c r="E378" s="4">
        <f t="shared" si="35"/>
        <v>721892924</v>
      </c>
      <c r="F378" s="4">
        <f t="shared" si="35"/>
        <v>696425</v>
      </c>
      <c r="G378" s="4">
        <f t="shared" si="35"/>
        <v>4542.9936000000007</v>
      </c>
      <c r="H378" s="4">
        <f t="shared" ref="H378" si="36">SUM(H258:H377)</f>
        <v>-6.3999999999460044E-3</v>
      </c>
      <c r="I378" s="4">
        <f t="shared" si="35"/>
        <v>27074.983045440018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</row>
    <row r="380" spans="1:20">
      <c r="A380" s="6"/>
      <c r="B380" s="15"/>
      <c r="C380" s="6"/>
      <c r="D380" s="6"/>
      <c r="E380" s="6"/>
      <c r="F380" s="6"/>
      <c r="G380" s="15"/>
      <c r="H380" s="15"/>
      <c r="I380" s="1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</row>
    <row r="382" spans="1:20">
      <c r="A382" s="6"/>
      <c r="B382" s="3"/>
      <c r="C382" s="3"/>
      <c r="D382" s="3"/>
      <c r="E382" s="3"/>
      <c r="F382" s="3"/>
      <c r="G382" s="3"/>
      <c r="H382" s="15"/>
      <c r="I382" s="1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>
      <c r="A383" s="6"/>
      <c r="B383" s="2" t="s">
        <v>9</v>
      </c>
      <c r="C383" s="2" t="s">
        <v>10</v>
      </c>
      <c r="D383" s="2" t="s">
        <v>11</v>
      </c>
      <c r="E383" s="2" t="s">
        <v>12</v>
      </c>
      <c r="F383" s="2" t="s">
        <v>13</v>
      </c>
      <c r="G383" s="2"/>
      <c r="H383" s="4"/>
      <c r="I383" s="4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>
      <c r="A384" s="6"/>
      <c r="B384" s="4" t="s">
        <v>6</v>
      </c>
      <c r="C384" s="15" t="s">
        <v>2</v>
      </c>
      <c r="D384" s="4"/>
      <c r="E384" s="2"/>
      <c r="F384" s="4"/>
      <c r="G384" s="4"/>
      <c r="H384" s="4"/>
      <c r="I384" s="4"/>
      <c r="J384" s="6"/>
      <c r="K384" s="80" t="s">
        <v>15</v>
      </c>
      <c r="L384" s="80"/>
      <c r="M384" s="6" t="s">
        <v>29</v>
      </c>
      <c r="N384" s="6"/>
      <c r="O384" s="6"/>
      <c r="P384" s="6"/>
      <c r="Q384" s="6"/>
      <c r="R384" s="6"/>
      <c r="S384" s="6"/>
      <c r="T384" s="6"/>
    </row>
    <row r="385" spans="1:20">
      <c r="A385" s="6"/>
      <c r="B385" s="15">
        <v>47369</v>
      </c>
      <c r="C385" s="15">
        <v>275</v>
      </c>
      <c r="D385" s="7">
        <f>B385*C385</f>
        <v>13026475</v>
      </c>
      <c r="E385" s="7">
        <f>B385^2</f>
        <v>2243822161</v>
      </c>
      <c r="F385" s="7">
        <f>C385^2</f>
        <v>75625</v>
      </c>
      <c r="G385" s="7">
        <f>ROUND($M$432+$M$429*B385,4)</f>
        <v>35.889800000000001</v>
      </c>
      <c r="H385" s="7">
        <f>ROUND(G385-C385,4)</f>
        <v>-239.11019999999999</v>
      </c>
      <c r="I385" s="7">
        <f>H385^2</f>
        <v>57173.687744039999</v>
      </c>
      <c r="J385" s="6"/>
      <c r="K385" s="80" t="s">
        <v>14</v>
      </c>
      <c r="L385" s="80"/>
      <c r="M385" s="80" t="s">
        <v>25</v>
      </c>
      <c r="N385" s="80"/>
      <c r="O385" s="6"/>
      <c r="P385" s="6"/>
      <c r="Q385" s="6"/>
      <c r="R385" s="6"/>
      <c r="S385" s="6"/>
      <c r="T385" s="6"/>
    </row>
    <row r="386" spans="1:20">
      <c r="A386" s="6"/>
      <c r="B386" s="15">
        <v>57995</v>
      </c>
      <c r="C386" s="15">
        <v>260</v>
      </c>
      <c r="D386" s="7">
        <f t="shared" ref="D386:D449" si="37">B386*C386</f>
        <v>15078700</v>
      </c>
      <c r="E386" s="7">
        <f t="shared" ref="E386:F449" si="38">B386^2</f>
        <v>3363420025</v>
      </c>
      <c r="F386" s="7">
        <f t="shared" si="38"/>
        <v>67600</v>
      </c>
      <c r="G386" s="7">
        <f t="shared" ref="G386:G449" si="39">ROUND($M$432+$M$429*B386,4)</f>
        <v>33.764600000000002</v>
      </c>
      <c r="H386" s="7">
        <f t="shared" ref="H386:H449" si="40">ROUND(G386-C386,4)</f>
        <v>-226.2354</v>
      </c>
      <c r="I386" s="7">
        <f t="shared" ref="I386:I449" si="41">H386^2</f>
        <v>51182.456213159996</v>
      </c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>
      <c r="A387" s="6"/>
      <c r="B387" s="15">
        <v>53401</v>
      </c>
      <c r="C387" s="15">
        <v>240</v>
      </c>
      <c r="D387" s="7">
        <f t="shared" si="37"/>
        <v>12816240</v>
      </c>
      <c r="E387" s="7">
        <f t="shared" si="38"/>
        <v>2851666801</v>
      </c>
      <c r="F387" s="7">
        <f t="shared" si="38"/>
        <v>57600</v>
      </c>
      <c r="G387" s="7">
        <f t="shared" si="39"/>
        <v>34.683399999999999</v>
      </c>
      <c r="H387" s="7">
        <f t="shared" si="40"/>
        <v>-205.31659999999999</v>
      </c>
      <c r="I387" s="7">
        <f t="shared" si="41"/>
        <v>42154.906235559996</v>
      </c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>
      <c r="A388" s="6"/>
      <c r="B388" s="15">
        <v>50384</v>
      </c>
      <c r="C388" s="15">
        <v>225</v>
      </c>
      <c r="D388" s="7">
        <f t="shared" si="37"/>
        <v>11336400</v>
      </c>
      <c r="E388" s="7">
        <f t="shared" si="38"/>
        <v>2538547456</v>
      </c>
      <c r="F388" s="7">
        <f t="shared" si="38"/>
        <v>50625</v>
      </c>
      <c r="G388" s="7">
        <f t="shared" si="39"/>
        <v>35.286799999999999</v>
      </c>
      <c r="H388" s="7">
        <f t="shared" si="40"/>
        <v>-189.7132</v>
      </c>
      <c r="I388" s="7">
        <f t="shared" si="41"/>
        <v>35991.098254240002</v>
      </c>
      <c r="J388" s="6"/>
      <c r="K388" s="80"/>
      <c r="L388" s="80"/>
      <c r="M388" s="6"/>
      <c r="N388" s="6"/>
      <c r="O388" s="6"/>
      <c r="P388" s="6"/>
      <c r="Q388" s="6"/>
      <c r="R388" s="6"/>
      <c r="S388" s="6"/>
      <c r="T388" s="6"/>
    </row>
    <row r="389" spans="1:20">
      <c r="A389" s="6"/>
      <c r="B389" s="15">
        <v>49625</v>
      </c>
      <c r="C389" s="15">
        <v>258</v>
      </c>
      <c r="D389" s="7">
        <f t="shared" si="37"/>
        <v>12803250</v>
      </c>
      <c r="E389" s="7">
        <f t="shared" si="38"/>
        <v>2462640625</v>
      </c>
      <c r="F389" s="7">
        <f t="shared" si="38"/>
        <v>66564</v>
      </c>
      <c r="G389" s="7">
        <f t="shared" si="39"/>
        <v>35.438600000000001</v>
      </c>
      <c r="H389" s="7">
        <f t="shared" si="40"/>
        <v>-222.56139999999999</v>
      </c>
      <c r="I389" s="7">
        <f t="shared" si="41"/>
        <v>49533.576769959996</v>
      </c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>
      <c r="A390" s="6"/>
      <c r="B390" s="15">
        <v>30356</v>
      </c>
      <c r="C390" s="15">
        <v>214</v>
      </c>
      <c r="D390" s="7">
        <f t="shared" si="37"/>
        <v>6496184</v>
      </c>
      <c r="E390" s="7">
        <f t="shared" si="38"/>
        <v>921486736</v>
      </c>
      <c r="F390" s="7">
        <f t="shared" si="38"/>
        <v>45796</v>
      </c>
      <c r="G390" s="7">
        <f t="shared" si="39"/>
        <v>39.292400000000001</v>
      </c>
      <c r="H390" s="7">
        <f t="shared" si="40"/>
        <v>-174.70760000000001</v>
      </c>
      <c r="I390" s="7">
        <f t="shared" si="41"/>
        <v>30522.745497760006</v>
      </c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>
      <c r="A391" s="6"/>
      <c r="B391" s="15">
        <v>15085</v>
      </c>
      <c r="C391" s="15">
        <v>204</v>
      </c>
      <c r="D391" s="7">
        <f t="shared" si="37"/>
        <v>3077340</v>
      </c>
      <c r="E391" s="7">
        <f t="shared" si="38"/>
        <v>227557225</v>
      </c>
      <c r="F391" s="7">
        <f t="shared" si="38"/>
        <v>41616</v>
      </c>
      <c r="G391" s="7">
        <f t="shared" si="39"/>
        <v>42.346600000000002</v>
      </c>
      <c r="H391" s="7">
        <f t="shared" si="40"/>
        <v>-161.6534</v>
      </c>
      <c r="I391" s="7">
        <f t="shared" si="41"/>
        <v>26131.821731560001</v>
      </c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>
      <c r="A392" s="6"/>
      <c r="B392" s="15">
        <v>34923</v>
      </c>
      <c r="C392" s="15">
        <v>196</v>
      </c>
      <c r="D392" s="7">
        <f t="shared" si="37"/>
        <v>6844908</v>
      </c>
      <c r="E392" s="7">
        <f t="shared" si="38"/>
        <v>1219615929</v>
      </c>
      <c r="F392" s="7">
        <f t="shared" si="38"/>
        <v>38416</v>
      </c>
      <c r="G392" s="7">
        <f t="shared" si="39"/>
        <v>38.378999999999998</v>
      </c>
      <c r="H392" s="7">
        <f t="shared" si="40"/>
        <v>-157.62100000000001</v>
      </c>
      <c r="I392" s="7">
        <f t="shared" si="41"/>
        <v>24844.379641000003</v>
      </c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>
      <c r="A393" s="6"/>
      <c r="B393" s="15">
        <v>38694</v>
      </c>
      <c r="C393" s="15">
        <v>203</v>
      </c>
      <c r="D393" s="7">
        <f t="shared" si="37"/>
        <v>7854882</v>
      </c>
      <c r="E393" s="7">
        <f t="shared" si="38"/>
        <v>1497225636</v>
      </c>
      <c r="F393" s="7">
        <f t="shared" si="38"/>
        <v>41209</v>
      </c>
      <c r="G393" s="7">
        <f t="shared" si="39"/>
        <v>37.6248</v>
      </c>
      <c r="H393" s="7">
        <f t="shared" si="40"/>
        <v>-165.37520000000001</v>
      </c>
      <c r="I393" s="7">
        <f t="shared" si="41"/>
        <v>27348.956775040002</v>
      </c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>
      <c r="A394" s="6"/>
      <c r="B394" s="15">
        <v>37621</v>
      </c>
      <c r="C394" s="15">
        <v>161</v>
      </c>
      <c r="D394" s="7">
        <f t="shared" si="37"/>
        <v>6056981</v>
      </c>
      <c r="E394" s="7">
        <f t="shared" si="38"/>
        <v>1415339641</v>
      </c>
      <c r="F394" s="7">
        <f t="shared" si="38"/>
        <v>25921</v>
      </c>
      <c r="G394" s="7">
        <f t="shared" si="39"/>
        <v>37.839399999999998</v>
      </c>
      <c r="H394" s="7">
        <f t="shared" si="40"/>
        <v>-123.1606</v>
      </c>
      <c r="I394" s="7">
        <f t="shared" si="41"/>
        <v>15168.533392360001</v>
      </c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>
      <c r="A395" s="6"/>
      <c r="B395" s="15">
        <v>37347</v>
      </c>
      <c r="C395" s="15">
        <v>167</v>
      </c>
      <c r="D395" s="7">
        <f t="shared" si="37"/>
        <v>6236949</v>
      </c>
      <c r="E395" s="7">
        <f t="shared" si="38"/>
        <v>1394798409</v>
      </c>
      <c r="F395" s="7">
        <f t="shared" si="38"/>
        <v>27889</v>
      </c>
      <c r="G395" s="7">
        <f t="shared" si="39"/>
        <v>37.894199999999998</v>
      </c>
      <c r="H395" s="7">
        <f t="shared" si="40"/>
        <v>-129.10579999999999</v>
      </c>
      <c r="I395" s="7">
        <f t="shared" si="41"/>
        <v>16668.307593639998</v>
      </c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>
      <c r="A396" s="6"/>
      <c r="B396" s="15">
        <v>38752</v>
      </c>
      <c r="C396" s="15">
        <v>149</v>
      </c>
      <c r="D396" s="7">
        <f t="shared" si="37"/>
        <v>5774048</v>
      </c>
      <c r="E396" s="7">
        <f t="shared" si="38"/>
        <v>1501717504</v>
      </c>
      <c r="F396" s="7">
        <f t="shared" si="38"/>
        <v>22201</v>
      </c>
      <c r="G396" s="7">
        <f t="shared" si="39"/>
        <v>37.613199999999999</v>
      </c>
      <c r="H396" s="7">
        <f t="shared" si="40"/>
        <v>-111.38679999999999</v>
      </c>
      <c r="I396" s="7">
        <f t="shared" si="41"/>
        <v>12407.019214239999</v>
      </c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>
      <c r="A397" s="6"/>
      <c r="B397" s="15">
        <v>21483</v>
      </c>
      <c r="C397" s="15">
        <v>149</v>
      </c>
      <c r="D397" s="7">
        <f t="shared" si="37"/>
        <v>3200967</v>
      </c>
      <c r="E397" s="7">
        <f t="shared" si="38"/>
        <v>461519289</v>
      </c>
      <c r="F397" s="7">
        <f t="shared" si="38"/>
        <v>22201</v>
      </c>
      <c r="G397" s="7">
        <f t="shared" si="39"/>
        <v>41.067</v>
      </c>
      <c r="H397" s="7">
        <f t="shared" si="40"/>
        <v>-107.93300000000001</v>
      </c>
      <c r="I397" s="7">
        <f t="shared" si="41"/>
        <v>11649.532489000001</v>
      </c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>
      <c r="A398" s="6"/>
      <c r="B398" s="15">
        <v>12100</v>
      </c>
      <c r="C398" s="15">
        <v>138</v>
      </c>
      <c r="D398" s="7">
        <f t="shared" si="37"/>
        <v>1669800</v>
      </c>
      <c r="E398" s="7">
        <f t="shared" si="38"/>
        <v>146410000</v>
      </c>
      <c r="F398" s="7">
        <f t="shared" si="38"/>
        <v>19044</v>
      </c>
      <c r="G398" s="7">
        <f t="shared" si="39"/>
        <v>42.943600000000004</v>
      </c>
      <c r="H398" s="7">
        <f t="shared" si="40"/>
        <v>-95.056399999999996</v>
      </c>
      <c r="I398" s="7">
        <f t="shared" si="41"/>
        <v>9035.719180959999</v>
      </c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>
      <c r="A399" s="6"/>
      <c r="B399" s="15">
        <v>33135</v>
      </c>
      <c r="C399" s="15">
        <v>90</v>
      </c>
      <c r="D399" s="7">
        <f t="shared" si="37"/>
        <v>2982150</v>
      </c>
      <c r="E399" s="7">
        <f t="shared" si="38"/>
        <v>1097928225</v>
      </c>
      <c r="F399" s="7">
        <f t="shared" si="38"/>
        <v>8100</v>
      </c>
      <c r="G399" s="7">
        <f t="shared" si="39"/>
        <v>38.736600000000003</v>
      </c>
      <c r="H399" s="7">
        <f t="shared" si="40"/>
        <v>-51.263399999999997</v>
      </c>
      <c r="I399" s="7">
        <f t="shared" si="41"/>
        <v>2627.9361795599998</v>
      </c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>
      <c r="A400" s="6"/>
      <c r="B400" s="15">
        <v>32083</v>
      </c>
      <c r="C400" s="15">
        <v>111</v>
      </c>
      <c r="D400" s="7">
        <f t="shared" si="37"/>
        <v>3561213</v>
      </c>
      <c r="E400" s="7">
        <f t="shared" si="38"/>
        <v>1029318889</v>
      </c>
      <c r="F400" s="7">
        <f t="shared" si="38"/>
        <v>12321</v>
      </c>
      <c r="G400" s="7">
        <f t="shared" si="39"/>
        <v>38.947000000000003</v>
      </c>
      <c r="H400" s="7">
        <f t="shared" si="40"/>
        <v>-72.052999999999997</v>
      </c>
      <c r="I400" s="7">
        <f t="shared" si="41"/>
        <v>5191.6348089999992</v>
      </c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>
      <c r="A401" s="6"/>
      <c r="B401" s="15">
        <v>34354</v>
      </c>
      <c r="C401" s="15">
        <v>127</v>
      </c>
      <c r="D401" s="7">
        <f t="shared" si="37"/>
        <v>4362958</v>
      </c>
      <c r="E401" s="7">
        <f t="shared" si="38"/>
        <v>1180197316</v>
      </c>
      <c r="F401" s="7">
        <f t="shared" si="38"/>
        <v>16129</v>
      </c>
      <c r="G401" s="7">
        <f t="shared" si="39"/>
        <v>38.492800000000003</v>
      </c>
      <c r="H401" s="7">
        <f t="shared" si="40"/>
        <v>-88.507199999999997</v>
      </c>
      <c r="I401" s="7">
        <f t="shared" si="41"/>
        <v>7833.5244518399995</v>
      </c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>
      <c r="A402" s="6"/>
      <c r="B402" s="15">
        <v>33985</v>
      </c>
      <c r="C402" s="15">
        <v>105</v>
      </c>
      <c r="D402" s="7">
        <f t="shared" si="37"/>
        <v>3568425</v>
      </c>
      <c r="E402" s="7">
        <f t="shared" si="38"/>
        <v>1154980225</v>
      </c>
      <c r="F402" s="7">
        <f t="shared" si="38"/>
        <v>11025</v>
      </c>
      <c r="G402" s="7">
        <f t="shared" si="39"/>
        <v>38.566600000000001</v>
      </c>
      <c r="H402" s="7">
        <f t="shared" si="40"/>
        <v>-66.433400000000006</v>
      </c>
      <c r="I402" s="7">
        <f t="shared" si="41"/>
        <v>4413.3966355600005</v>
      </c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>
      <c r="A403" s="6"/>
      <c r="B403" s="15">
        <v>33887</v>
      </c>
      <c r="C403" s="15">
        <v>67</v>
      </c>
      <c r="D403" s="7">
        <f t="shared" si="37"/>
        <v>2270429</v>
      </c>
      <c r="E403" s="7">
        <f t="shared" si="38"/>
        <v>1148328769</v>
      </c>
      <c r="F403" s="7">
        <f t="shared" si="38"/>
        <v>4489</v>
      </c>
      <c r="G403" s="7">
        <f t="shared" si="39"/>
        <v>38.586199999999998</v>
      </c>
      <c r="H403" s="7">
        <f t="shared" si="40"/>
        <v>-28.413799999999998</v>
      </c>
      <c r="I403" s="7">
        <f t="shared" si="41"/>
        <v>807.34403043999987</v>
      </c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>
      <c r="A404" s="6"/>
      <c r="B404" s="15">
        <v>21848</v>
      </c>
      <c r="C404" s="15">
        <v>76</v>
      </c>
      <c r="D404" s="7">
        <f t="shared" si="37"/>
        <v>1660448</v>
      </c>
      <c r="E404" s="7">
        <f t="shared" si="38"/>
        <v>477335104</v>
      </c>
      <c r="F404" s="7">
        <f t="shared" si="38"/>
        <v>5776</v>
      </c>
      <c r="G404" s="7">
        <f t="shared" si="39"/>
        <v>40.994</v>
      </c>
      <c r="H404" s="7">
        <f t="shared" si="40"/>
        <v>-35.006</v>
      </c>
      <c r="I404" s="7">
        <f t="shared" si="41"/>
        <v>1225.420036</v>
      </c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>
      <c r="A405" s="6"/>
      <c r="B405" s="15">
        <v>10854</v>
      </c>
      <c r="C405" s="15">
        <v>65</v>
      </c>
      <c r="D405" s="7">
        <f t="shared" si="37"/>
        <v>705510</v>
      </c>
      <c r="E405" s="7">
        <f t="shared" si="38"/>
        <v>117809316</v>
      </c>
      <c r="F405" s="7">
        <f t="shared" si="38"/>
        <v>4225</v>
      </c>
      <c r="G405" s="7">
        <f t="shared" si="39"/>
        <v>43.192799999999998</v>
      </c>
      <c r="H405" s="7">
        <f t="shared" si="40"/>
        <v>-21.807200000000002</v>
      </c>
      <c r="I405" s="7">
        <f t="shared" si="41"/>
        <v>475.55397184000009</v>
      </c>
      <c r="J405" s="6"/>
      <c r="K405" s="6" t="s">
        <v>19</v>
      </c>
      <c r="L405" s="13">
        <f>COUNT(B385,B386:B504)</f>
        <v>120</v>
      </c>
      <c r="M405" s="6"/>
      <c r="N405" s="6"/>
      <c r="O405" s="6"/>
      <c r="P405" s="6"/>
      <c r="Q405" s="6"/>
      <c r="R405" s="6"/>
      <c r="S405" s="6"/>
      <c r="T405" s="6"/>
    </row>
    <row r="406" spans="1:20">
      <c r="A406" s="6"/>
      <c r="B406" s="15">
        <v>31296</v>
      </c>
      <c r="C406" s="15">
        <v>61</v>
      </c>
      <c r="D406" s="7">
        <f t="shared" si="37"/>
        <v>1909056</v>
      </c>
      <c r="E406" s="7">
        <f t="shared" si="38"/>
        <v>979439616</v>
      </c>
      <c r="F406" s="7">
        <f t="shared" si="38"/>
        <v>3721</v>
      </c>
      <c r="G406" s="7">
        <f t="shared" si="39"/>
        <v>39.104399999999998</v>
      </c>
      <c r="H406" s="7">
        <f t="shared" si="40"/>
        <v>-21.895600000000002</v>
      </c>
      <c r="I406" s="7">
        <f t="shared" si="41"/>
        <v>479.41729936000007</v>
      </c>
      <c r="J406" s="6"/>
      <c r="K406" s="6" t="s">
        <v>20</v>
      </c>
      <c r="L406" s="6">
        <f>ROUND(AVERAGE(B385:B504),4)</f>
        <v>37526.716699999997</v>
      </c>
      <c r="M406" s="6"/>
      <c r="N406" s="6"/>
      <c r="O406" s="6"/>
      <c r="P406" s="6"/>
      <c r="Q406" s="6"/>
      <c r="R406" s="6"/>
      <c r="S406" s="6"/>
      <c r="T406" s="6"/>
    </row>
    <row r="407" spans="1:20">
      <c r="A407" s="6"/>
      <c r="B407" s="15">
        <v>31577</v>
      </c>
      <c r="C407" s="15">
        <v>63</v>
      </c>
      <c r="D407" s="7">
        <f t="shared" si="37"/>
        <v>1989351</v>
      </c>
      <c r="E407" s="7">
        <f t="shared" si="38"/>
        <v>997106929</v>
      </c>
      <c r="F407" s="7">
        <f t="shared" si="38"/>
        <v>3969</v>
      </c>
      <c r="G407" s="7">
        <f t="shared" si="39"/>
        <v>39.048200000000001</v>
      </c>
      <c r="H407" s="7">
        <f t="shared" si="40"/>
        <v>-23.951799999999999</v>
      </c>
      <c r="I407" s="7">
        <f t="shared" si="41"/>
        <v>573.68872323999994</v>
      </c>
      <c r="J407" s="6"/>
      <c r="K407" s="6" t="s">
        <v>21</v>
      </c>
      <c r="L407" s="6">
        <f>ROUND(AVERAGE(C385:C504),4)</f>
        <v>37.8583</v>
      </c>
      <c r="M407" s="6"/>
      <c r="N407" s="6"/>
      <c r="O407" s="6"/>
      <c r="P407" s="6"/>
      <c r="Q407" s="6"/>
      <c r="R407" s="6"/>
      <c r="S407" s="6"/>
      <c r="T407" s="6"/>
    </row>
    <row r="408" spans="1:20">
      <c r="A408" s="6"/>
      <c r="B408" s="15">
        <v>31235</v>
      </c>
      <c r="C408" s="15">
        <v>50</v>
      </c>
      <c r="D408" s="7">
        <f t="shared" si="37"/>
        <v>1561750</v>
      </c>
      <c r="E408" s="7">
        <f t="shared" si="38"/>
        <v>975625225</v>
      </c>
      <c r="F408" s="7">
        <f t="shared" si="38"/>
        <v>2500</v>
      </c>
      <c r="G408" s="7">
        <f t="shared" si="39"/>
        <v>39.116599999999998</v>
      </c>
      <c r="H408" s="7">
        <f t="shared" si="40"/>
        <v>-10.8834</v>
      </c>
      <c r="I408" s="7">
        <f t="shared" si="41"/>
        <v>118.44839555999999</v>
      </c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>
      <c r="A409" s="6"/>
      <c r="B409" s="15">
        <v>30974</v>
      </c>
      <c r="C409" s="15">
        <v>49</v>
      </c>
      <c r="D409" s="7">
        <f t="shared" si="37"/>
        <v>1517726</v>
      </c>
      <c r="E409" s="7">
        <f t="shared" si="38"/>
        <v>959388676</v>
      </c>
      <c r="F409" s="7">
        <f t="shared" si="38"/>
        <v>2401</v>
      </c>
      <c r="G409" s="7">
        <f t="shared" si="39"/>
        <v>39.168799999999997</v>
      </c>
      <c r="H409" s="7">
        <f t="shared" si="40"/>
        <v>-9.8312000000000008</v>
      </c>
      <c r="I409" s="7">
        <f t="shared" si="41"/>
        <v>96.652493440000015</v>
      </c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>
      <c r="A410" s="6"/>
      <c r="B410" s="15">
        <v>32910</v>
      </c>
      <c r="C410" s="15">
        <v>58</v>
      </c>
      <c r="D410" s="7">
        <f t="shared" si="37"/>
        <v>1908780</v>
      </c>
      <c r="E410" s="7">
        <f t="shared" si="38"/>
        <v>1083068100</v>
      </c>
      <c r="F410" s="7">
        <f t="shared" si="38"/>
        <v>3364</v>
      </c>
      <c r="G410" s="7">
        <f t="shared" si="39"/>
        <v>38.781599999999997</v>
      </c>
      <c r="H410" s="7">
        <f t="shared" si="40"/>
        <v>-19.218399999999999</v>
      </c>
      <c r="I410" s="7">
        <f t="shared" si="41"/>
        <v>369.34689855999994</v>
      </c>
      <c r="J410" s="6"/>
      <c r="K410" s="6"/>
      <c r="L410" s="6"/>
      <c r="M410" s="6"/>
      <c r="N410" s="6" t="s">
        <v>22</v>
      </c>
      <c r="O410" s="6">
        <f>D505-(L405*L406*L407)</f>
        <v>-6993037.8612331748</v>
      </c>
      <c r="P410" s="6"/>
      <c r="Q410" s="6"/>
      <c r="R410" s="6"/>
      <c r="S410" s="6"/>
      <c r="T410" s="6"/>
    </row>
    <row r="411" spans="1:20">
      <c r="A411" s="6"/>
      <c r="B411" s="15">
        <v>20380</v>
      </c>
      <c r="C411" s="15">
        <v>33</v>
      </c>
      <c r="D411" s="7">
        <f t="shared" si="37"/>
        <v>672540</v>
      </c>
      <c r="E411" s="7">
        <f t="shared" si="38"/>
        <v>415344400</v>
      </c>
      <c r="F411" s="7">
        <f t="shared" si="38"/>
        <v>1089</v>
      </c>
      <c r="G411" s="7">
        <f t="shared" si="39"/>
        <v>41.287599999999998</v>
      </c>
      <c r="H411" s="7">
        <f t="shared" si="40"/>
        <v>8.2875999999999994</v>
      </c>
      <c r="I411" s="7">
        <f t="shared" si="41"/>
        <v>68.684313759999995</v>
      </c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>
      <c r="A412" s="6"/>
      <c r="B412" s="15">
        <v>11439</v>
      </c>
      <c r="C412" s="15">
        <v>41</v>
      </c>
      <c r="D412" s="7">
        <f t="shared" si="37"/>
        <v>468999</v>
      </c>
      <c r="E412" s="7">
        <f t="shared" si="38"/>
        <v>130850721</v>
      </c>
      <c r="F412" s="7">
        <f t="shared" si="38"/>
        <v>1681</v>
      </c>
      <c r="G412" s="7">
        <f t="shared" si="39"/>
        <v>43.075800000000001</v>
      </c>
      <c r="H412" s="7">
        <f t="shared" si="40"/>
        <v>2.0758000000000001</v>
      </c>
      <c r="I412" s="7">
        <f t="shared" si="41"/>
        <v>4.3089456400000001</v>
      </c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>
      <c r="A413" s="6"/>
      <c r="B413" s="15">
        <v>26639</v>
      </c>
      <c r="C413" s="15">
        <v>34</v>
      </c>
      <c r="D413" s="7">
        <f t="shared" si="37"/>
        <v>905726</v>
      </c>
      <c r="E413" s="7">
        <f t="shared" si="38"/>
        <v>709636321</v>
      </c>
      <c r="F413" s="7">
        <f t="shared" si="38"/>
        <v>1156</v>
      </c>
      <c r="G413" s="7">
        <f t="shared" si="39"/>
        <v>40.035800000000002</v>
      </c>
      <c r="H413" s="7">
        <f t="shared" si="40"/>
        <v>6.0358000000000001</v>
      </c>
      <c r="I413" s="7">
        <f t="shared" si="41"/>
        <v>36.430881640000003</v>
      </c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>
      <c r="A414" s="6"/>
      <c r="B414" s="15">
        <v>29735</v>
      </c>
      <c r="C414" s="15">
        <v>38</v>
      </c>
      <c r="D414" s="7">
        <f t="shared" si="37"/>
        <v>1129930</v>
      </c>
      <c r="E414" s="7">
        <f t="shared" si="38"/>
        <v>884170225</v>
      </c>
      <c r="F414" s="7">
        <f t="shared" si="38"/>
        <v>1444</v>
      </c>
      <c r="G414" s="7">
        <f t="shared" si="39"/>
        <v>39.416600000000003</v>
      </c>
      <c r="H414" s="7">
        <f t="shared" si="40"/>
        <v>1.4166000000000001</v>
      </c>
      <c r="I414" s="7">
        <f t="shared" si="41"/>
        <v>2.0067555600000002</v>
      </c>
      <c r="J414" s="6"/>
      <c r="K414" s="6"/>
      <c r="L414" s="6"/>
      <c r="M414" s="6"/>
      <c r="N414" s="6" t="s">
        <v>22</v>
      </c>
      <c r="O414" s="6">
        <f>E505-(L405*(L406^2))</f>
        <v>38761834826.152954</v>
      </c>
      <c r="P414" s="6"/>
      <c r="Q414" s="6"/>
      <c r="R414" s="6"/>
      <c r="S414" s="6"/>
      <c r="T414" s="6"/>
    </row>
    <row r="415" spans="1:20">
      <c r="A415" s="6"/>
      <c r="B415" s="15">
        <v>29388</v>
      </c>
      <c r="C415" s="15">
        <v>41</v>
      </c>
      <c r="D415" s="7">
        <f t="shared" si="37"/>
        <v>1204908</v>
      </c>
      <c r="E415" s="7">
        <f t="shared" si="38"/>
        <v>863654544</v>
      </c>
      <c r="F415" s="7">
        <f t="shared" si="38"/>
        <v>1681</v>
      </c>
      <c r="G415" s="7">
        <f t="shared" si="39"/>
        <v>39.485999999999997</v>
      </c>
      <c r="H415" s="7">
        <f t="shared" si="40"/>
        <v>-1.514</v>
      </c>
      <c r="I415" s="7">
        <f t="shared" si="41"/>
        <v>2.2921960000000001</v>
      </c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>
      <c r="A416" s="6"/>
      <c r="B416" s="15">
        <v>28081</v>
      </c>
      <c r="C416" s="15">
        <v>28</v>
      </c>
      <c r="D416" s="7">
        <f t="shared" si="37"/>
        <v>786268</v>
      </c>
      <c r="E416" s="7">
        <f t="shared" si="38"/>
        <v>788542561</v>
      </c>
      <c r="F416" s="7">
        <f t="shared" si="38"/>
        <v>784</v>
      </c>
      <c r="G416" s="7">
        <f t="shared" si="39"/>
        <v>39.747399999999999</v>
      </c>
      <c r="H416" s="7">
        <f t="shared" si="40"/>
        <v>11.747400000000001</v>
      </c>
      <c r="I416" s="7">
        <f t="shared" si="41"/>
        <v>138.00140676000001</v>
      </c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>
      <c r="A417" s="6"/>
      <c r="B417" s="15">
        <v>28636</v>
      </c>
      <c r="C417" s="15">
        <v>28</v>
      </c>
      <c r="D417" s="7">
        <f t="shared" si="37"/>
        <v>801808</v>
      </c>
      <c r="E417" s="7">
        <f t="shared" si="38"/>
        <v>820020496</v>
      </c>
      <c r="F417" s="7">
        <f t="shared" si="38"/>
        <v>784</v>
      </c>
      <c r="G417" s="7">
        <f t="shared" si="39"/>
        <v>39.636400000000002</v>
      </c>
      <c r="H417" s="7">
        <f t="shared" si="40"/>
        <v>11.6364</v>
      </c>
      <c r="I417" s="7">
        <f t="shared" si="41"/>
        <v>135.40580496000001</v>
      </c>
      <c r="J417" s="6"/>
      <c r="K417" s="6"/>
      <c r="L417" s="6"/>
      <c r="M417" s="6"/>
      <c r="N417" s="6" t="s">
        <v>22</v>
      </c>
      <c r="O417" s="6">
        <f>ROUND((F505-(L405*(L407^2))),4)</f>
        <v>524434.89450000005</v>
      </c>
      <c r="P417" s="6"/>
      <c r="Q417" s="6"/>
      <c r="R417" s="6"/>
      <c r="S417" s="6"/>
      <c r="T417" s="6"/>
    </row>
    <row r="418" spans="1:20">
      <c r="A418" s="6"/>
      <c r="B418" s="15">
        <v>19891</v>
      </c>
      <c r="C418" s="15">
        <v>26</v>
      </c>
      <c r="D418" s="7">
        <f t="shared" si="37"/>
        <v>517166</v>
      </c>
      <c r="E418" s="7">
        <f t="shared" si="38"/>
        <v>395651881</v>
      </c>
      <c r="F418" s="7">
        <f t="shared" si="38"/>
        <v>676</v>
      </c>
      <c r="G418" s="7">
        <f t="shared" si="39"/>
        <v>41.385399999999997</v>
      </c>
      <c r="H418" s="7">
        <f t="shared" si="40"/>
        <v>15.385400000000001</v>
      </c>
      <c r="I418" s="7">
        <f t="shared" si="41"/>
        <v>236.71053316000001</v>
      </c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>
      <c r="A419" s="6"/>
      <c r="B419" s="15">
        <v>9396</v>
      </c>
      <c r="C419" s="15">
        <v>28</v>
      </c>
      <c r="D419" s="7">
        <f t="shared" si="37"/>
        <v>263088</v>
      </c>
      <c r="E419" s="7">
        <f t="shared" si="38"/>
        <v>88284816</v>
      </c>
      <c r="F419" s="7">
        <f t="shared" si="38"/>
        <v>784</v>
      </c>
      <c r="G419" s="7">
        <f t="shared" si="39"/>
        <v>43.484400000000001</v>
      </c>
      <c r="H419" s="7">
        <f t="shared" si="40"/>
        <v>15.484400000000001</v>
      </c>
      <c r="I419" s="7">
        <f t="shared" si="41"/>
        <v>239.76664336000002</v>
      </c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>
      <c r="A420" s="6"/>
      <c r="B420" s="15">
        <v>25303</v>
      </c>
      <c r="C420" s="15">
        <v>25</v>
      </c>
      <c r="D420" s="7">
        <f t="shared" si="37"/>
        <v>632575</v>
      </c>
      <c r="E420" s="7">
        <f t="shared" si="38"/>
        <v>640241809</v>
      </c>
      <c r="F420" s="7">
        <f t="shared" si="38"/>
        <v>625</v>
      </c>
      <c r="G420" s="7">
        <f t="shared" si="39"/>
        <v>40.302999999999997</v>
      </c>
      <c r="H420" s="7">
        <f t="shared" si="40"/>
        <v>15.303000000000001</v>
      </c>
      <c r="I420" s="7">
        <f t="shared" si="41"/>
        <v>234.18180900000002</v>
      </c>
      <c r="J420" s="6"/>
      <c r="K420" s="6"/>
      <c r="L420" s="6"/>
      <c r="M420" s="6"/>
      <c r="N420" s="6"/>
      <c r="O420" s="15"/>
      <c r="P420" s="15"/>
      <c r="Q420" s="15"/>
      <c r="R420" s="15"/>
      <c r="S420" s="6"/>
      <c r="T420" s="6"/>
    </row>
    <row r="421" spans="1:20">
      <c r="A421" s="6"/>
      <c r="B421" s="15">
        <v>24513</v>
      </c>
      <c r="C421" s="15">
        <v>30</v>
      </c>
      <c r="D421" s="7">
        <f t="shared" si="37"/>
        <v>735390</v>
      </c>
      <c r="E421" s="7">
        <f t="shared" si="38"/>
        <v>600887169</v>
      </c>
      <c r="F421" s="7">
        <f t="shared" si="38"/>
        <v>900</v>
      </c>
      <c r="G421" s="7">
        <f t="shared" si="39"/>
        <v>40.460999999999999</v>
      </c>
      <c r="H421" s="7">
        <f t="shared" si="40"/>
        <v>10.461</v>
      </c>
      <c r="I421" s="7">
        <f t="shared" si="41"/>
        <v>109.43252100000001</v>
      </c>
      <c r="J421" s="6"/>
      <c r="K421" s="6"/>
      <c r="L421" s="6"/>
      <c r="M421" s="6" t="s">
        <v>22</v>
      </c>
      <c r="N421" s="6">
        <f>O410/(SQRT(O414)*SQRT(O417))</f>
        <v>-4.9047618587196154E-2</v>
      </c>
      <c r="O421" s="15"/>
      <c r="P421" s="15"/>
      <c r="Q421" s="15">
        <f>N421^2</f>
        <v>2.4056688890750698E-3</v>
      </c>
      <c r="R421" s="15"/>
      <c r="S421" s="6"/>
      <c r="T421" s="6"/>
    </row>
    <row r="422" spans="1:20">
      <c r="A422" s="6"/>
      <c r="B422" s="15">
        <v>26627</v>
      </c>
      <c r="C422" s="15">
        <v>22</v>
      </c>
      <c r="D422" s="7">
        <f t="shared" si="37"/>
        <v>585794</v>
      </c>
      <c r="E422" s="7">
        <f t="shared" si="38"/>
        <v>708997129</v>
      </c>
      <c r="F422" s="7">
        <f t="shared" si="38"/>
        <v>484</v>
      </c>
      <c r="G422" s="7">
        <f t="shared" si="39"/>
        <v>40.038200000000003</v>
      </c>
      <c r="H422" s="7">
        <f t="shared" si="40"/>
        <v>18.0382</v>
      </c>
      <c r="I422" s="7">
        <f t="shared" si="41"/>
        <v>325.37665923999998</v>
      </c>
      <c r="J422" s="6"/>
      <c r="K422" s="6"/>
      <c r="L422" s="6"/>
      <c r="M422" s="6"/>
      <c r="N422" s="6"/>
      <c r="O422" s="15"/>
      <c r="P422" s="15"/>
      <c r="Q422" s="15"/>
      <c r="R422" s="15"/>
      <c r="S422" s="6"/>
      <c r="T422" s="6"/>
    </row>
    <row r="423" spans="1:20">
      <c r="A423" s="6"/>
      <c r="B423" s="15">
        <v>24313</v>
      </c>
      <c r="C423" s="15">
        <v>18</v>
      </c>
      <c r="D423" s="7">
        <f t="shared" si="37"/>
        <v>437634</v>
      </c>
      <c r="E423" s="7">
        <f t="shared" si="38"/>
        <v>591121969</v>
      </c>
      <c r="F423" s="7">
        <f t="shared" si="38"/>
        <v>324</v>
      </c>
      <c r="G423" s="7">
        <f t="shared" si="39"/>
        <v>40.500999999999998</v>
      </c>
      <c r="H423" s="7">
        <f t="shared" si="40"/>
        <v>22.501000000000001</v>
      </c>
      <c r="I423" s="7">
        <f t="shared" si="41"/>
        <v>506.29500100000007</v>
      </c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>
      <c r="A424" s="6"/>
      <c r="B424" s="15">
        <v>27281</v>
      </c>
      <c r="C424" s="15">
        <v>15</v>
      </c>
      <c r="D424" s="7">
        <f t="shared" si="37"/>
        <v>409215</v>
      </c>
      <c r="E424" s="7">
        <f t="shared" si="38"/>
        <v>744252961</v>
      </c>
      <c r="F424" s="7">
        <f t="shared" si="38"/>
        <v>225</v>
      </c>
      <c r="G424" s="7">
        <f t="shared" si="39"/>
        <v>39.907400000000003</v>
      </c>
      <c r="H424" s="7">
        <f t="shared" si="40"/>
        <v>24.907399999999999</v>
      </c>
      <c r="I424" s="7">
        <f t="shared" si="41"/>
        <v>620.37857475999999</v>
      </c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>
      <c r="A425" s="6"/>
      <c r="B425" s="15">
        <v>21016</v>
      </c>
      <c r="C425" s="15">
        <v>19</v>
      </c>
      <c r="D425" s="7">
        <f t="shared" si="37"/>
        <v>399304</v>
      </c>
      <c r="E425" s="7">
        <f t="shared" si="38"/>
        <v>441672256</v>
      </c>
      <c r="F425" s="7">
        <f t="shared" si="38"/>
        <v>361</v>
      </c>
      <c r="G425" s="7">
        <f t="shared" si="39"/>
        <v>41.160400000000003</v>
      </c>
      <c r="H425" s="7">
        <f t="shared" si="40"/>
        <v>22.160399999999999</v>
      </c>
      <c r="I425" s="7">
        <f t="shared" si="41"/>
        <v>491.08332815999995</v>
      </c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>
      <c r="A426" s="6"/>
      <c r="B426" s="15">
        <v>9709</v>
      </c>
      <c r="C426" s="15">
        <v>15</v>
      </c>
      <c r="D426" s="7">
        <f t="shared" si="37"/>
        <v>145635</v>
      </c>
      <c r="E426" s="7">
        <f t="shared" si="38"/>
        <v>94264681</v>
      </c>
      <c r="F426" s="7">
        <f t="shared" si="38"/>
        <v>225</v>
      </c>
      <c r="G426" s="7">
        <f t="shared" si="39"/>
        <v>43.421799999999998</v>
      </c>
      <c r="H426" s="7">
        <f t="shared" si="40"/>
        <v>28.421800000000001</v>
      </c>
      <c r="I426" s="7">
        <f t="shared" si="41"/>
        <v>807.79871524000009</v>
      </c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>
      <c r="A427" s="6"/>
      <c r="B427" s="15">
        <v>26427</v>
      </c>
      <c r="C427" s="15">
        <v>10</v>
      </c>
      <c r="D427" s="7">
        <f t="shared" si="37"/>
        <v>264270</v>
      </c>
      <c r="E427" s="7">
        <f t="shared" si="38"/>
        <v>698386329</v>
      </c>
      <c r="F427" s="7">
        <f t="shared" si="38"/>
        <v>100</v>
      </c>
      <c r="G427" s="7">
        <f t="shared" si="39"/>
        <v>40.078200000000002</v>
      </c>
      <c r="H427" s="7">
        <f t="shared" si="40"/>
        <v>30.078199999999999</v>
      </c>
      <c r="I427" s="7">
        <f t="shared" si="41"/>
        <v>904.69811523999999</v>
      </c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>
      <c r="A428" s="6"/>
      <c r="B428" s="15">
        <v>41394</v>
      </c>
      <c r="C428" s="15">
        <v>13</v>
      </c>
      <c r="D428" s="7">
        <f t="shared" si="37"/>
        <v>538122</v>
      </c>
      <c r="E428" s="7">
        <f t="shared" si="38"/>
        <v>1713463236</v>
      </c>
      <c r="F428" s="7">
        <f t="shared" si="38"/>
        <v>169</v>
      </c>
      <c r="G428" s="7">
        <f t="shared" si="39"/>
        <v>37.084800000000001</v>
      </c>
      <c r="H428" s="7">
        <f t="shared" si="40"/>
        <v>24.084800000000001</v>
      </c>
      <c r="I428" s="7">
        <f t="shared" si="41"/>
        <v>580.07759104000002</v>
      </c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>
      <c r="A429" s="6"/>
      <c r="B429" s="15">
        <v>48102</v>
      </c>
      <c r="C429" s="15">
        <v>15</v>
      </c>
      <c r="D429" s="7">
        <f t="shared" si="37"/>
        <v>721530</v>
      </c>
      <c r="E429" s="7">
        <f t="shared" si="38"/>
        <v>2313802404</v>
      </c>
      <c r="F429" s="7">
        <f t="shared" si="38"/>
        <v>225</v>
      </c>
      <c r="G429" s="7">
        <f t="shared" si="39"/>
        <v>35.743200000000002</v>
      </c>
      <c r="H429" s="7">
        <f t="shared" si="40"/>
        <v>20.743200000000002</v>
      </c>
      <c r="I429" s="7">
        <f t="shared" si="41"/>
        <v>430.28034624000009</v>
      </c>
      <c r="J429" s="6"/>
      <c r="K429" s="6"/>
      <c r="L429" s="6" t="s">
        <v>22</v>
      </c>
      <c r="M429" s="6">
        <f>ROUND((O410/O414),4)</f>
        <v>-2.0000000000000001E-4</v>
      </c>
      <c r="N429" s="6"/>
      <c r="O429" s="6"/>
      <c r="P429" s="6"/>
      <c r="Q429" s="6"/>
      <c r="R429" s="6"/>
      <c r="S429" s="6"/>
      <c r="T429" s="6"/>
    </row>
    <row r="430" spans="1:20">
      <c r="A430" s="6"/>
      <c r="B430" s="15">
        <v>52896</v>
      </c>
      <c r="C430" s="15">
        <v>21</v>
      </c>
      <c r="D430" s="7">
        <f t="shared" si="37"/>
        <v>1110816</v>
      </c>
      <c r="E430" s="7">
        <f t="shared" si="38"/>
        <v>2797986816</v>
      </c>
      <c r="F430" s="7">
        <f t="shared" si="38"/>
        <v>441</v>
      </c>
      <c r="G430" s="7">
        <f t="shared" si="39"/>
        <v>34.784399999999998</v>
      </c>
      <c r="H430" s="7">
        <f t="shared" si="40"/>
        <v>13.7844</v>
      </c>
      <c r="I430" s="7">
        <f t="shared" si="41"/>
        <v>190.00968336</v>
      </c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>
      <c r="A431" s="6"/>
      <c r="B431" s="15">
        <v>53485</v>
      </c>
      <c r="C431" s="15">
        <v>11</v>
      </c>
      <c r="D431" s="7">
        <f t="shared" si="37"/>
        <v>588335</v>
      </c>
      <c r="E431" s="7">
        <f t="shared" si="38"/>
        <v>2860645225</v>
      </c>
      <c r="F431" s="7">
        <f t="shared" si="38"/>
        <v>121</v>
      </c>
      <c r="G431" s="7">
        <f t="shared" si="39"/>
        <v>34.666600000000003</v>
      </c>
      <c r="H431" s="7">
        <f t="shared" si="40"/>
        <v>23.666599999999999</v>
      </c>
      <c r="I431" s="7">
        <f t="shared" si="41"/>
        <v>560.10795555999994</v>
      </c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>
      <c r="A432" s="6"/>
      <c r="B432" s="15">
        <v>33514</v>
      </c>
      <c r="C432" s="15">
        <v>8</v>
      </c>
      <c r="D432" s="7">
        <f t="shared" si="37"/>
        <v>268112</v>
      </c>
      <c r="E432" s="7">
        <f t="shared" si="38"/>
        <v>1123188196</v>
      </c>
      <c r="F432" s="7">
        <f t="shared" si="38"/>
        <v>64</v>
      </c>
      <c r="G432" s="7">
        <f t="shared" si="39"/>
        <v>38.660800000000002</v>
      </c>
      <c r="H432" s="7">
        <f t="shared" si="40"/>
        <v>30.660799999999998</v>
      </c>
      <c r="I432" s="7">
        <f t="shared" si="41"/>
        <v>940.08465663999993</v>
      </c>
      <c r="J432" s="6"/>
      <c r="K432" s="6"/>
      <c r="L432" s="6" t="s">
        <v>22</v>
      </c>
      <c r="M432" s="6">
        <f>ROUND((L407-(M429*L406)),4)</f>
        <v>45.363599999999998</v>
      </c>
      <c r="N432" s="6"/>
      <c r="O432" s="6"/>
      <c r="P432" s="6"/>
      <c r="Q432" s="6"/>
      <c r="R432" s="6"/>
      <c r="S432" s="6"/>
      <c r="T432" s="6"/>
    </row>
    <row r="433" spans="1:25">
      <c r="A433" s="6"/>
      <c r="B433" s="15">
        <v>10254</v>
      </c>
      <c r="C433" s="15">
        <v>6</v>
      </c>
      <c r="D433" s="7">
        <f t="shared" si="37"/>
        <v>61524</v>
      </c>
      <c r="E433" s="7">
        <f t="shared" si="38"/>
        <v>105144516</v>
      </c>
      <c r="F433" s="7">
        <f t="shared" si="38"/>
        <v>36</v>
      </c>
      <c r="G433" s="7">
        <f t="shared" si="39"/>
        <v>43.312800000000003</v>
      </c>
      <c r="H433" s="7">
        <f t="shared" si="40"/>
        <v>37.312800000000003</v>
      </c>
      <c r="I433" s="7">
        <f t="shared" si="41"/>
        <v>1392.2450438400001</v>
      </c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5">
      <c r="A434" s="6"/>
      <c r="B434" s="15">
        <v>30283</v>
      </c>
      <c r="C434" s="15">
        <v>16</v>
      </c>
      <c r="D434" s="7">
        <f t="shared" si="37"/>
        <v>484528</v>
      </c>
      <c r="E434" s="7">
        <f t="shared" si="38"/>
        <v>917060089</v>
      </c>
      <c r="F434" s="7">
        <f t="shared" si="38"/>
        <v>256</v>
      </c>
      <c r="G434" s="7">
        <f t="shared" si="39"/>
        <v>39.307000000000002</v>
      </c>
      <c r="H434" s="7">
        <f t="shared" si="40"/>
        <v>23.306999999999999</v>
      </c>
      <c r="I434" s="7">
        <f t="shared" si="41"/>
        <v>543.21624899999995</v>
      </c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5">
      <c r="A435" s="6"/>
      <c r="B435" s="15">
        <v>31200</v>
      </c>
      <c r="C435" s="15">
        <v>10</v>
      </c>
      <c r="D435" s="7">
        <f t="shared" si="37"/>
        <v>312000</v>
      </c>
      <c r="E435" s="7">
        <f t="shared" si="38"/>
        <v>973440000</v>
      </c>
      <c r="F435" s="7">
        <f t="shared" si="38"/>
        <v>100</v>
      </c>
      <c r="G435" s="7">
        <f t="shared" si="39"/>
        <v>39.123600000000003</v>
      </c>
      <c r="H435" s="7">
        <f t="shared" si="40"/>
        <v>29.1236</v>
      </c>
      <c r="I435" s="7">
        <f t="shared" si="41"/>
        <v>848.18407695999997</v>
      </c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5">
      <c r="A436" s="6"/>
      <c r="B436" s="15">
        <v>29256</v>
      </c>
      <c r="C436" s="15">
        <v>11</v>
      </c>
      <c r="D436" s="7">
        <f t="shared" si="37"/>
        <v>321816</v>
      </c>
      <c r="E436" s="7">
        <f t="shared" si="38"/>
        <v>855913536</v>
      </c>
      <c r="F436" s="7">
        <f t="shared" si="38"/>
        <v>121</v>
      </c>
      <c r="G436" s="7">
        <f t="shared" si="39"/>
        <v>39.5124</v>
      </c>
      <c r="H436" s="7">
        <f t="shared" si="40"/>
        <v>28.5124</v>
      </c>
      <c r="I436" s="7">
        <f t="shared" si="41"/>
        <v>812.95695375999992</v>
      </c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</row>
    <row r="437" spans="1:25">
      <c r="A437" s="6"/>
      <c r="B437" s="15">
        <v>27478</v>
      </c>
      <c r="C437" s="15">
        <v>9</v>
      </c>
      <c r="D437" s="7">
        <f t="shared" si="37"/>
        <v>247302</v>
      </c>
      <c r="E437" s="7">
        <f t="shared" si="38"/>
        <v>755040484</v>
      </c>
      <c r="F437" s="7">
        <f t="shared" si="38"/>
        <v>81</v>
      </c>
      <c r="G437" s="7">
        <f t="shared" si="39"/>
        <v>39.868000000000002</v>
      </c>
      <c r="H437" s="7">
        <f t="shared" si="40"/>
        <v>30.867999999999999</v>
      </c>
      <c r="I437" s="7">
        <f t="shared" si="41"/>
        <v>952.83342399999992</v>
      </c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</row>
    <row r="438" spans="1:25">
      <c r="A438" s="6"/>
      <c r="B438" s="15">
        <v>30147</v>
      </c>
      <c r="C438" s="15">
        <v>5</v>
      </c>
      <c r="D438" s="7">
        <f t="shared" si="37"/>
        <v>150735</v>
      </c>
      <c r="E438" s="7">
        <f t="shared" si="38"/>
        <v>908841609</v>
      </c>
      <c r="F438" s="7">
        <f t="shared" si="38"/>
        <v>25</v>
      </c>
      <c r="G438" s="7">
        <f t="shared" si="39"/>
        <v>39.334200000000003</v>
      </c>
      <c r="H438" s="7">
        <f t="shared" si="40"/>
        <v>34.334200000000003</v>
      </c>
      <c r="I438" s="7">
        <f t="shared" si="41"/>
        <v>1178.8372896400001</v>
      </c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</row>
    <row r="439" spans="1:25">
      <c r="A439" s="6"/>
      <c r="B439" s="15">
        <v>22158</v>
      </c>
      <c r="C439" s="15">
        <v>8</v>
      </c>
      <c r="D439" s="7">
        <f t="shared" si="37"/>
        <v>177264</v>
      </c>
      <c r="E439" s="7">
        <f t="shared" si="38"/>
        <v>490976964</v>
      </c>
      <c r="F439" s="7">
        <f t="shared" si="38"/>
        <v>64</v>
      </c>
      <c r="G439" s="7">
        <f t="shared" si="39"/>
        <v>40.932000000000002</v>
      </c>
      <c r="H439" s="7">
        <f t="shared" si="40"/>
        <v>32.932000000000002</v>
      </c>
      <c r="I439" s="7">
        <f t="shared" si="41"/>
        <v>1084.5166240000001</v>
      </c>
      <c r="J439" s="77"/>
      <c r="K439" s="38" t="s">
        <v>41</v>
      </c>
      <c r="L439" s="33">
        <f>ROUND(O417-N439*O410,4)</f>
        <v>523036.28690000001</v>
      </c>
      <c r="M439" s="38"/>
      <c r="N439" s="33">
        <f>M429</f>
        <v>-2.0000000000000001E-4</v>
      </c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</row>
    <row r="440" spans="1:25">
      <c r="A440" s="6"/>
      <c r="B440" s="15">
        <v>10845</v>
      </c>
      <c r="C440" s="15">
        <v>10</v>
      </c>
      <c r="D440" s="7">
        <f t="shared" si="37"/>
        <v>108450</v>
      </c>
      <c r="E440" s="7">
        <f t="shared" si="38"/>
        <v>117614025</v>
      </c>
      <c r="F440" s="7">
        <f t="shared" si="38"/>
        <v>100</v>
      </c>
      <c r="G440" s="7">
        <f t="shared" si="39"/>
        <v>43.194600000000001</v>
      </c>
      <c r="H440" s="7">
        <f t="shared" si="40"/>
        <v>33.194600000000001</v>
      </c>
      <c r="I440" s="7">
        <f t="shared" si="41"/>
        <v>1101.8814691600001</v>
      </c>
      <c r="J440" s="77"/>
      <c r="K440" s="36" t="s">
        <v>42</v>
      </c>
      <c r="L440" s="26">
        <f>ROUND((O410^2)/O414,4)</f>
        <v>1261.6167</v>
      </c>
      <c r="M440" s="77"/>
      <c r="N440" s="26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</row>
    <row r="441" spans="1:25">
      <c r="A441" s="6"/>
      <c r="B441" s="15">
        <v>30192</v>
      </c>
      <c r="C441" s="15">
        <v>6</v>
      </c>
      <c r="D441" s="7">
        <f t="shared" si="37"/>
        <v>181152</v>
      </c>
      <c r="E441" s="7">
        <f t="shared" si="38"/>
        <v>911556864</v>
      </c>
      <c r="F441" s="7">
        <f t="shared" si="38"/>
        <v>36</v>
      </c>
      <c r="G441" s="7">
        <f t="shared" si="39"/>
        <v>39.325200000000002</v>
      </c>
      <c r="H441" s="7">
        <f t="shared" si="40"/>
        <v>33.325200000000002</v>
      </c>
      <c r="I441" s="7">
        <f t="shared" si="41"/>
        <v>1110.5689550400002</v>
      </c>
      <c r="J441" s="77"/>
      <c r="K441" s="36" t="s">
        <v>43</v>
      </c>
      <c r="L441" s="26">
        <f>O417</f>
        <v>524434.89450000005</v>
      </c>
      <c r="M441" s="77"/>
      <c r="N441" s="26">
        <f>M432</f>
        <v>45.363599999999998</v>
      </c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</row>
    <row r="442" spans="1:25">
      <c r="A442" s="6"/>
      <c r="B442" s="15">
        <v>29244</v>
      </c>
      <c r="C442" s="15">
        <v>2</v>
      </c>
      <c r="D442" s="7">
        <f t="shared" si="37"/>
        <v>58488</v>
      </c>
      <c r="E442" s="7">
        <f t="shared" si="38"/>
        <v>855211536</v>
      </c>
      <c r="F442" s="7">
        <f t="shared" si="38"/>
        <v>4</v>
      </c>
      <c r="G442" s="7">
        <f t="shared" si="39"/>
        <v>39.514800000000001</v>
      </c>
      <c r="H442" s="7">
        <f t="shared" si="40"/>
        <v>37.514800000000001</v>
      </c>
      <c r="I442" s="7">
        <f t="shared" si="41"/>
        <v>1407.3602190400002</v>
      </c>
      <c r="J442" s="77"/>
      <c r="K442" s="36" t="s">
        <v>59</v>
      </c>
      <c r="L442" s="26">
        <f>ROUND(SQRT(L439/(L405-2)),4)</f>
        <v>66.577100000000002</v>
      </c>
      <c r="M442" s="77"/>
      <c r="N442" s="26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</row>
    <row r="443" spans="1:25" ht="13.5" thickBot="1">
      <c r="A443" s="6"/>
      <c r="B443" s="15">
        <v>28880</v>
      </c>
      <c r="C443" s="15">
        <v>3</v>
      </c>
      <c r="D443" s="7">
        <f t="shared" si="37"/>
        <v>86640</v>
      </c>
      <c r="E443" s="7">
        <f t="shared" si="38"/>
        <v>834054400</v>
      </c>
      <c r="F443" s="7">
        <f t="shared" si="38"/>
        <v>9</v>
      </c>
      <c r="G443" s="7">
        <f t="shared" si="39"/>
        <v>39.587600000000002</v>
      </c>
      <c r="H443" s="7">
        <f t="shared" si="40"/>
        <v>36.587600000000002</v>
      </c>
      <c r="I443" s="7">
        <f t="shared" si="41"/>
        <v>1338.6524737600002</v>
      </c>
      <c r="J443" s="77"/>
      <c r="K443" s="37"/>
      <c r="L443" s="27"/>
      <c r="M443" s="37"/>
      <c r="N443" s="27">
        <f>ROUND(N439*SQRT(O414/O417),4)</f>
        <v>-5.4399999999999997E-2</v>
      </c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</row>
    <row r="444" spans="1:25">
      <c r="A444" s="6"/>
      <c r="B444" s="15">
        <v>28742</v>
      </c>
      <c r="C444" s="15">
        <v>11</v>
      </c>
      <c r="D444" s="7">
        <f t="shared" si="37"/>
        <v>316162</v>
      </c>
      <c r="E444" s="7">
        <f t="shared" si="38"/>
        <v>826102564</v>
      </c>
      <c r="F444" s="7">
        <f t="shared" si="38"/>
        <v>121</v>
      </c>
      <c r="G444" s="7">
        <f t="shared" si="39"/>
        <v>39.615200000000002</v>
      </c>
      <c r="H444" s="7">
        <f t="shared" si="40"/>
        <v>28.615200000000002</v>
      </c>
      <c r="I444" s="7">
        <f t="shared" si="41"/>
        <v>818.82967104000011</v>
      </c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</row>
    <row r="445" spans="1:25" ht="13.5" thickBot="1">
      <c r="A445" s="6"/>
      <c r="B445" s="15">
        <v>14921</v>
      </c>
      <c r="C445" s="15">
        <v>9</v>
      </c>
      <c r="D445" s="7">
        <f t="shared" si="37"/>
        <v>134289</v>
      </c>
      <c r="E445" s="7">
        <f t="shared" si="38"/>
        <v>222636241</v>
      </c>
      <c r="F445" s="7">
        <f t="shared" si="38"/>
        <v>81</v>
      </c>
      <c r="G445" s="7">
        <f t="shared" si="39"/>
        <v>42.379399999999997</v>
      </c>
      <c r="H445" s="7">
        <f t="shared" si="40"/>
        <v>33.379399999999997</v>
      </c>
      <c r="I445" s="7">
        <f t="shared" si="41"/>
        <v>1114.1843443599998</v>
      </c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</row>
    <row r="446" spans="1:25">
      <c r="A446" s="6"/>
      <c r="B446" s="15">
        <v>23135</v>
      </c>
      <c r="C446" s="15">
        <v>7</v>
      </c>
      <c r="D446" s="7">
        <f t="shared" si="37"/>
        <v>161945</v>
      </c>
      <c r="E446" s="7">
        <f t="shared" si="38"/>
        <v>535228225</v>
      </c>
      <c r="F446" s="7">
        <f t="shared" si="38"/>
        <v>49</v>
      </c>
      <c r="G446" s="7">
        <f t="shared" si="39"/>
        <v>40.736600000000003</v>
      </c>
      <c r="H446" s="7">
        <f t="shared" si="40"/>
        <v>33.736600000000003</v>
      </c>
      <c r="I446" s="7">
        <f t="shared" si="41"/>
        <v>1138.1581795600002</v>
      </c>
      <c r="J446" s="77"/>
      <c r="K446" s="20"/>
      <c r="L446" s="20" t="s">
        <v>55</v>
      </c>
      <c r="M446" s="20" t="s">
        <v>48</v>
      </c>
      <c r="N446" s="20" t="s">
        <v>49</v>
      </c>
      <c r="O446" s="20" t="s">
        <v>50</v>
      </c>
      <c r="P446" s="20" t="s">
        <v>51</v>
      </c>
      <c r="Q446" s="77"/>
      <c r="R446" s="77"/>
      <c r="S446" s="77"/>
      <c r="T446" s="77"/>
      <c r="U446" s="77"/>
      <c r="V446" s="77"/>
      <c r="W446" s="77"/>
      <c r="X446" s="77"/>
      <c r="Y446" s="77"/>
    </row>
    <row r="447" spans="1:25">
      <c r="A447" s="6"/>
      <c r="B447" s="15">
        <v>12404</v>
      </c>
      <c r="C447" s="15">
        <v>4</v>
      </c>
      <c r="D447" s="7">
        <f t="shared" si="37"/>
        <v>49616</v>
      </c>
      <c r="E447" s="7">
        <f t="shared" si="38"/>
        <v>153859216</v>
      </c>
      <c r="F447" s="7">
        <f t="shared" si="38"/>
        <v>16</v>
      </c>
      <c r="G447" s="7">
        <f t="shared" si="39"/>
        <v>42.882800000000003</v>
      </c>
      <c r="H447" s="7">
        <f t="shared" si="40"/>
        <v>38.882800000000003</v>
      </c>
      <c r="I447" s="7">
        <f t="shared" si="41"/>
        <v>1511.8721358400003</v>
      </c>
      <c r="J447" s="77"/>
      <c r="K447" s="76" t="s">
        <v>56</v>
      </c>
      <c r="L447" s="18" t="s">
        <v>45</v>
      </c>
      <c r="M447" s="18">
        <v>1</v>
      </c>
      <c r="N447" s="18">
        <f>L440</f>
        <v>1261.6167</v>
      </c>
      <c r="O447" s="18">
        <f>N447/M447</f>
        <v>1261.6167</v>
      </c>
      <c r="P447" s="18">
        <f>O447/O448</f>
        <v>0.28462799681136236</v>
      </c>
      <c r="Q447" s="77"/>
      <c r="R447" s="77"/>
      <c r="S447" s="77"/>
      <c r="T447" s="77"/>
      <c r="U447" s="77"/>
      <c r="V447" s="77"/>
      <c r="W447" s="77"/>
      <c r="X447" s="77"/>
      <c r="Y447" s="77"/>
    </row>
    <row r="448" spans="1:25">
      <c r="A448" s="6"/>
      <c r="B448" s="15">
        <v>59246</v>
      </c>
      <c r="C448" s="15">
        <v>6</v>
      </c>
      <c r="D448" s="7">
        <f t="shared" si="37"/>
        <v>355476</v>
      </c>
      <c r="E448" s="7">
        <f t="shared" si="38"/>
        <v>3510088516</v>
      </c>
      <c r="F448" s="7">
        <f t="shared" si="38"/>
        <v>36</v>
      </c>
      <c r="G448" s="7">
        <f t="shared" si="39"/>
        <v>33.514400000000002</v>
      </c>
      <c r="H448" s="7">
        <f t="shared" si="40"/>
        <v>27.514399999999998</v>
      </c>
      <c r="I448" s="7">
        <f t="shared" si="41"/>
        <v>757.04220735999991</v>
      </c>
      <c r="J448" s="77"/>
      <c r="K448" s="76" t="s">
        <v>57</v>
      </c>
      <c r="L448" s="18" t="s">
        <v>46</v>
      </c>
      <c r="M448" s="77">
        <v>118</v>
      </c>
      <c r="N448" s="18">
        <f>L439</f>
        <v>523036.28690000001</v>
      </c>
      <c r="O448" s="18">
        <f>N448/M448</f>
        <v>4432.5109059322031</v>
      </c>
      <c r="P448" s="18"/>
      <c r="Q448" s="77"/>
      <c r="R448" s="77"/>
      <c r="S448" s="77"/>
      <c r="T448" s="77"/>
      <c r="U448" s="77"/>
      <c r="V448" s="77"/>
      <c r="W448" s="77"/>
      <c r="X448" s="77"/>
      <c r="Y448" s="77"/>
    </row>
    <row r="449" spans="1:25" ht="13.5" thickBot="1">
      <c r="A449" s="6"/>
      <c r="B449" s="15">
        <v>63682</v>
      </c>
      <c r="C449" s="15">
        <v>2</v>
      </c>
      <c r="D449" s="7">
        <f t="shared" si="37"/>
        <v>127364</v>
      </c>
      <c r="E449" s="7">
        <f t="shared" si="38"/>
        <v>4055397124</v>
      </c>
      <c r="F449" s="7">
        <f t="shared" si="38"/>
        <v>4</v>
      </c>
      <c r="G449" s="7">
        <f t="shared" si="39"/>
        <v>32.627200000000002</v>
      </c>
      <c r="H449" s="7">
        <f t="shared" si="40"/>
        <v>30.627199999999998</v>
      </c>
      <c r="I449" s="7">
        <f t="shared" si="41"/>
        <v>938.02537983999991</v>
      </c>
      <c r="J449" s="77"/>
      <c r="K449" s="24" t="s">
        <v>58</v>
      </c>
      <c r="L449" s="19" t="s">
        <v>47</v>
      </c>
      <c r="M449" s="28">
        <v>119</v>
      </c>
      <c r="N449" s="19">
        <f>L441</f>
        <v>524434.89450000005</v>
      </c>
      <c r="O449" s="19"/>
      <c r="P449" s="19"/>
      <c r="Q449" s="77"/>
      <c r="R449" s="77"/>
      <c r="S449" s="77"/>
      <c r="T449" s="77"/>
      <c r="U449" s="77"/>
      <c r="V449" s="77"/>
      <c r="W449" s="77"/>
      <c r="X449" s="77"/>
      <c r="Y449" s="77"/>
    </row>
    <row r="450" spans="1:25">
      <c r="A450" s="6"/>
      <c r="B450" s="15">
        <v>63338</v>
      </c>
      <c r="C450" s="15">
        <v>3</v>
      </c>
      <c r="D450" s="7">
        <f t="shared" ref="D450:D504" si="42">B450*C450</f>
        <v>190014</v>
      </c>
      <c r="E450" s="7">
        <f t="shared" ref="E450:F504" si="43">B450^2</f>
        <v>4011702244</v>
      </c>
      <c r="F450" s="7">
        <f t="shared" si="43"/>
        <v>9</v>
      </c>
      <c r="G450" s="7">
        <f t="shared" ref="G450:G504" si="44">ROUND($M$432+$M$429*B450,4)</f>
        <v>32.695999999999998</v>
      </c>
      <c r="H450" s="7">
        <f t="shared" ref="H450:H504" si="45">ROUND(G450-C450,4)</f>
        <v>29.696000000000002</v>
      </c>
      <c r="I450" s="7">
        <f t="shared" ref="I450:I504" si="46">H450^2</f>
        <v>881.85241600000006</v>
      </c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</row>
    <row r="451" spans="1:25">
      <c r="A451" s="6"/>
      <c r="B451" s="15">
        <v>58289</v>
      </c>
      <c r="C451" s="15">
        <v>9</v>
      </c>
      <c r="D451" s="7">
        <f t="shared" si="42"/>
        <v>524601</v>
      </c>
      <c r="E451" s="7">
        <f t="shared" si="43"/>
        <v>3397607521</v>
      </c>
      <c r="F451" s="7">
        <f t="shared" si="43"/>
        <v>81</v>
      </c>
      <c r="G451" s="7">
        <f t="shared" si="44"/>
        <v>33.705800000000004</v>
      </c>
      <c r="H451" s="7">
        <f t="shared" si="45"/>
        <v>24.7058</v>
      </c>
      <c r="I451" s="7">
        <f t="shared" si="46"/>
        <v>610.37655364</v>
      </c>
      <c r="J451" s="77"/>
      <c r="K451" s="73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</row>
    <row r="452" spans="1:25">
      <c r="A452" s="6"/>
      <c r="B452" s="15">
        <v>60156</v>
      </c>
      <c r="C452" s="15">
        <v>5</v>
      </c>
      <c r="D452" s="7">
        <f t="shared" si="42"/>
        <v>300780</v>
      </c>
      <c r="E452" s="7">
        <f t="shared" si="43"/>
        <v>3618744336</v>
      </c>
      <c r="F452" s="7">
        <f t="shared" si="43"/>
        <v>25</v>
      </c>
      <c r="G452" s="7">
        <f t="shared" si="44"/>
        <v>33.3324</v>
      </c>
      <c r="H452" s="7">
        <f t="shared" si="45"/>
        <v>28.3324</v>
      </c>
      <c r="I452" s="7">
        <f t="shared" si="46"/>
        <v>802.72488976</v>
      </c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</row>
    <row r="453" spans="1:25">
      <c r="A453" s="6"/>
      <c r="B453" s="15">
        <v>31800</v>
      </c>
      <c r="C453" s="15">
        <v>6</v>
      </c>
      <c r="D453" s="7">
        <f t="shared" si="42"/>
        <v>190800</v>
      </c>
      <c r="E453" s="7">
        <f t="shared" si="43"/>
        <v>1011240000</v>
      </c>
      <c r="F453" s="7">
        <f t="shared" si="43"/>
        <v>36</v>
      </c>
      <c r="G453" s="7">
        <f t="shared" si="44"/>
        <v>39.003599999999999</v>
      </c>
      <c r="H453" s="7">
        <f t="shared" si="45"/>
        <v>33.003599999999999</v>
      </c>
      <c r="I453" s="7">
        <f t="shared" si="46"/>
        <v>1089.23761296</v>
      </c>
      <c r="J453" s="77"/>
      <c r="K453" s="14"/>
      <c r="L453" s="14"/>
      <c r="M453" s="14"/>
      <c r="N453" s="14"/>
      <c r="O453" s="14"/>
      <c r="P453" s="77"/>
      <c r="Q453" s="77"/>
      <c r="R453" s="77"/>
      <c r="S453" s="77"/>
      <c r="T453" s="77"/>
      <c r="U453" s="77"/>
      <c r="V453" s="77"/>
      <c r="W453" s="77"/>
      <c r="X453" s="77"/>
      <c r="Y453" s="77"/>
    </row>
    <row r="454" spans="1:25">
      <c r="A454" s="6"/>
      <c r="B454" s="15">
        <v>12842</v>
      </c>
      <c r="C454" s="15">
        <v>6</v>
      </c>
      <c r="D454" s="7">
        <f t="shared" si="42"/>
        <v>77052</v>
      </c>
      <c r="E454" s="7">
        <f t="shared" si="43"/>
        <v>164916964</v>
      </c>
      <c r="F454" s="7">
        <f t="shared" si="43"/>
        <v>36</v>
      </c>
      <c r="G454" s="7">
        <f t="shared" si="44"/>
        <v>42.795200000000001</v>
      </c>
      <c r="H454" s="7">
        <f t="shared" si="45"/>
        <v>36.795200000000001</v>
      </c>
      <c r="I454" s="7">
        <f t="shared" si="46"/>
        <v>1353.8867430400001</v>
      </c>
      <c r="J454" s="77"/>
      <c r="K454" s="29" t="s">
        <v>80</v>
      </c>
      <c r="L454" s="14">
        <v>0.05</v>
      </c>
      <c r="M454" s="14"/>
      <c r="N454" s="14"/>
      <c r="O454" s="14"/>
      <c r="P454" s="77"/>
      <c r="Q454" s="77"/>
      <c r="R454" s="77"/>
      <c r="S454" s="77"/>
      <c r="T454" s="77"/>
      <c r="U454" s="77"/>
      <c r="V454" s="77"/>
      <c r="W454" s="77"/>
      <c r="X454" s="77"/>
      <c r="Y454" s="77"/>
    </row>
    <row r="455" spans="1:25">
      <c r="A455" s="6"/>
      <c r="B455" s="15">
        <v>38795</v>
      </c>
      <c r="C455" s="15">
        <v>2</v>
      </c>
      <c r="D455" s="7">
        <f t="shared" si="42"/>
        <v>77590</v>
      </c>
      <c r="E455" s="7">
        <f t="shared" si="43"/>
        <v>1505052025</v>
      </c>
      <c r="F455" s="7">
        <f t="shared" si="43"/>
        <v>4</v>
      </c>
      <c r="G455" s="7">
        <f t="shared" si="44"/>
        <v>37.604599999999998</v>
      </c>
      <c r="H455" s="7">
        <f t="shared" si="45"/>
        <v>35.604599999999998</v>
      </c>
      <c r="I455" s="7">
        <f t="shared" si="46"/>
        <v>1267.6875411599999</v>
      </c>
      <c r="J455" s="77"/>
      <c r="K455" s="14"/>
      <c r="L455" s="14"/>
      <c r="M455" s="14"/>
      <c r="N455" s="14"/>
      <c r="O455" s="14"/>
      <c r="P455" s="77"/>
      <c r="Q455" s="77"/>
      <c r="R455" s="77"/>
      <c r="S455" s="77"/>
      <c r="T455" s="77"/>
      <c r="U455" s="77"/>
      <c r="V455" s="77"/>
      <c r="W455" s="77"/>
      <c r="X455" s="77"/>
      <c r="Y455" s="77"/>
    </row>
    <row r="456" spans="1:25">
      <c r="A456" s="6"/>
      <c r="B456" s="15">
        <v>41484</v>
      </c>
      <c r="C456" s="15">
        <v>5</v>
      </c>
      <c r="D456" s="7">
        <f t="shared" si="42"/>
        <v>207420</v>
      </c>
      <c r="E456" s="7">
        <f t="shared" si="43"/>
        <v>1720922256</v>
      </c>
      <c r="F456" s="7">
        <f t="shared" si="43"/>
        <v>25</v>
      </c>
      <c r="G456" s="7">
        <f t="shared" si="44"/>
        <v>37.066800000000001</v>
      </c>
      <c r="H456" s="7">
        <f t="shared" si="45"/>
        <v>32.066800000000001</v>
      </c>
      <c r="I456" s="7">
        <f t="shared" si="46"/>
        <v>1028.2796622400001</v>
      </c>
      <c r="J456" s="77"/>
      <c r="K456" s="14"/>
      <c r="L456" s="14"/>
      <c r="M456" s="14"/>
      <c r="N456" s="14"/>
      <c r="O456" s="14"/>
      <c r="P456" s="77"/>
      <c r="Q456" s="77"/>
      <c r="R456" s="77"/>
      <c r="S456" s="77"/>
      <c r="T456" s="77"/>
      <c r="U456" s="77"/>
      <c r="V456" s="77"/>
      <c r="W456" s="77"/>
      <c r="X456" s="77"/>
      <c r="Y456" s="77"/>
    </row>
    <row r="457" spans="1:25">
      <c r="A457" s="6"/>
      <c r="B457" s="15">
        <v>41634</v>
      </c>
      <c r="C457" s="15">
        <v>8</v>
      </c>
      <c r="D457" s="7">
        <f t="shared" si="42"/>
        <v>333072</v>
      </c>
      <c r="E457" s="7">
        <f t="shared" si="43"/>
        <v>1733389956</v>
      </c>
      <c r="F457" s="7">
        <f t="shared" si="43"/>
        <v>64</v>
      </c>
      <c r="G457" s="7">
        <f t="shared" si="44"/>
        <v>37.036799999999999</v>
      </c>
      <c r="H457" s="7">
        <f t="shared" si="45"/>
        <v>29.036799999999999</v>
      </c>
      <c r="I457" s="7">
        <f t="shared" si="46"/>
        <v>843.13575423999998</v>
      </c>
      <c r="J457" s="77"/>
      <c r="K457" s="14"/>
      <c r="L457" s="14"/>
      <c r="M457" s="14"/>
      <c r="N457" s="14"/>
      <c r="O457" s="14"/>
      <c r="P457" s="77"/>
      <c r="Q457" s="77"/>
      <c r="R457" s="77"/>
      <c r="S457" s="77"/>
      <c r="T457" s="77"/>
      <c r="U457" s="77"/>
      <c r="V457" s="77"/>
      <c r="W457" s="77"/>
      <c r="X457" s="77"/>
      <c r="Y457" s="77"/>
    </row>
    <row r="458" spans="1:25">
      <c r="A458" s="6"/>
      <c r="B458" s="15">
        <v>42082</v>
      </c>
      <c r="C458" s="15">
        <v>2</v>
      </c>
      <c r="D458" s="7">
        <f t="shared" si="42"/>
        <v>84164</v>
      </c>
      <c r="E458" s="7">
        <f t="shared" si="43"/>
        <v>1770894724</v>
      </c>
      <c r="F458" s="7">
        <f t="shared" si="43"/>
        <v>4</v>
      </c>
      <c r="G458" s="7">
        <f t="shared" si="44"/>
        <v>36.947200000000002</v>
      </c>
      <c r="H458" s="7">
        <f t="shared" si="45"/>
        <v>34.947200000000002</v>
      </c>
      <c r="I458" s="7">
        <f t="shared" si="46"/>
        <v>1221.3067878400002</v>
      </c>
      <c r="J458" s="77"/>
      <c r="K458" s="29" t="s">
        <v>133</v>
      </c>
      <c r="L458" s="14">
        <f>P447</f>
        <v>0.28462799681136236</v>
      </c>
      <c r="M458" s="14"/>
      <c r="N458" s="14"/>
      <c r="O458" s="14"/>
      <c r="P458" s="77"/>
      <c r="Q458" s="77"/>
      <c r="R458" s="77"/>
      <c r="S458" s="77"/>
      <c r="T458" s="77"/>
      <c r="U458" s="77"/>
      <c r="V458" s="77"/>
      <c r="W458" s="77"/>
      <c r="X458" s="77"/>
      <c r="Y458" s="77"/>
    </row>
    <row r="459" spans="1:25">
      <c r="A459" s="6"/>
      <c r="B459" s="15">
        <v>47052</v>
      </c>
      <c r="C459" s="15">
        <v>4</v>
      </c>
      <c r="D459" s="7">
        <f t="shared" si="42"/>
        <v>188208</v>
      </c>
      <c r="E459" s="7">
        <f t="shared" si="43"/>
        <v>2213890704</v>
      </c>
      <c r="F459" s="7">
        <f t="shared" si="43"/>
        <v>16</v>
      </c>
      <c r="G459" s="7">
        <f t="shared" si="44"/>
        <v>35.953200000000002</v>
      </c>
      <c r="H459" s="7">
        <f t="shared" si="45"/>
        <v>31.953199999999999</v>
      </c>
      <c r="I459" s="7">
        <f t="shared" si="46"/>
        <v>1021.0069902399999</v>
      </c>
      <c r="J459" s="77"/>
      <c r="K459" s="14"/>
      <c r="L459" s="14"/>
      <c r="M459" s="14"/>
      <c r="N459" s="14"/>
      <c r="O459" s="14"/>
      <c r="P459" s="77"/>
      <c r="Q459" s="77"/>
      <c r="R459" s="77"/>
      <c r="S459" s="77"/>
      <c r="T459" s="77"/>
      <c r="U459" s="77"/>
      <c r="V459" s="77"/>
      <c r="W459" s="77"/>
      <c r="X459" s="77"/>
      <c r="Y459" s="77"/>
    </row>
    <row r="460" spans="1:25">
      <c r="A460" s="6"/>
      <c r="B460" s="15">
        <v>31461</v>
      </c>
      <c r="C460" s="15">
        <v>5</v>
      </c>
      <c r="D460" s="7">
        <f t="shared" si="42"/>
        <v>157305</v>
      </c>
      <c r="E460" s="7">
        <f t="shared" si="43"/>
        <v>989794521</v>
      </c>
      <c r="F460" s="7">
        <f t="shared" si="43"/>
        <v>25</v>
      </c>
      <c r="G460" s="7">
        <f t="shared" si="44"/>
        <v>39.071399999999997</v>
      </c>
      <c r="H460" s="7">
        <f t="shared" si="45"/>
        <v>34.071399999999997</v>
      </c>
      <c r="I460" s="7">
        <f t="shared" si="46"/>
        <v>1160.8602979599998</v>
      </c>
      <c r="J460" s="77"/>
      <c r="K460" s="14"/>
      <c r="L460" s="14"/>
      <c r="M460" s="14"/>
      <c r="N460" s="14"/>
      <c r="O460" s="14"/>
      <c r="P460" s="77"/>
      <c r="Q460" s="77"/>
      <c r="R460" s="77"/>
      <c r="S460" s="77"/>
      <c r="T460" s="77"/>
      <c r="U460" s="77"/>
      <c r="V460" s="77"/>
      <c r="W460" s="77"/>
      <c r="X460" s="77"/>
      <c r="Y460" s="77"/>
    </row>
    <row r="461" spans="1:25">
      <c r="A461" s="6"/>
      <c r="B461" s="15">
        <v>14429</v>
      </c>
      <c r="C461" s="15">
        <v>3</v>
      </c>
      <c r="D461" s="7">
        <f t="shared" si="42"/>
        <v>43287</v>
      </c>
      <c r="E461" s="7">
        <f t="shared" si="43"/>
        <v>208196041</v>
      </c>
      <c r="F461" s="7">
        <f t="shared" si="43"/>
        <v>9</v>
      </c>
      <c r="G461" s="7">
        <f t="shared" si="44"/>
        <v>42.477800000000002</v>
      </c>
      <c r="H461" s="7">
        <f t="shared" si="45"/>
        <v>39.477800000000002</v>
      </c>
      <c r="I461" s="7">
        <f t="shared" si="46"/>
        <v>1558.4966928400002</v>
      </c>
      <c r="J461" s="77"/>
      <c r="K461" s="14" t="str">
        <f>"f(0,05);("&amp;M447&amp;","&amp;M448&amp;")="</f>
        <v>f(0,05);(1,118)=</v>
      </c>
      <c r="L461" s="14">
        <f>ROUND(_xlfn.F.INV.RT(L454,M447,M448),4)</f>
        <v>3.9215</v>
      </c>
      <c r="M461" s="14"/>
      <c r="N461" s="14"/>
      <c r="O461" s="14"/>
      <c r="P461" s="77"/>
      <c r="Q461" s="77"/>
      <c r="R461" s="77"/>
      <c r="S461" s="77"/>
      <c r="T461" s="77"/>
      <c r="U461" s="77"/>
      <c r="V461" s="77"/>
      <c r="W461" s="77"/>
      <c r="X461" s="77"/>
      <c r="Y461" s="77"/>
    </row>
    <row r="462" spans="1:25">
      <c r="A462" s="6"/>
      <c r="B462" s="15">
        <v>78716</v>
      </c>
      <c r="C462" s="15">
        <v>1</v>
      </c>
      <c r="D462" s="7">
        <f t="shared" si="42"/>
        <v>78716</v>
      </c>
      <c r="E462" s="7">
        <f t="shared" si="43"/>
        <v>6196208656</v>
      </c>
      <c r="F462" s="7">
        <f t="shared" si="43"/>
        <v>1</v>
      </c>
      <c r="G462" s="7">
        <f t="shared" si="44"/>
        <v>29.6204</v>
      </c>
      <c r="H462" s="7">
        <f t="shared" si="45"/>
        <v>28.6204</v>
      </c>
      <c r="I462" s="7">
        <f t="shared" si="46"/>
        <v>819.12729616000001</v>
      </c>
      <c r="J462" s="77"/>
      <c r="K462" s="14"/>
      <c r="L462" s="14"/>
      <c r="M462" s="14"/>
      <c r="N462" s="14"/>
      <c r="O462" s="14"/>
      <c r="P462" s="77"/>
      <c r="Q462" s="77"/>
      <c r="R462" s="77"/>
      <c r="S462" s="77"/>
      <c r="T462" s="77"/>
      <c r="U462" s="77"/>
      <c r="V462" s="77"/>
      <c r="W462" s="77"/>
      <c r="X462" s="77"/>
      <c r="Y462" s="77"/>
    </row>
    <row r="463" spans="1:25">
      <c r="A463" s="6"/>
      <c r="B463" s="15">
        <v>96934</v>
      </c>
      <c r="C463" s="15">
        <v>5</v>
      </c>
      <c r="D463" s="7">
        <f t="shared" si="42"/>
        <v>484670</v>
      </c>
      <c r="E463" s="7">
        <f t="shared" si="43"/>
        <v>9396200356</v>
      </c>
      <c r="F463" s="7">
        <f t="shared" si="43"/>
        <v>25</v>
      </c>
      <c r="G463" s="7">
        <f t="shared" si="44"/>
        <v>25.976800000000001</v>
      </c>
      <c r="H463" s="7">
        <f t="shared" si="45"/>
        <v>20.976800000000001</v>
      </c>
      <c r="I463" s="7">
        <f t="shared" si="46"/>
        <v>440.02613824000002</v>
      </c>
      <c r="J463" s="77"/>
      <c r="K463" s="14" t="str">
        <f>IF(L461&lt;=L458, "R: Como  " &amp;ROUND(L461,4) &amp;" &lt; "&amp;ROUND(L458,4)&amp;" o modelo é significativo","R: Como  " &amp;ROUND(L461,4) &amp;" &gt; "&amp;ROUND(L458,4)&amp;" o modelo não é significativo" )</f>
        <v>R: Como  3,9215 &gt; 0,2846 o modelo não é significativo</v>
      </c>
      <c r="L463" s="14"/>
      <c r="M463" s="14"/>
      <c r="N463" s="14"/>
      <c r="O463" s="14"/>
      <c r="P463" s="77"/>
      <c r="Q463" s="77"/>
      <c r="R463" s="77"/>
      <c r="S463" s="77"/>
      <c r="T463" s="77"/>
      <c r="U463" s="77"/>
      <c r="V463" s="77"/>
      <c r="W463" s="77"/>
      <c r="X463" s="77"/>
      <c r="Y463" s="77"/>
    </row>
    <row r="464" spans="1:25">
      <c r="A464" s="6"/>
      <c r="B464" s="15">
        <v>98744</v>
      </c>
      <c r="C464" s="15">
        <v>1</v>
      </c>
      <c r="D464" s="7">
        <f t="shared" si="42"/>
        <v>98744</v>
      </c>
      <c r="E464" s="7">
        <f t="shared" si="43"/>
        <v>9750377536</v>
      </c>
      <c r="F464" s="7">
        <f t="shared" si="43"/>
        <v>1</v>
      </c>
      <c r="G464" s="7">
        <f t="shared" si="44"/>
        <v>25.614799999999999</v>
      </c>
      <c r="H464" s="7">
        <f t="shared" si="45"/>
        <v>24.614799999999999</v>
      </c>
      <c r="I464" s="7">
        <f t="shared" si="46"/>
        <v>605.8883790399999</v>
      </c>
      <c r="J464" s="77"/>
      <c r="K464" s="14"/>
      <c r="L464" s="14"/>
      <c r="M464" s="14"/>
      <c r="N464" s="14"/>
      <c r="O464" s="14"/>
      <c r="P464" s="77"/>
      <c r="Q464" s="77"/>
      <c r="R464" s="77"/>
      <c r="S464" s="77"/>
      <c r="T464" s="77"/>
      <c r="U464" s="77"/>
      <c r="V464" s="77"/>
      <c r="W464" s="77"/>
      <c r="X464" s="77"/>
      <c r="Y464" s="77"/>
    </row>
    <row r="465" spans="1:20">
      <c r="A465" s="6"/>
      <c r="B465" s="15">
        <v>98063</v>
      </c>
      <c r="C465" s="15">
        <v>4</v>
      </c>
      <c r="D465" s="7">
        <f t="shared" si="42"/>
        <v>392252</v>
      </c>
      <c r="E465" s="7">
        <f t="shared" si="43"/>
        <v>9616351969</v>
      </c>
      <c r="F465" s="7">
        <f t="shared" si="43"/>
        <v>16</v>
      </c>
      <c r="G465" s="7">
        <f t="shared" si="44"/>
        <v>25.751000000000001</v>
      </c>
      <c r="H465" s="7">
        <f t="shared" si="45"/>
        <v>21.751000000000001</v>
      </c>
      <c r="I465" s="7">
        <f t="shared" si="46"/>
        <v>473.10600100000005</v>
      </c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>
      <c r="A466" s="6"/>
      <c r="B466" s="15">
        <v>88546</v>
      </c>
      <c r="C466" s="15">
        <v>1</v>
      </c>
      <c r="D466" s="7">
        <f t="shared" si="42"/>
        <v>88546</v>
      </c>
      <c r="E466" s="7">
        <f t="shared" si="43"/>
        <v>7840394116</v>
      </c>
      <c r="F466" s="7">
        <f t="shared" si="43"/>
        <v>1</v>
      </c>
      <c r="G466" s="7">
        <f t="shared" si="44"/>
        <v>27.654399999999999</v>
      </c>
      <c r="H466" s="7">
        <f t="shared" si="45"/>
        <v>26.654399999999999</v>
      </c>
      <c r="I466" s="7">
        <f t="shared" si="46"/>
        <v>710.45703935999995</v>
      </c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>
      <c r="A467" s="6"/>
      <c r="B467" s="15">
        <v>41386</v>
      </c>
      <c r="C467" s="15">
        <v>2</v>
      </c>
      <c r="D467" s="7">
        <f t="shared" si="42"/>
        <v>82772</v>
      </c>
      <c r="E467" s="7">
        <f t="shared" si="43"/>
        <v>1712800996</v>
      </c>
      <c r="F467" s="7">
        <f t="shared" si="43"/>
        <v>4</v>
      </c>
      <c r="G467" s="7">
        <f t="shared" si="44"/>
        <v>37.086399999999998</v>
      </c>
      <c r="H467" s="7">
        <f t="shared" si="45"/>
        <v>35.086399999999998</v>
      </c>
      <c r="I467" s="7">
        <f t="shared" si="46"/>
        <v>1231.0554649599999</v>
      </c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>
      <c r="A468" s="6"/>
      <c r="B468" s="15">
        <v>14485</v>
      </c>
      <c r="C468" s="15">
        <v>6</v>
      </c>
      <c r="D468" s="7">
        <f t="shared" si="42"/>
        <v>86910</v>
      </c>
      <c r="E468" s="7">
        <f t="shared" si="43"/>
        <v>209815225</v>
      </c>
      <c r="F468" s="7">
        <f t="shared" si="43"/>
        <v>36</v>
      </c>
      <c r="G468" s="7">
        <f t="shared" si="44"/>
        <v>42.4666</v>
      </c>
      <c r="H468" s="7">
        <f t="shared" si="45"/>
        <v>36.4666</v>
      </c>
      <c r="I468" s="7">
        <f t="shared" si="46"/>
        <v>1329.81291556</v>
      </c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>
      <c r="A469" s="6"/>
      <c r="B469" s="15">
        <v>53464</v>
      </c>
      <c r="C469" s="15">
        <v>0</v>
      </c>
      <c r="D469" s="7">
        <f t="shared" si="42"/>
        <v>0</v>
      </c>
      <c r="E469" s="7">
        <f t="shared" si="43"/>
        <v>2858399296</v>
      </c>
      <c r="F469" s="7">
        <f t="shared" si="43"/>
        <v>0</v>
      </c>
      <c r="G469" s="7">
        <f t="shared" si="44"/>
        <v>34.6708</v>
      </c>
      <c r="H469" s="7">
        <f t="shared" si="45"/>
        <v>34.6708</v>
      </c>
      <c r="I469" s="7">
        <f t="shared" si="46"/>
        <v>1202.0643726400001</v>
      </c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>
      <c r="A470" s="6"/>
      <c r="B470" s="15">
        <v>57452</v>
      </c>
      <c r="C470" s="15">
        <v>5</v>
      </c>
      <c r="D470" s="7">
        <f t="shared" si="42"/>
        <v>287260</v>
      </c>
      <c r="E470" s="7">
        <f t="shared" si="43"/>
        <v>3300732304</v>
      </c>
      <c r="F470" s="7">
        <f t="shared" si="43"/>
        <v>25</v>
      </c>
      <c r="G470" s="7">
        <f t="shared" si="44"/>
        <v>33.873199999999997</v>
      </c>
      <c r="H470" s="7">
        <f t="shared" si="45"/>
        <v>28.873200000000001</v>
      </c>
      <c r="I470" s="7">
        <f t="shared" si="46"/>
        <v>833.66167824000001</v>
      </c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>
      <c r="A471" s="6"/>
      <c r="B471" s="15">
        <v>53345</v>
      </c>
      <c r="C471" s="15">
        <v>3</v>
      </c>
      <c r="D471" s="7">
        <f t="shared" si="42"/>
        <v>160035</v>
      </c>
      <c r="E471" s="7">
        <f t="shared" si="43"/>
        <v>2845689025</v>
      </c>
      <c r="F471" s="7">
        <f t="shared" si="43"/>
        <v>9</v>
      </c>
      <c r="G471" s="7">
        <f t="shared" si="44"/>
        <v>34.694600000000001</v>
      </c>
      <c r="H471" s="7">
        <f t="shared" si="45"/>
        <v>31.694600000000001</v>
      </c>
      <c r="I471" s="7">
        <f t="shared" si="46"/>
        <v>1004.5476691600001</v>
      </c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>
      <c r="A472" s="6"/>
      <c r="B472" s="15">
        <v>54101</v>
      </c>
      <c r="C472" s="15">
        <v>1</v>
      </c>
      <c r="D472" s="7">
        <f t="shared" si="42"/>
        <v>54101</v>
      </c>
      <c r="E472" s="7">
        <f t="shared" si="43"/>
        <v>2926918201</v>
      </c>
      <c r="F472" s="7">
        <f t="shared" si="43"/>
        <v>1</v>
      </c>
      <c r="G472" s="7">
        <f t="shared" si="44"/>
        <v>34.543399999999998</v>
      </c>
      <c r="H472" s="7">
        <f t="shared" si="45"/>
        <v>33.543399999999998</v>
      </c>
      <c r="I472" s="7">
        <f t="shared" si="46"/>
        <v>1125.1596835599998</v>
      </c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>
      <c r="A473" s="6"/>
      <c r="B473" s="15">
        <v>64169</v>
      </c>
      <c r="C473" s="15">
        <v>0</v>
      </c>
      <c r="D473" s="7">
        <f t="shared" si="42"/>
        <v>0</v>
      </c>
      <c r="E473" s="7">
        <f t="shared" si="43"/>
        <v>4117660561</v>
      </c>
      <c r="F473" s="7">
        <f t="shared" si="43"/>
        <v>0</v>
      </c>
      <c r="G473" s="7">
        <f t="shared" si="44"/>
        <v>32.529800000000002</v>
      </c>
      <c r="H473" s="7">
        <f t="shared" si="45"/>
        <v>32.529800000000002</v>
      </c>
      <c r="I473" s="7">
        <f t="shared" si="46"/>
        <v>1058.1878880400002</v>
      </c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>
      <c r="A474" s="6"/>
      <c r="B474" s="15">
        <v>31454</v>
      </c>
      <c r="C474" s="15">
        <v>2</v>
      </c>
      <c r="D474" s="7">
        <f t="shared" si="42"/>
        <v>62908</v>
      </c>
      <c r="E474" s="7">
        <f t="shared" si="43"/>
        <v>989354116</v>
      </c>
      <c r="F474" s="7">
        <f t="shared" si="43"/>
        <v>4</v>
      </c>
      <c r="G474" s="7">
        <f t="shared" si="44"/>
        <v>39.072800000000001</v>
      </c>
      <c r="H474" s="7">
        <f t="shared" si="45"/>
        <v>37.072800000000001</v>
      </c>
      <c r="I474" s="7">
        <f t="shared" si="46"/>
        <v>1374.39249984</v>
      </c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>
      <c r="A475" s="6"/>
      <c r="B475" s="15">
        <v>17140</v>
      </c>
      <c r="C475" s="15">
        <v>1</v>
      </c>
      <c r="D475" s="7">
        <f t="shared" si="42"/>
        <v>17140</v>
      </c>
      <c r="E475" s="7">
        <f t="shared" si="43"/>
        <v>293779600</v>
      </c>
      <c r="F475" s="7">
        <f t="shared" si="43"/>
        <v>1</v>
      </c>
      <c r="G475" s="7">
        <f t="shared" si="44"/>
        <v>41.935600000000001</v>
      </c>
      <c r="H475" s="7">
        <f t="shared" si="45"/>
        <v>40.935600000000001</v>
      </c>
      <c r="I475" s="7">
        <f t="shared" si="46"/>
        <v>1675.7233473600002</v>
      </c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>
      <c r="A476" s="6"/>
      <c r="B476" s="15">
        <v>52011</v>
      </c>
      <c r="C476" s="15">
        <v>0</v>
      </c>
      <c r="D476" s="7">
        <f t="shared" si="42"/>
        <v>0</v>
      </c>
      <c r="E476" s="7">
        <f t="shared" si="43"/>
        <v>2705144121</v>
      </c>
      <c r="F476" s="7">
        <f t="shared" si="43"/>
        <v>0</v>
      </c>
      <c r="G476" s="7">
        <f t="shared" si="44"/>
        <v>34.961399999999998</v>
      </c>
      <c r="H476" s="7">
        <f t="shared" si="45"/>
        <v>34.961399999999998</v>
      </c>
      <c r="I476" s="7">
        <f t="shared" si="46"/>
        <v>1222.2994899599998</v>
      </c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>
      <c r="A477" s="6"/>
      <c r="B477" s="15">
        <v>52560</v>
      </c>
      <c r="C477" s="15">
        <v>4</v>
      </c>
      <c r="D477" s="7">
        <f t="shared" si="42"/>
        <v>210240</v>
      </c>
      <c r="E477" s="7">
        <f t="shared" si="43"/>
        <v>2762553600</v>
      </c>
      <c r="F477" s="7">
        <f t="shared" si="43"/>
        <v>16</v>
      </c>
      <c r="G477" s="7">
        <f t="shared" si="44"/>
        <v>34.851599999999998</v>
      </c>
      <c r="H477" s="7">
        <f t="shared" si="45"/>
        <v>30.851600000000001</v>
      </c>
      <c r="I477" s="7">
        <f t="shared" si="46"/>
        <v>951.82122256000002</v>
      </c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>
      <c r="A478" s="6"/>
      <c r="B478" s="15">
        <v>49255</v>
      </c>
      <c r="C478" s="15">
        <v>2</v>
      </c>
      <c r="D478" s="7">
        <f t="shared" si="42"/>
        <v>98510</v>
      </c>
      <c r="E478" s="7">
        <f t="shared" si="43"/>
        <v>2426055025</v>
      </c>
      <c r="F478" s="7">
        <f t="shared" si="43"/>
        <v>4</v>
      </c>
      <c r="G478" s="7">
        <f t="shared" si="44"/>
        <v>35.512599999999999</v>
      </c>
      <c r="H478" s="7">
        <f t="shared" si="45"/>
        <v>33.512599999999999</v>
      </c>
      <c r="I478" s="7">
        <f t="shared" si="46"/>
        <v>1123.09435876</v>
      </c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>
      <c r="A479" s="6"/>
      <c r="B479" s="15">
        <v>48583</v>
      </c>
      <c r="C479" s="15">
        <v>5</v>
      </c>
      <c r="D479" s="7">
        <f t="shared" si="42"/>
        <v>242915</v>
      </c>
      <c r="E479" s="7">
        <f t="shared" si="43"/>
        <v>2360307889</v>
      </c>
      <c r="F479" s="7">
        <f t="shared" si="43"/>
        <v>25</v>
      </c>
      <c r="G479" s="7">
        <f t="shared" si="44"/>
        <v>35.646999999999998</v>
      </c>
      <c r="H479" s="7">
        <f t="shared" si="45"/>
        <v>30.646999999999998</v>
      </c>
      <c r="I479" s="7">
        <f t="shared" si="46"/>
        <v>939.23860899999988</v>
      </c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>
      <c r="A480" s="6"/>
      <c r="B480" s="15">
        <v>47849</v>
      </c>
      <c r="C480" s="15">
        <v>1</v>
      </c>
      <c r="D480" s="7">
        <f t="shared" si="42"/>
        <v>47849</v>
      </c>
      <c r="E480" s="7">
        <f t="shared" si="43"/>
        <v>2289526801</v>
      </c>
      <c r="F480" s="7">
        <f t="shared" si="43"/>
        <v>1</v>
      </c>
      <c r="G480" s="7">
        <f t="shared" si="44"/>
        <v>35.793799999999997</v>
      </c>
      <c r="H480" s="7">
        <f t="shared" si="45"/>
        <v>34.793799999999997</v>
      </c>
      <c r="I480" s="7">
        <f t="shared" si="46"/>
        <v>1210.6085184399999</v>
      </c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>
      <c r="A481" s="6"/>
      <c r="B481" s="15">
        <v>31498</v>
      </c>
      <c r="C481" s="15">
        <v>2</v>
      </c>
      <c r="D481" s="7">
        <f t="shared" si="42"/>
        <v>62996</v>
      </c>
      <c r="E481" s="7">
        <f t="shared" si="43"/>
        <v>992124004</v>
      </c>
      <c r="F481" s="7">
        <f t="shared" si="43"/>
        <v>4</v>
      </c>
      <c r="G481" s="7">
        <f t="shared" si="44"/>
        <v>39.064</v>
      </c>
      <c r="H481" s="7">
        <f t="shared" si="45"/>
        <v>37.064</v>
      </c>
      <c r="I481" s="7">
        <f t="shared" si="46"/>
        <v>1373.740096</v>
      </c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>
      <c r="A482" s="6"/>
      <c r="B482" s="15">
        <v>15940</v>
      </c>
      <c r="C482" s="15">
        <v>1</v>
      </c>
      <c r="D482" s="7">
        <f t="shared" si="42"/>
        <v>15940</v>
      </c>
      <c r="E482" s="7">
        <f t="shared" si="43"/>
        <v>254083600</v>
      </c>
      <c r="F482" s="7">
        <f t="shared" si="43"/>
        <v>1</v>
      </c>
      <c r="G482" s="7">
        <f t="shared" si="44"/>
        <v>42.175600000000003</v>
      </c>
      <c r="H482" s="7">
        <f t="shared" si="45"/>
        <v>41.175600000000003</v>
      </c>
      <c r="I482" s="7">
        <f t="shared" si="46"/>
        <v>1695.4300353600001</v>
      </c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>
      <c r="A483" s="6"/>
      <c r="B483" s="15">
        <v>39435</v>
      </c>
      <c r="C483" s="15">
        <v>1</v>
      </c>
      <c r="D483" s="7">
        <f t="shared" si="42"/>
        <v>39435</v>
      </c>
      <c r="E483" s="7">
        <f t="shared" si="43"/>
        <v>1555119225</v>
      </c>
      <c r="F483" s="7">
        <f t="shared" si="43"/>
        <v>1</v>
      </c>
      <c r="G483" s="7">
        <f t="shared" si="44"/>
        <v>37.476599999999998</v>
      </c>
      <c r="H483" s="7">
        <f t="shared" si="45"/>
        <v>36.476599999999998</v>
      </c>
      <c r="I483" s="7">
        <f t="shared" si="46"/>
        <v>1330.5423475599998</v>
      </c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>
      <c r="A484" s="6"/>
      <c r="B484" s="15">
        <v>41873</v>
      </c>
      <c r="C484" s="15">
        <v>1</v>
      </c>
      <c r="D484" s="7">
        <f t="shared" si="42"/>
        <v>41873</v>
      </c>
      <c r="E484" s="7">
        <f t="shared" si="43"/>
        <v>1753348129</v>
      </c>
      <c r="F484" s="7">
        <f t="shared" si="43"/>
        <v>1</v>
      </c>
      <c r="G484" s="7">
        <f t="shared" si="44"/>
        <v>36.988999999999997</v>
      </c>
      <c r="H484" s="7">
        <f t="shared" si="45"/>
        <v>35.988999999999997</v>
      </c>
      <c r="I484" s="7">
        <f t="shared" si="46"/>
        <v>1295.2081209999999</v>
      </c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>
      <c r="A485" s="6"/>
      <c r="B485" s="15">
        <v>43813</v>
      </c>
      <c r="C485" s="15">
        <v>4</v>
      </c>
      <c r="D485" s="7">
        <f t="shared" si="42"/>
        <v>175252</v>
      </c>
      <c r="E485" s="7">
        <f t="shared" si="43"/>
        <v>1919578969</v>
      </c>
      <c r="F485" s="7">
        <f t="shared" si="43"/>
        <v>16</v>
      </c>
      <c r="G485" s="7">
        <f t="shared" si="44"/>
        <v>36.600999999999999</v>
      </c>
      <c r="H485" s="7">
        <f t="shared" si="45"/>
        <v>32.600999999999999</v>
      </c>
      <c r="I485" s="7">
        <f t="shared" si="46"/>
        <v>1062.8252009999999</v>
      </c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>
      <c r="A486" s="6"/>
      <c r="B486" s="15">
        <v>40249</v>
      </c>
      <c r="C486" s="15">
        <v>1</v>
      </c>
      <c r="D486" s="7">
        <f t="shared" si="42"/>
        <v>40249</v>
      </c>
      <c r="E486" s="7">
        <f t="shared" si="43"/>
        <v>1619982001</v>
      </c>
      <c r="F486" s="7">
        <f t="shared" si="43"/>
        <v>1</v>
      </c>
      <c r="G486" s="7">
        <f t="shared" si="44"/>
        <v>37.313800000000001</v>
      </c>
      <c r="H486" s="7">
        <f t="shared" si="45"/>
        <v>36.313800000000001</v>
      </c>
      <c r="I486" s="7">
        <f t="shared" si="46"/>
        <v>1318.69207044</v>
      </c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>
      <c r="A487" s="6"/>
      <c r="B487" s="15">
        <v>46370</v>
      </c>
      <c r="C487" s="15">
        <v>0</v>
      </c>
      <c r="D487" s="7">
        <f t="shared" si="42"/>
        <v>0</v>
      </c>
      <c r="E487" s="7">
        <f t="shared" si="43"/>
        <v>2150176900</v>
      </c>
      <c r="F487" s="7">
        <f t="shared" si="43"/>
        <v>0</v>
      </c>
      <c r="G487" s="7">
        <f t="shared" si="44"/>
        <v>36.089599999999997</v>
      </c>
      <c r="H487" s="7">
        <f t="shared" si="45"/>
        <v>36.089599999999997</v>
      </c>
      <c r="I487" s="7">
        <f t="shared" si="46"/>
        <v>1302.4592281599998</v>
      </c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>
      <c r="A488" s="6"/>
      <c r="B488" s="15">
        <v>30962</v>
      </c>
      <c r="C488" s="15">
        <v>7</v>
      </c>
      <c r="D488" s="7">
        <f t="shared" si="42"/>
        <v>216734</v>
      </c>
      <c r="E488" s="7">
        <f t="shared" si="43"/>
        <v>958645444</v>
      </c>
      <c r="F488" s="7">
        <f t="shared" si="43"/>
        <v>49</v>
      </c>
      <c r="G488" s="7">
        <f t="shared" si="44"/>
        <v>39.171199999999999</v>
      </c>
      <c r="H488" s="7">
        <f t="shared" si="45"/>
        <v>32.171199999999999</v>
      </c>
      <c r="I488" s="7">
        <f t="shared" si="46"/>
        <v>1034.9861094399998</v>
      </c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>
      <c r="A489" s="6"/>
      <c r="B489" s="15">
        <v>15707</v>
      </c>
      <c r="C489" s="15">
        <v>1</v>
      </c>
      <c r="D489" s="7">
        <f t="shared" si="42"/>
        <v>15707</v>
      </c>
      <c r="E489" s="7">
        <f t="shared" si="43"/>
        <v>246709849</v>
      </c>
      <c r="F489" s="7">
        <f t="shared" si="43"/>
        <v>1</v>
      </c>
      <c r="G489" s="7">
        <f t="shared" si="44"/>
        <v>42.222200000000001</v>
      </c>
      <c r="H489" s="7">
        <f t="shared" si="45"/>
        <v>41.222200000000001</v>
      </c>
      <c r="I489" s="7">
        <f t="shared" si="46"/>
        <v>1699.2697728400001</v>
      </c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>
      <c r="A490" s="6"/>
      <c r="B490" s="15">
        <v>43293</v>
      </c>
      <c r="C490" s="15">
        <v>2</v>
      </c>
      <c r="D490" s="7">
        <f t="shared" si="42"/>
        <v>86586</v>
      </c>
      <c r="E490" s="7">
        <f t="shared" si="43"/>
        <v>1874283849</v>
      </c>
      <c r="F490" s="7">
        <f t="shared" si="43"/>
        <v>4</v>
      </c>
      <c r="G490" s="7">
        <f t="shared" si="44"/>
        <v>36.704999999999998</v>
      </c>
      <c r="H490" s="7">
        <f t="shared" si="45"/>
        <v>34.704999999999998</v>
      </c>
      <c r="I490" s="7">
        <f t="shared" si="46"/>
        <v>1204.4370249999999</v>
      </c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>
      <c r="A491" s="6"/>
      <c r="B491" s="15">
        <v>41470</v>
      </c>
      <c r="C491" s="15">
        <v>2</v>
      </c>
      <c r="D491" s="7">
        <f t="shared" si="42"/>
        <v>82940</v>
      </c>
      <c r="E491" s="7">
        <f t="shared" si="43"/>
        <v>1719760900</v>
      </c>
      <c r="F491" s="7">
        <f t="shared" si="43"/>
        <v>4</v>
      </c>
      <c r="G491" s="7">
        <f t="shared" si="44"/>
        <v>37.069600000000001</v>
      </c>
      <c r="H491" s="7">
        <f t="shared" si="45"/>
        <v>35.069600000000001</v>
      </c>
      <c r="I491" s="7">
        <f t="shared" si="46"/>
        <v>1229.87684416</v>
      </c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>
      <c r="A492" s="6"/>
      <c r="B492" s="15">
        <v>44399</v>
      </c>
      <c r="C492" s="15">
        <v>2</v>
      </c>
      <c r="D492" s="7">
        <f t="shared" si="42"/>
        <v>88798</v>
      </c>
      <c r="E492" s="7">
        <f t="shared" si="43"/>
        <v>1971271201</v>
      </c>
      <c r="F492" s="7">
        <f t="shared" si="43"/>
        <v>4</v>
      </c>
      <c r="G492" s="7">
        <f t="shared" si="44"/>
        <v>36.483800000000002</v>
      </c>
      <c r="H492" s="7">
        <f t="shared" si="45"/>
        <v>34.483800000000002</v>
      </c>
      <c r="I492" s="7">
        <f t="shared" si="46"/>
        <v>1189.1324624400002</v>
      </c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>
      <c r="A493" s="6"/>
      <c r="B493" s="15">
        <v>44577</v>
      </c>
      <c r="C493" s="15">
        <v>1</v>
      </c>
      <c r="D493" s="7">
        <f t="shared" si="42"/>
        <v>44577</v>
      </c>
      <c r="E493" s="7">
        <f t="shared" si="43"/>
        <v>1987108929</v>
      </c>
      <c r="F493" s="7">
        <f t="shared" si="43"/>
        <v>1</v>
      </c>
      <c r="G493" s="7">
        <f t="shared" si="44"/>
        <v>36.4482</v>
      </c>
      <c r="H493" s="7">
        <f t="shared" si="45"/>
        <v>35.4482</v>
      </c>
      <c r="I493" s="7">
        <f t="shared" si="46"/>
        <v>1256.57488324</v>
      </c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>
      <c r="A494" s="6"/>
      <c r="B494" s="15">
        <v>45378</v>
      </c>
      <c r="C494" s="15">
        <v>3</v>
      </c>
      <c r="D494" s="7">
        <f t="shared" si="42"/>
        <v>136134</v>
      </c>
      <c r="E494" s="7">
        <f t="shared" si="43"/>
        <v>2059162884</v>
      </c>
      <c r="F494" s="7">
        <f t="shared" si="43"/>
        <v>9</v>
      </c>
      <c r="G494" s="7">
        <f t="shared" si="44"/>
        <v>36.287999999999997</v>
      </c>
      <c r="H494" s="7">
        <f t="shared" si="45"/>
        <v>33.287999999999997</v>
      </c>
      <c r="I494" s="7">
        <f t="shared" si="46"/>
        <v>1108.0909439999998</v>
      </c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>
      <c r="A495" s="6"/>
      <c r="B495" s="15">
        <v>33560</v>
      </c>
      <c r="C495" s="15">
        <v>0</v>
      </c>
      <c r="D495" s="7">
        <f t="shared" si="42"/>
        <v>0</v>
      </c>
      <c r="E495" s="7">
        <f t="shared" si="43"/>
        <v>1126273600</v>
      </c>
      <c r="F495" s="7">
        <f t="shared" si="43"/>
        <v>0</v>
      </c>
      <c r="G495" s="7">
        <f t="shared" si="44"/>
        <v>38.651600000000002</v>
      </c>
      <c r="H495" s="7">
        <f t="shared" si="45"/>
        <v>38.651600000000002</v>
      </c>
      <c r="I495" s="7">
        <f t="shared" si="46"/>
        <v>1493.9461825600001</v>
      </c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>
      <c r="A496" s="6"/>
      <c r="B496" s="15">
        <v>16152</v>
      </c>
      <c r="C496" s="15">
        <v>0</v>
      </c>
      <c r="D496" s="7">
        <f t="shared" si="42"/>
        <v>0</v>
      </c>
      <c r="E496" s="7">
        <f t="shared" si="43"/>
        <v>260887104</v>
      </c>
      <c r="F496" s="7">
        <f t="shared" si="43"/>
        <v>0</v>
      </c>
      <c r="G496" s="7">
        <f t="shared" si="44"/>
        <v>42.133200000000002</v>
      </c>
      <c r="H496" s="7">
        <f t="shared" si="45"/>
        <v>42.133200000000002</v>
      </c>
      <c r="I496" s="7">
        <f t="shared" si="46"/>
        <v>1775.2065422400001</v>
      </c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>
      <c r="A497" s="6"/>
      <c r="B497" s="15">
        <v>42680</v>
      </c>
      <c r="C497" s="15">
        <v>1</v>
      </c>
      <c r="D497" s="7">
        <f t="shared" si="42"/>
        <v>42680</v>
      </c>
      <c r="E497" s="7">
        <f t="shared" si="43"/>
        <v>1821582400</v>
      </c>
      <c r="F497" s="7">
        <f t="shared" si="43"/>
        <v>1</v>
      </c>
      <c r="G497" s="7">
        <f t="shared" si="44"/>
        <v>36.827599999999997</v>
      </c>
      <c r="H497" s="7">
        <f t="shared" si="45"/>
        <v>35.827599999999997</v>
      </c>
      <c r="I497" s="7">
        <f t="shared" si="46"/>
        <v>1283.6169217599997</v>
      </c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>
      <c r="A498" s="6"/>
      <c r="B498" s="15">
        <v>43590</v>
      </c>
      <c r="C498" s="15">
        <v>3</v>
      </c>
      <c r="D498" s="7">
        <f t="shared" si="42"/>
        <v>130770</v>
      </c>
      <c r="E498" s="7">
        <f t="shared" si="43"/>
        <v>1900088100</v>
      </c>
      <c r="F498" s="7">
        <f t="shared" si="43"/>
        <v>9</v>
      </c>
      <c r="G498" s="7">
        <f t="shared" si="44"/>
        <v>36.645600000000002</v>
      </c>
      <c r="H498" s="7">
        <f t="shared" si="45"/>
        <v>33.645600000000002</v>
      </c>
      <c r="I498" s="7">
        <f t="shared" si="46"/>
        <v>1132.0263993600001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>
      <c r="A499" s="6"/>
      <c r="B499" s="15">
        <v>50409</v>
      </c>
      <c r="C499" s="15">
        <v>1</v>
      </c>
      <c r="D499" s="7">
        <f t="shared" si="42"/>
        <v>50409</v>
      </c>
      <c r="E499" s="7">
        <f t="shared" si="43"/>
        <v>2541067281</v>
      </c>
      <c r="F499" s="7">
        <f t="shared" si="43"/>
        <v>1</v>
      </c>
      <c r="G499" s="7">
        <f t="shared" si="44"/>
        <v>35.281799999999997</v>
      </c>
      <c r="H499" s="7">
        <f t="shared" si="45"/>
        <v>34.281799999999997</v>
      </c>
      <c r="I499" s="7">
        <f t="shared" si="46"/>
        <v>1175.2418112399998</v>
      </c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>
      <c r="A500" s="6"/>
      <c r="B500" s="15">
        <v>53947</v>
      </c>
      <c r="C500" s="15">
        <v>0</v>
      </c>
      <c r="D500" s="7">
        <f t="shared" si="42"/>
        <v>0</v>
      </c>
      <c r="E500" s="7">
        <f t="shared" si="43"/>
        <v>2910278809</v>
      </c>
      <c r="F500" s="7">
        <f t="shared" si="43"/>
        <v>0</v>
      </c>
      <c r="G500" s="7">
        <f t="shared" si="44"/>
        <v>34.574199999999998</v>
      </c>
      <c r="H500" s="7">
        <f t="shared" si="45"/>
        <v>34.574199999999998</v>
      </c>
      <c r="I500" s="7">
        <f t="shared" si="46"/>
        <v>1195.3753056399999</v>
      </c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>
      <c r="A501" s="6"/>
      <c r="B501" s="15">
        <v>59275</v>
      </c>
      <c r="C501" s="15">
        <v>1</v>
      </c>
      <c r="D501" s="7">
        <f t="shared" si="42"/>
        <v>59275</v>
      </c>
      <c r="E501" s="7">
        <f t="shared" si="43"/>
        <v>3513525625</v>
      </c>
      <c r="F501" s="7">
        <f t="shared" si="43"/>
        <v>1</v>
      </c>
      <c r="G501" s="7">
        <f t="shared" si="44"/>
        <v>33.508600000000001</v>
      </c>
      <c r="H501" s="7">
        <f t="shared" si="45"/>
        <v>32.508600000000001</v>
      </c>
      <c r="I501" s="7">
        <f t="shared" si="46"/>
        <v>1056.80907396</v>
      </c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>
      <c r="A502" s="6"/>
      <c r="B502" s="15">
        <v>43319</v>
      </c>
      <c r="C502" s="15">
        <v>0</v>
      </c>
      <c r="D502" s="7">
        <f t="shared" si="42"/>
        <v>0</v>
      </c>
      <c r="E502" s="7">
        <f t="shared" si="43"/>
        <v>1876535761</v>
      </c>
      <c r="F502" s="7">
        <f t="shared" si="43"/>
        <v>0</v>
      </c>
      <c r="G502" s="7">
        <f t="shared" si="44"/>
        <v>36.699800000000003</v>
      </c>
      <c r="H502" s="7">
        <f t="shared" si="45"/>
        <v>36.699800000000003</v>
      </c>
      <c r="I502" s="7">
        <f t="shared" si="46"/>
        <v>1346.8753200400001</v>
      </c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>
      <c r="A503" s="6"/>
      <c r="B503" s="15">
        <v>20369</v>
      </c>
      <c r="C503" s="15">
        <v>0</v>
      </c>
      <c r="D503" s="7">
        <f t="shared" si="42"/>
        <v>0</v>
      </c>
      <c r="E503" s="7">
        <f t="shared" si="43"/>
        <v>414896161</v>
      </c>
      <c r="F503" s="7">
        <f t="shared" si="43"/>
        <v>0</v>
      </c>
      <c r="G503" s="7">
        <f t="shared" si="44"/>
        <v>41.2898</v>
      </c>
      <c r="H503" s="7">
        <f t="shared" si="45"/>
        <v>41.2898</v>
      </c>
      <c r="I503" s="7">
        <f t="shared" si="46"/>
        <v>1704.8475840399999</v>
      </c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>
      <c r="A504" s="6"/>
      <c r="B504" s="15">
        <v>49817</v>
      </c>
      <c r="C504" s="15">
        <v>2</v>
      </c>
      <c r="D504" s="4">
        <f t="shared" si="42"/>
        <v>99634</v>
      </c>
      <c r="E504" s="7">
        <f t="shared" si="43"/>
        <v>2481733489</v>
      </c>
      <c r="F504" s="7">
        <f t="shared" si="43"/>
        <v>4</v>
      </c>
      <c r="G504" s="7">
        <f t="shared" si="44"/>
        <v>35.400199999999998</v>
      </c>
      <c r="H504" s="7">
        <f t="shared" si="45"/>
        <v>33.400199999999998</v>
      </c>
      <c r="I504" s="7">
        <f t="shared" si="46"/>
        <v>1115.5733600399999</v>
      </c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>
      <c r="A505" s="4" t="s">
        <v>18</v>
      </c>
      <c r="B505" s="4">
        <f t="shared" ref="B505" si="47">SUM(B385:B504)</f>
        <v>4503206</v>
      </c>
      <c r="C505" s="4">
        <f t="shared" ref="C505:I505" si="48">SUM(C385:C504)</f>
        <v>4543</v>
      </c>
      <c r="D505" s="4">
        <f t="shared" si="48"/>
        <v>163490686</v>
      </c>
      <c r="E505" s="4">
        <f t="shared" si="48"/>
        <v>207752370780</v>
      </c>
      <c r="F505" s="4">
        <f t="shared" si="48"/>
        <v>696425</v>
      </c>
      <c r="G505" s="4">
        <f t="shared" si="48"/>
        <v>4542.9907999999978</v>
      </c>
      <c r="H505" s="4">
        <f t="shared" ref="H505" si="49">SUM(H385:H504)</f>
        <v>-9.1999999993390702E-3</v>
      </c>
      <c r="I505" s="4">
        <f t="shared" si="48"/>
        <v>523187.78994575993</v>
      </c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</row>
    <row r="507" spans="1:20">
      <c r="A507" s="6"/>
      <c r="B507" s="15"/>
      <c r="C507" s="6"/>
      <c r="D507" s="6"/>
      <c r="E507" s="6"/>
      <c r="F507" s="6"/>
      <c r="G507" s="15"/>
      <c r="H507" s="15"/>
      <c r="I507" s="1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</row>
    <row r="509" spans="1:20">
      <c r="A509" s="6"/>
      <c r="B509" s="3"/>
      <c r="C509" s="3"/>
      <c r="D509" s="3"/>
      <c r="E509" s="3"/>
      <c r="F509" s="3"/>
      <c r="G509" s="3"/>
      <c r="H509" s="15"/>
      <c r="I509" s="1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>
      <c r="A510" s="6"/>
      <c r="B510" s="2" t="s">
        <v>9</v>
      </c>
      <c r="C510" s="2" t="s">
        <v>10</v>
      </c>
      <c r="D510" s="2" t="s">
        <v>11</v>
      </c>
      <c r="E510" s="2" t="s">
        <v>12</v>
      </c>
      <c r="F510" s="2" t="s">
        <v>13</v>
      </c>
      <c r="G510" s="2"/>
      <c r="H510" s="4"/>
      <c r="I510" s="4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>
      <c r="A511" s="6"/>
      <c r="B511" s="4" t="s">
        <v>7</v>
      </c>
      <c r="C511" s="15" t="s">
        <v>2</v>
      </c>
      <c r="D511" s="4"/>
      <c r="E511" s="2"/>
      <c r="F511" s="4"/>
      <c r="G511" s="4"/>
      <c r="H511" s="4"/>
      <c r="I511" s="4"/>
      <c r="J511" s="6"/>
      <c r="K511" s="80" t="s">
        <v>15</v>
      </c>
      <c r="L511" s="80"/>
      <c r="M511" s="6" t="s">
        <v>28</v>
      </c>
      <c r="N511" s="6"/>
      <c r="O511" s="6"/>
      <c r="P511" s="6"/>
      <c r="Q511" s="6"/>
      <c r="R511" s="6"/>
      <c r="S511" s="6"/>
      <c r="T511" s="6"/>
    </row>
    <row r="512" spans="1:20">
      <c r="A512" s="6"/>
      <c r="B512" s="15">
        <v>0.2036</v>
      </c>
      <c r="C512" s="15">
        <v>275</v>
      </c>
      <c r="D512" s="7">
        <f>B512*C512</f>
        <v>55.99</v>
      </c>
      <c r="E512" s="7">
        <f>B512^2</f>
        <v>4.1452960000000004E-2</v>
      </c>
      <c r="F512" s="7">
        <f>C512^2</f>
        <v>75625</v>
      </c>
      <c r="G512" s="7">
        <f>ROUND($M$559+$M$556*B512,4)</f>
        <v>276.57729999999998</v>
      </c>
      <c r="H512" s="7">
        <f>ROUND(G512-C512,4)</f>
        <v>1.5772999999999999</v>
      </c>
      <c r="I512" s="7">
        <f>H512^2</f>
        <v>2.4878752899999999</v>
      </c>
      <c r="J512" s="6"/>
      <c r="K512" s="80" t="s">
        <v>14</v>
      </c>
      <c r="L512" s="80"/>
      <c r="M512" s="80" t="s">
        <v>27</v>
      </c>
      <c r="N512" s="80"/>
      <c r="O512" s="6"/>
      <c r="P512" s="6"/>
      <c r="Q512" s="6"/>
      <c r="R512" s="6"/>
      <c r="S512" s="6"/>
      <c r="T512" s="6"/>
    </row>
    <row r="513" spans="1:20">
      <c r="A513" s="6"/>
      <c r="B513" s="15">
        <v>0.19889999999999999</v>
      </c>
      <c r="C513" s="15">
        <v>260</v>
      </c>
      <c r="D513" s="7">
        <f t="shared" ref="D513:D576" si="50">B513*C513</f>
        <v>51.713999999999999</v>
      </c>
      <c r="E513" s="7">
        <f t="shared" ref="E513:F576" si="51">B513^2</f>
        <v>3.9561209999999999E-2</v>
      </c>
      <c r="F513" s="7">
        <f t="shared" si="51"/>
        <v>67600</v>
      </c>
      <c r="G513" s="7">
        <f t="shared" ref="G513:G576" si="52">ROUND($M$559+$M$556*B513,4)</f>
        <v>269.89089999999999</v>
      </c>
      <c r="H513" s="7">
        <f t="shared" ref="H513:H576" si="53">ROUND(G513-C513,4)</f>
        <v>9.8909000000000002</v>
      </c>
      <c r="I513" s="7">
        <f t="shared" ref="I513:I576" si="54">H513^2</f>
        <v>97.829902810000007</v>
      </c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>
      <c r="A514" s="6"/>
      <c r="B514" s="15">
        <v>0.19259999999999999</v>
      </c>
      <c r="C514" s="15">
        <v>240</v>
      </c>
      <c r="D514" s="7">
        <f t="shared" si="50"/>
        <v>46.223999999999997</v>
      </c>
      <c r="E514" s="7">
        <f t="shared" si="51"/>
        <v>3.7094759999999997E-2</v>
      </c>
      <c r="F514" s="7">
        <f t="shared" si="51"/>
        <v>57600</v>
      </c>
      <c r="G514" s="7">
        <f t="shared" si="52"/>
        <v>260.92829999999998</v>
      </c>
      <c r="H514" s="7">
        <f t="shared" si="53"/>
        <v>20.9283</v>
      </c>
      <c r="I514" s="7">
        <f t="shared" si="54"/>
        <v>437.99374089000003</v>
      </c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>
      <c r="A515" s="6"/>
      <c r="B515" s="15">
        <v>0.17910000000000001</v>
      </c>
      <c r="C515" s="15">
        <v>225</v>
      </c>
      <c r="D515" s="7">
        <f t="shared" si="50"/>
        <v>40.297499999999999</v>
      </c>
      <c r="E515" s="7">
        <f t="shared" si="51"/>
        <v>3.2076810000000004E-2</v>
      </c>
      <c r="F515" s="7">
        <f t="shared" si="51"/>
        <v>50625</v>
      </c>
      <c r="G515" s="7">
        <f t="shared" si="52"/>
        <v>241.7226</v>
      </c>
      <c r="H515" s="7">
        <f t="shared" si="53"/>
        <v>16.7226</v>
      </c>
      <c r="I515" s="7">
        <f t="shared" si="54"/>
        <v>279.64535075999999</v>
      </c>
      <c r="J515" s="6"/>
      <c r="K515" s="80"/>
      <c r="L515" s="80"/>
      <c r="M515" s="6"/>
      <c r="N515" s="6"/>
      <c r="O515" s="6"/>
      <c r="P515" s="6"/>
      <c r="Q515" s="6"/>
      <c r="R515" s="6"/>
      <c r="S515" s="6"/>
      <c r="T515" s="6"/>
    </row>
    <row r="516" spans="1:20">
      <c r="A516" s="6"/>
      <c r="B516" s="15">
        <v>0.17030000000000001</v>
      </c>
      <c r="C516" s="15">
        <v>258</v>
      </c>
      <c r="D516" s="7">
        <f t="shared" si="50"/>
        <v>43.937400000000004</v>
      </c>
      <c r="E516" s="7">
        <f t="shared" si="51"/>
        <v>2.9002090000000001E-2</v>
      </c>
      <c r="F516" s="7">
        <f t="shared" si="51"/>
        <v>66564</v>
      </c>
      <c r="G516" s="7">
        <f t="shared" si="52"/>
        <v>229.20339999999999</v>
      </c>
      <c r="H516" s="7">
        <f t="shared" si="53"/>
        <v>-28.796600000000002</v>
      </c>
      <c r="I516" s="7">
        <f t="shared" si="54"/>
        <v>829.24417156000004</v>
      </c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>
      <c r="A517" s="6"/>
      <c r="B517" s="15">
        <v>0.16170000000000001</v>
      </c>
      <c r="C517" s="15">
        <v>214</v>
      </c>
      <c r="D517" s="7">
        <f t="shared" si="50"/>
        <v>34.6038</v>
      </c>
      <c r="E517" s="7">
        <f t="shared" si="51"/>
        <v>2.6146890000000002E-2</v>
      </c>
      <c r="F517" s="7">
        <f t="shared" si="51"/>
        <v>45796</v>
      </c>
      <c r="G517" s="7">
        <f t="shared" si="52"/>
        <v>216.96870000000001</v>
      </c>
      <c r="H517" s="7">
        <f t="shared" si="53"/>
        <v>2.9687000000000001</v>
      </c>
      <c r="I517" s="7">
        <f t="shared" si="54"/>
        <v>8.8131796900000001</v>
      </c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>
      <c r="A518" s="6"/>
      <c r="B518" s="15">
        <v>0.14760000000000001</v>
      </c>
      <c r="C518" s="15">
        <v>204</v>
      </c>
      <c r="D518" s="7">
        <f t="shared" si="50"/>
        <v>30.110400000000002</v>
      </c>
      <c r="E518" s="7">
        <f t="shared" si="51"/>
        <v>2.1785760000000001E-2</v>
      </c>
      <c r="F518" s="7">
        <f t="shared" si="51"/>
        <v>41616</v>
      </c>
      <c r="G518" s="7">
        <f t="shared" si="52"/>
        <v>196.90950000000001</v>
      </c>
      <c r="H518" s="7">
        <f t="shared" si="53"/>
        <v>-7.0904999999999996</v>
      </c>
      <c r="I518" s="7">
        <f t="shared" si="54"/>
        <v>50.275190249999994</v>
      </c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>
      <c r="A519" s="6"/>
      <c r="B519" s="15">
        <v>0.1426</v>
      </c>
      <c r="C519" s="15">
        <v>196</v>
      </c>
      <c r="D519" s="7">
        <f t="shared" si="50"/>
        <v>27.9496</v>
      </c>
      <c r="E519" s="7">
        <f t="shared" si="51"/>
        <v>2.033476E-2</v>
      </c>
      <c r="F519" s="7">
        <f t="shared" si="51"/>
        <v>38416</v>
      </c>
      <c r="G519" s="7">
        <f t="shared" si="52"/>
        <v>189.7963</v>
      </c>
      <c r="H519" s="7">
        <f t="shared" si="53"/>
        <v>-6.2037000000000004</v>
      </c>
      <c r="I519" s="7">
        <f t="shared" si="54"/>
        <v>38.485893690000005</v>
      </c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>
      <c r="A520" s="6"/>
      <c r="B520" s="15">
        <v>0.14180000000000001</v>
      </c>
      <c r="C520" s="15">
        <v>203</v>
      </c>
      <c r="D520" s="7">
        <f t="shared" si="50"/>
        <v>28.785400000000003</v>
      </c>
      <c r="E520" s="7">
        <f t="shared" si="51"/>
        <v>2.0107240000000002E-2</v>
      </c>
      <c r="F520" s="7">
        <f t="shared" si="51"/>
        <v>41209</v>
      </c>
      <c r="G520" s="7">
        <f t="shared" si="52"/>
        <v>188.65819999999999</v>
      </c>
      <c r="H520" s="7">
        <f t="shared" si="53"/>
        <v>-14.341799999999999</v>
      </c>
      <c r="I520" s="7">
        <f t="shared" si="54"/>
        <v>205.68722723999997</v>
      </c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>
      <c r="A521" s="6"/>
      <c r="B521" s="15">
        <v>0.13220000000000001</v>
      </c>
      <c r="C521" s="15">
        <v>161</v>
      </c>
      <c r="D521" s="7">
        <f t="shared" si="50"/>
        <v>21.284200000000002</v>
      </c>
      <c r="E521" s="7">
        <f t="shared" si="51"/>
        <v>1.7476840000000004E-2</v>
      </c>
      <c r="F521" s="7">
        <f t="shared" si="51"/>
        <v>25921</v>
      </c>
      <c r="G521" s="7">
        <f t="shared" si="52"/>
        <v>175.0008</v>
      </c>
      <c r="H521" s="7">
        <f t="shared" si="53"/>
        <v>14.0008</v>
      </c>
      <c r="I521" s="7">
        <f t="shared" si="54"/>
        <v>196.02240064</v>
      </c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>
      <c r="A522" s="6"/>
      <c r="B522" s="15">
        <v>0.1211</v>
      </c>
      <c r="C522" s="15">
        <v>167</v>
      </c>
      <c r="D522" s="7">
        <f t="shared" si="50"/>
        <v>20.223700000000001</v>
      </c>
      <c r="E522" s="7">
        <f t="shared" si="51"/>
        <v>1.466521E-2</v>
      </c>
      <c r="F522" s="7">
        <f t="shared" si="51"/>
        <v>27889</v>
      </c>
      <c r="G522" s="7">
        <f t="shared" si="52"/>
        <v>159.20949999999999</v>
      </c>
      <c r="H522" s="7">
        <f t="shared" si="53"/>
        <v>-7.7904999999999998</v>
      </c>
      <c r="I522" s="7">
        <f t="shared" si="54"/>
        <v>60.691890249999993</v>
      </c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>
      <c r="A523" s="6"/>
      <c r="B523" s="15">
        <v>0.10929999999999999</v>
      </c>
      <c r="C523" s="15">
        <v>149</v>
      </c>
      <c r="D523" s="7">
        <f t="shared" si="50"/>
        <v>16.285699999999999</v>
      </c>
      <c r="E523" s="7">
        <f t="shared" si="51"/>
        <v>1.1946489999999999E-2</v>
      </c>
      <c r="F523" s="7">
        <f t="shared" si="51"/>
        <v>22201</v>
      </c>
      <c r="G523" s="7">
        <f t="shared" si="52"/>
        <v>142.42240000000001</v>
      </c>
      <c r="H523" s="7">
        <f t="shared" si="53"/>
        <v>-6.5776000000000003</v>
      </c>
      <c r="I523" s="7">
        <f t="shared" si="54"/>
        <v>43.264821760000004</v>
      </c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>
      <c r="A524" s="6"/>
      <c r="B524" s="15">
        <v>9.9000000000000005E-2</v>
      </c>
      <c r="C524" s="15">
        <v>149</v>
      </c>
      <c r="D524" s="7">
        <f t="shared" si="50"/>
        <v>14.751000000000001</v>
      </c>
      <c r="E524" s="7">
        <f t="shared" si="51"/>
        <v>9.8010000000000007E-3</v>
      </c>
      <c r="F524" s="7">
        <f t="shared" si="51"/>
        <v>22201</v>
      </c>
      <c r="G524" s="7">
        <f t="shared" si="52"/>
        <v>127.7692</v>
      </c>
      <c r="H524" s="7">
        <f t="shared" si="53"/>
        <v>-21.230799999999999</v>
      </c>
      <c r="I524" s="7">
        <f t="shared" si="54"/>
        <v>450.74686863999995</v>
      </c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>
      <c r="A525" s="6"/>
      <c r="B525" s="15">
        <v>9.2100000000000001E-2</v>
      </c>
      <c r="C525" s="15">
        <v>138</v>
      </c>
      <c r="D525" s="7">
        <f t="shared" si="50"/>
        <v>12.7098</v>
      </c>
      <c r="E525" s="7">
        <f t="shared" si="51"/>
        <v>8.482410000000001E-3</v>
      </c>
      <c r="F525" s="7">
        <f t="shared" si="51"/>
        <v>19044</v>
      </c>
      <c r="G525" s="7">
        <f t="shared" si="52"/>
        <v>117.953</v>
      </c>
      <c r="H525" s="7">
        <f t="shared" si="53"/>
        <v>-20.047000000000001</v>
      </c>
      <c r="I525" s="7">
        <f t="shared" si="54"/>
        <v>401.88220900000005</v>
      </c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>
      <c r="A526" s="6"/>
      <c r="B526" s="15">
        <v>8.7300000000000003E-2</v>
      </c>
      <c r="C526" s="15">
        <v>90</v>
      </c>
      <c r="D526" s="7">
        <f t="shared" si="50"/>
        <v>7.8570000000000002</v>
      </c>
      <c r="E526" s="7">
        <f t="shared" si="51"/>
        <v>7.6212900000000002E-3</v>
      </c>
      <c r="F526" s="7">
        <f t="shared" si="51"/>
        <v>8100</v>
      </c>
      <c r="G526" s="7">
        <f t="shared" si="52"/>
        <v>111.12430000000001</v>
      </c>
      <c r="H526" s="7">
        <f t="shared" si="53"/>
        <v>21.124300000000002</v>
      </c>
      <c r="I526" s="7">
        <f t="shared" si="54"/>
        <v>446.23605049000008</v>
      </c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>
      <c r="A527" s="6"/>
      <c r="B527" s="15">
        <v>8.5000000000000006E-2</v>
      </c>
      <c r="C527" s="15">
        <v>111</v>
      </c>
      <c r="D527" s="7">
        <f t="shared" si="50"/>
        <v>9.4350000000000005</v>
      </c>
      <c r="E527" s="7">
        <f t="shared" si="51"/>
        <v>7.2250000000000014E-3</v>
      </c>
      <c r="F527" s="7">
        <f t="shared" si="51"/>
        <v>12321</v>
      </c>
      <c r="G527" s="7">
        <f t="shared" si="52"/>
        <v>107.8522</v>
      </c>
      <c r="H527" s="7">
        <f t="shared" si="53"/>
        <v>-3.1478000000000002</v>
      </c>
      <c r="I527" s="7">
        <f t="shared" si="54"/>
        <v>9.9086448400000009</v>
      </c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>
      <c r="A528" s="6"/>
      <c r="B528" s="15">
        <v>7.6399999999999996E-2</v>
      </c>
      <c r="C528" s="15">
        <v>127</v>
      </c>
      <c r="D528" s="7">
        <f t="shared" si="50"/>
        <v>9.7027999999999999</v>
      </c>
      <c r="E528" s="7">
        <f t="shared" si="51"/>
        <v>5.8369599999999995E-3</v>
      </c>
      <c r="F528" s="7">
        <f t="shared" si="51"/>
        <v>16129</v>
      </c>
      <c r="G528" s="7">
        <f t="shared" si="52"/>
        <v>95.617500000000007</v>
      </c>
      <c r="H528" s="7">
        <f t="shared" si="53"/>
        <v>-31.3825</v>
      </c>
      <c r="I528" s="7">
        <f t="shared" si="54"/>
        <v>984.86130624999998</v>
      </c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>
      <c r="A529" s="6"/>
      <c r="B529" s="15">
        <v>7.0199999999999999E-2</v>
      </c>
      <c r="C529" s="15">
        <v>105</v>
      </c>
      <c r="D529" s="7">
        <f t="shared" si="50"/>
        <v>7.3709999999999996</v>
      </c>
      <c r="E529" s="7">
        <f t="shared" si="51"/>
        <v>4.9280399999999999E-3</v>
      </c>
      <c r="F529" s="7">
        <f t="shared" si="51"/>
        <v>11025</v>
      </c>
      <c r="G529" s="7">
        <f t="shared" si="52"/>
        <v>86.7971</v>
      </c>
      <c r="H529" s="7">
        <f t="shared" si="53"/>
        <v>-18.2029</v>
      </c>
      <c r="I529" s="7">
        <f t="shared" si="54"/>
        <v>331.34556841</v>
      </c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>
      <c r="A530" s="6"/>
      <c r="B530" s="15">
        <v>6.7400000000000002E-2</v>
      </c>
      <c r="C530" s="15">
        <v>67</v>
      </c>
      <c r="D530" s="7">
        <f t="shared" si="50"/>
        <v>4.5158000000000005</v>
      </c>
      <c r="E530" s="7">
        <f t="shared" si="51"/>
        <v>4.5427599999999999E-3</v>
      </c>
      <c r="F530" s="7">
        <f t="shared" si="51"/>
        <v>4489</v>
      </c>
      <c r="G530" s="7">
        <f t="shared" si="52"/>
        <v>82.813699999999997</v>
      </c>
      <c r="H530" s="7">
        <f t="shared" si="53"/>
        <v>15.813700000000001</v>
      </c>
      <c r="I530" s="7">
        <f t="shared" si="54"/>
        <v>250.07310769000003</v>
      </c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>
      <c r="A531" s="6"/>
      <c r="B531" s="15">
        <v>6.0900000000000003E-2</v>
      </c>
      <c r="C531" s="15">
        <v>76</v>
      </c>
      <c r="D531" s="7">
        <f t="shared" si="50"/>
        <v>4.6284000000000001</v>
      </c>
      <c r="E531" s="7">
        <f t="shared" si="51"/>
        <v>3.7088100000000003E-3</v>
      </c>
      <c r="F531" s="7">
        <f t="shared" si="51"/>
        <v>5776</v>
      </c>
      <c r="G531" s="7">
        <f t="shared" si="52"/>
        <v>73.566599999999994</v>
      </c>
      <c r="H531" s="7">
        <f t="shared" si="53"/>
        <v>-2.4333999999999998</v>
      </c>
      <c r="I531" s="7">
        <f t="shared" si="54"/>
        <v>5.921435559999999</v>
      </c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>
      <c r="A532" s="6"/>
      <c r="B532" s="15">
        <v>5.8799999999999998E-2</v>
      </c>
      <c r="C532" s="15">
        <v>65</v>
      </c>
      <c r="D532" s="7">
        <f t="shared" si="50"/>
        <v>3.8220000000000001</v>
      </c>
      <c r="E532" s="7">
        <f t="shared" si="51"/>
        <v>3.45744E-3</v>
      </c>
      <c r="F532" s="7">
        <f t="shared" si="51"/>
        <v>4225</v>
      </c>
      <c r="G532" s="7">
        <f t="shared" si="52"/>
        <v>70.578999999999994</v>
      </c>
      <c r="H532" s="7">
        <f t="shared" si="53"/>
        <v>5.5789999999999997</v>
      </c>
      <c r="I532" s="7">
        <f t="shared" si="54"/>
        <v>31.125240999999995</v>
      </c>
      <c r="J532" s="6"/>
      <c r="K532" s="6" t="s">
        <v>19</v>
      </c>
      <c r="L532" s="13">
        <f>COUNT(B512,B513:B631)</f>
        <v>120</v>
      </c>
      <c r="M532" s="6"/>
      <c r="N532" s="6"/>
      <c r="O532" s="6"/>
      <c r="P532" s="6"/>
      <c r="Q532" s="6"/>
      <c r="R532" s="6"/>
      <c r="S532" s="6"/>
      <c r="T532" s="6"/>
    </row>
    <row r="533" spans="1:20">
      <c r="A533" s="6"/>
      <c r="B533" s="15">
        <v>5.5500000000000001E-2</v>
      </c>
      <c r="C533" s="15">
        <v>61</v>
      </c>
      <c r="D533" s="7">
        <f t="shared" si="50"/>
        <v>3.3855</v>
      </c>
      <c r="E533" s="7">
        <f t="shared" si="51"/>
        <v>3.0802500000000001E-3</v>
      </c>
      <c r="F533" s="7">
        <f t="shared" si="51"/>
        <v>3721</v>
      </c>
      <c r="G533" s="7">
        <f t="shared" si="52"/>
        <v>65.884299999999996</v>
      </c>
      <c r="H533" s="7">
        <f t="shared" si="53"/>
        <v>4.8842999999999996</v>
      </c>
      <c r="I533" s="7">
        <f t="shared" si="54"/>
        <v>23.856386489999995</v>
      </c>
      <c r="J533" s="6"/>
      <c r="K533" s="6" t="s">
        <v>20</v>
      </c>
      <c r="L533" s="6">
        <f>ROUND(AVERAGE(B512:B631),4)</f>
        <v>3.5799999999999998E-2</v>
      </c>
      <c r="M533" s="6"/>
      <c r="N533" s="6"/>
      <c r="O533" s="6"/>
      <c r="P533" s="6"/>
      <c r="Q533" s="6"/>
      <c r="R533" s="6"/>
      <c r="S533" s="6"/>
      <c r="T533" s="6"/>
    </row>
    <row r="534" spans="1:20">
      <c r="A534" s="6"/>
      <c r="B534" s="15">
        <v>5.33E-2</v>
      </c>
      <c r="C534" s="15">
        <v>63</v>
      </c>
      <c r="D534" s="7">
        <f t="shared" si="50"/>
        <v>3.3578999999999999</v>
      </c>
      <c r="E534" s="7">
        <f t="shared" si="51"/>
        <v>2.84089E-3</v>
      </c>
      <c r="F534" s="7">
        <f t="shared" si="51"/>
        <v>3969</v>
      </c>
      <c r="G534" s="7">
        <f t="shared" si="52"/>
        <v>62.7545</v>
      </c>
      <c r="H534" s="7">
        <f t="shared" si="53"/>
        <v>-0.2455</v>
      </c>
      <c r="I534" s="7">
        <f t="shared" si="54"/>
        <v>6.0270249999999997E-2</v>
      </c>
      <c r="J534" s="6"/>
      <c r="K534" s="6" t="s">
        <v>21</v>
      </c>
      <c r="L534" s="6">
        <f>ROUND(AVERAGE(C512:C631),4)</f>
        <v>37.8583</v>
      </c>
      <c r="M534" s="6"/>
      <c r="N534" s="6"/>
      <c r="O534" s="6"/>
      <c r="P534" s="6"/>
      <c r="Q534" s="6"/>
      <c r="R534" s="6"/>
      <c r="S534" s="6"/>
      <c r="T534" s="6"/>
    </row>
    <row r="535" spans="1:20">
      <c r="A535" s="6"/>
      <c r="B535" s="15">
        <v>4.9799999999999997E-2</v>
      </c>
      <c r="C535" s="15">
        <v>50</v>
      </c>
      <c r="D535" s="7">
        <f t="shared" si="50"/>
        <v>2.4899999999999998</v>
      </c>
      <c r="E535" s="7">
        <f t="shared" si="51"/>
        <v>2.4800399999999998E-3</v>
      </c>
      <c r="F535" s="7">
        <f t="shared" si="51"/>
        <v>2500</v>
      </c>
      <c r="G535" s="7">
        <f t="shared" si="52"/>
        <v>57.775300000000001</v>
      </c>
      <c r="H535" s="7">
        <f t="shared" si="53"/>
        <v>7.7752999999999997</v>
      </c>
      <c r="I535" s="7">
        <f t="shared" si="54"/>
        <v>60.455290089999991</v>
      </c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>
      <c r="A536" s="6"/>
      <c r="B536" s="15">
        <v>4.65E-2</v>
      </c>
      <c r="C536" s="15">
        <v>49</v>
      </c>
      <c r="D536" s="7">
        <f t="shared" si="50"/>
        <v>2.2785000000000002</v>
      </c>
      <c r="E536" s="7">
        <f t="shared" si="51"/>
        <v>2.1622500000000001E-3</v>
      </c>
      <c r="F536" s="7">
        <f t="shared" si="51"/>
        <v>2401</v>
      </c>
      <c r="G536" s="7">
        <f t="shared" si="52"/>
        <v>53.080599999999997</v>
      </c>
      <c r="H536" s="7">
        <f t="shared" si="53"/>
        <v>4.0805999999999996</v>
      </c>
      <c r="I536" s="7">
        <f t="shared" si="54"/>
        <v>16.651296359999996</v>
      </c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>
      <c r="A537" s="6"/>
      <c r="B537" s="15">
        <v>4.2000000000000003E-2</v>
      </c>
      <c r="C537" s="15">
        <v>58</v>
      </c>
      <c r="D537" s="7">
        <f t="shared" si="50"/>
        <v>2.4359999999999999</v>
      </c>
      <c r="E537" s="7">
        <f t="shared" si="51"/>
        <v>1.7640000000000002E-3</v>
      </c>
      <c r="F537" s="7">
        <f t="shared" si="51"/>
        <v>3364</v>
      </c>
      <c r="G537" s="7">
        <f t="shared" si="52"/>
        <v>46.678699999999999</v>
      </c>
      <c r="H537" s="7">
        <f t="shared" si="53"/>
        <v>-11.321300000000001</v>
      </c>
      <c r="I537" s="7">
        <f t="shared" si="54"/>
        <v>128.17183369000003</v>
      </c>
      <c r="J537" s="6"/>
      <c r="K537" s="6"/>
      <c r="L537" s="6"/>
      <c r="M537" s="6"/>
      <c r="N537" s="6" t="s">
        <v>22</v>
      </c>
      <c r="O537" s="6">
        <f>D632-(L532*L533*L534)</f>
        <v>363.0575432000004</v>
      </c>
      <c r="P537" s="6"/>
      <c r="Q537" s="6"/>
      <c r="R537" s="6"/>
      <c r="S537" s="6"/>
      <c r="T537" s="6"/>
    </row>
    <row r="538" spans="1:20">
      <c r="A538" s="6"/>
      <c r="B538" s="15">
        <v>3.9699999999999999E-2</v>
      </c>
      <c r="C538" s="15">
        <v>33</v>
      </c>
      <c r="D538" s="7">
        <f t="shared" si="50"/>
        <v>1.3101</v>
      </c>
      <c r="E538" s="7">
        <f t="shared" si="51"/>
        <v>1.57609E-3</v>
      </c>
      <c r="F538" s="7">
        <f t="shared" si="51"/>
        <v>1089</v>
      </c>
      <c r="G538" s="7">
        <f t="shared" si="52"/>
        <v>43.406599999999997</v>
      </c>
      <c r="H538" s="7">
        <f t="shared" si="53"/>
        <v>10.406599999999999</v>
      </c>
      <c r="I538" s="7">
        <f t="shared" si="54"/>
        <v>108.29732355999998</v>
      </c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>
      <c r="A539" s="6"/>
      <c r="B539" s="15">
        <v>3.7100000000000001E-2</v>
      </c>
      <c r="C539" s="15">
        <v>41</v>
      </c>
      <c r="D539" s="7">
        <f t="shared" si="50"/>
        <v>1.5211000000000001</v>
      </c>
      <c r="E539" s="7">
        <f t="shared" si="51"/>
        <v>1.37641E-3</v>
      </c>
      <c r="F539" s="7">
        <f t="shared" si="51"/>
        <v>1681</v>
      </c>
      <c r="G539" s="7">
        <f t="shared" si="52"/>
        <v>39.707700000000003</v>
      </c>
      <c r="H539" s="7">
        <f t="shared" si="53"/>
        <v>-1.2923</v>
      </c>
      <c r="I539" s="7">
        <f t="shared" si="54"/>
        <v>1.6700392900000001</v>
      </c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>
      <c r="A540" s="6"/>
      <c r="B540" s="15">
        <v>3.7199999999999997E-2</v>
      </c>
      <c r="C540" s="15">
        <v>34</v>
      </c>
      <c r="D540" s="7">
        <f t="shared" si="50"/>
        <v>1.2647999999999999</v>
      </c>
      <c r="E540" s="7">
        <f t="shared" si="51"/>
        <v>1.3838399999999997E-3</v>
      </c>
      <c r="F540" s="7">
        <f t="shared" si="51"/>
        <v>1156</v>
      </c>
      <c r="G540" s="7">
        <f t="shared" si="52"/>
        <v>39.85</v>
      </c>
      <c r="H540" s="7">
        <f t="shared" si="53"/>
        <v>5.85</v>
      </c>
      <c r="I540" s="7">
        <f t="shared" si="54"/>
        <v>34.222499999999997</v>
      </c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>
      <c r="A541" s="6"/>
      <c r="B541" s="15">
        <v>3.5700000000000003E-2</v>
      </c>
      <c r="C541" s="15">
        <v>38</v>
      </c>
      <c r="D541" s="7">
        <f t="shared" si="50"/>
        <v>1.3566</v>
      </c>
      <c r="E541" s="7">
        <f t="shared" si="51"/>
        <v>1.2744900000000001E-3</v>
      </c>
      <c r="F541" s="7">
        <f t="shared" si="51"/>
        <v>1444</v>
      </c>
      <c r="G541" s="7">
        <f t="shared" si="52"/>
        <v>37.716099999999997</v>
      </c>
      <c r="H541" s="7">
        <f t="shared" si="53"/>
        <v>-0.28389999999999999</v>
      </c>
      <c r="I541" s="7">
        <f t="shared" si="54"/>
        <v>8.0599209999999991E-2</v>
      </c>
      <c r="J541" s="6"/>
      <c r="K541" s="6"/>
      <c r="L541" s="6"/>
      <c r="M541" s="6"/>
      <c r="N541" s="6" t="s">
        <v>22</v>
      </c>
      <c r="O541" s="6">
        <f>E632-(L532*(L533^2))</f>
        <v>0.25519985999999972</v>
      </c>
      <c r="P541" s="6"/>
      <c r="Q541" s="6"/>
      <c r="R541" s="6"/>
      <c r="S541" s="6"/>
      <c r="T541" s="6"/>
    </row>
    <row r="542" spans="1:20">
      <c r="A542" s="6"/>
      <c r="B542" s="15">
        <v>3.3300000000000003E-2</v>
      </c>
      <c r="C542" s="15">
        <v>41</v>
      </c>
      <c r="D542" s="7">
        <f t="shared" si="50"/>
        <v>1.3653000000000002</v>
      </c>
      <c r="E542" s="7">
        <f t="shared" si="51"/>
        <v>1.1088900000000002E-3</v>
      </c>
      <c r="F542" s="7">
        <f t="shared" si="51"/>
        <v>1681</v>
      </c>
      <c r="G542" s="7">
        <f t="shared" si="52"/>
        <v>34.301699999999997</v>
      </c>
      <c r="H542" s="7">
        <f t="shared" si="53"/>
        <v>-6.6982999999999997</v>
      </c>
      <c r="I542" s="7">
        <f t="shared" si="54"/>
        <v>44.867222889999994</v>
      </c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>
      <c r="A543" s="6"/>
      <c r="B543" s="15">
        <v>3.2000000000000001E-2</v>
      </c>
      <c r="C543" s="15">
        <v>28</v>
      </c>
      <c r="D543" s="7">
        <f t="shared" si="50"/>
        <v>0.89600000000000002</v>
      </c>
      <c r="E543" s="7">
        <f t="shared" si="51"/>
        <v>1.024E-3</v>
      </c>
      <c r="F543" s="7">
        <f t="shared" si="51"/>
        <v>784</v>
      </c>
      <c r="G543" s="7">
        <f t="shared" si="52"/>
        <v>32.452300000000001</v>
      </c>
      <c r="H543" s="7">
        <f t="shared" si="53"/>
        <v>4.4523000000000001</v>
      </c>
      <c r="I543" s="7">
        <f t="shared" si="54"/>
        <v>19.822975290000002</v>
      </c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>
      <c r="A544" s="6"/>
      <c r="B544" s="15">
        <v>3.2300000000000002E-2</v>
      </c>
      <c r="C544" s="15">
        <v>28</v>
      </c>
      <c r="D544" s="7">
        <f t="shared" si="50"/>
        <v>0.90440000000000009</v>
      </c>
      <c r="E544" s="7">
        <f t="shared" si="51"/>
        <v>1.0432900000000001E-3</v>
      </c>
      <c r="F544" s="7">
        <f t="shared" si="51"/>
        <v>784</v>
      </c>
      <c r="G544" s="7">
        <f t="shared" si="52"/>
        <v>32.879100000000001</v>
      </c>
      <c r="H544" s="7">
        <f t="shared" si="53"/>
        <v>4.8791000000000002</v>
      </c>
      <c r="I544" s="7">
        <f t="shared" si="54"/>
        <v>23.805616810000004</v>
      </c>
      <c r="J544" s="6"/>
      <c r="K544" s="6"/>
      <c r="L544" s="6"/>
      <c r="M544" s="6"/>
      <c r="N544" s="6" t="s">
        <v>22</v>
      </c>
      <c r="O544" s="6">
        <f>ROUND((F632-(L532*(L534^2))),4)</f>
        <v>524434.89450000005</v>
      </c>
      <c r="P544" s="6"/>
      <c r="Q544" s="6"/>
      <c r="R544" s="6"/>
      <c r="S544" s="6"/>
      <c r="T544" s="6"/>
    </row>
    <row r="545" spans="1:20">
      <c r="A545" s="6"/>
      <c r="B545" s="15">
        <v>3.2000000000000001E-2</v>
      </c>
      <c r="C545" s="15">
        <v>26</v>
      </c>
      <c r="D545" s="7">
        <f t="shared" si="50"/>
        <v>0.83200000000000007</v>
      </c>
      <c r="E545" s="7">
        <f t="shared" si="51"/>
        <v>1.024E-3</v>
      </c>
      <c r="F545" s="7">
        <f t="shared" si="51"/>
        <v>676</v>
      </c>
      <c r="G545" s="7">
        <f t="shared" si="52"/>
        <v>32.452300000000001</v>
      </c>
      <c r="H545" s="7">
        <f t="shared" si="53"/>
        <v>6.4523000000000001</v>
      </c>
      <c r="I545" s="7">
        <f t="shared" si="54"/>
        <v>41.632175289999999</v>
      </c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>
      <c r="A546" s="6"/>
      <c r="B546" s="15">
        <v>3.2199999999999999E-2</v>
      </c>
      <c r="C546" s="15">
        <v>28</v>
      </c>
      <c r="D546" s="7">
        <f t="shared" si="50"/>
        <v>0.90159999999999996</v>
      </c>
      <c r="E546" s="7">
        <f t="shared" si="51"/>
        <v>1.03684E-3</v>
      </c>
      <c r="F546" s="7">
        <f t="shared" si="51"/>
        <v>784</v>
      </c>
      <c r="G546" s="7">
        <f t="shared" si="52"/>
        <v>32.736800000000002</v>
      </c>
      <c r="H546" s="7">
        <f t="shared" si="53"/>
        <v>4.7367999999999997</v>
      </c>
      <c r="I546" s="7">
        <f t="shared" si="54"/>
        <v>22.437274239999997</v>
      </c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>
      <c r="A547" s="6"/>
      <c r="B547" s="15">
        <v>3.2300000000000002E-2</v>
      </c>
      <c r="C547" s="15">
        <v>25</v>
      </c>
      <c r="D547" s="7">
        <f t="shared" si="50"/>
        <v>0.80750000000000011</v>
      </c>
      <c r="E547" s="7">
        <f t="shared" si="51"/>
        <v>1.0432900000000001E-3</v>
      </c>
      <c r="F547" s="7">
        <f t="shared" si="51"/>
        <v>625</v>
      </c>
      <c r="G547" s="7">
        <f t="shared" si="52"/>
        <v>32.879100000000001</v>
      </c>
      <c r="H547" s="7">
        <f t="shared" si="53"/>
        <v>7.8791000000000002</v>
      </c>
      <c r="I547" s="7">
        <f t="shared" si="54"/>
        <v>62.080216810000003</v>
      </c>
      <c r="J547" s="6"/>
      <c r="K547" s="6"/>
      <c r="L547" s="6"/>
      <c r="M547" s="6"/>
      <c r="N547" s="6"/>
      <c r="O547" s="15"/>
      <c r="P547" s="15"/>
      <c r="Q547" s="15"/>
      <c r="R547" s="15"/>
      <c r="S547" s="6"/>
      <c r="T547" s="6"/>
    </row>
    <row r="548" spans="1:20">
      <c r="A548" s="6"/>
      <c r="B548" s="15">
        <v>3.4299999999999997E-2</v>
      </c>
      <c r="C548" s="15">
        <v>30</v>
      </c>
      <c r="D548" s="7">
        <f t="shared" si="50"/>
        <v>1.0289999999999999</v>
      </c>
      <c r="E548" s="7">
        <f t="shared" si="51"/>
        <v>1.1764899999999999E-3</v>
      </c>
      <c r="F548" s="7">
        <f t="shared" si="51"/>
        <v>900</v>
      </c>
      <c r="G548" s="7">
        <f t="shared" si="52"/>
        <v>35.724400000000003</v>
      </c>
      <c r="H548" s="7">
        <f t="shared" si="53"/>
        <v>5.7244000000000002</v>
      </c>
      <c r="I548" s="7">
        <f t="shared" si="54"/>
        <v>32.76875536</v>
      </c>
      <c r="J548" s="6"/>
      <c r="K548" s="6"/>
      <c r="L548" s="6"/>
      <c r="M548" s="6" t="s">
        <v>22</v>
      </c>
      <c r="N548" s="6">
        <f>O537/(SQRT(O541)*SQRT(O544))</f>
        <v>0.99240617564388889</v>
      </c>
      <c r="O548" s="15"/>
      <c r="P548" s="15"/>
      <c r="Q548" s="15">
        <f>N548^2</f>
        <v>0.98487001745612923</v>
      </c>
      <c r="R548" s="15"/>
      <c r="S548" s="6"/>
      <c r="T548" s="6"/>
    </row>
    <row r="549" spans="1:20">
      <c r="A549" s="6"/>
      <c r="B549" s="15">
        <v>3.2800000000000003E-2</v>
      </c>
      <c r="C549" s="15">
        <v>22</v>
      </c>
      <c r="D549" s="7">
        <f t="shared" si="50"/>
        <v>0.72160000000000002</v>
      </c>
      <c r="E549" s="7">
        <f t="shared" si="51"/>
        <v>1.0758400000000002E-3</v>
      </c>
      <c r="F549" s="7">
        <f t="shared" si="51"/>
        <v>484</v>
      </c>
      <c r="G549" s="7">
        <f t="shared" si="52"/>
        <v>33.590400000000002</v>
      </c>
      <c r="H549" s="7">
        <f t="shared" si="53"/>
        <v>11.590400000000001</v>
      </c>
      <c r="I549" s="7">
        <f t="shared" si="54"/>
        <v>134.33737216000003</v>
      </c>
      <c r="J549" s="6"/>
      <c r="K549" s="6"/>
      <c r="L549" s="6"/>
      <c r="M549" s="6"/>
      <c r="N549" s="6"/>
      <c r="O549" s="15"/>
      <c r="P549" s="15"/>
      <c r="Q549" s="15"/>
      <c r="R549" s="15"/>
      <c r="S549" s="6"/>
      <c r="T549" s="6"/>
    </row>
    <row r="550" spans="1:20">
      <c r="A550" s="6"/>
      <c r="B550" s="15">
        <v>3.2300000000000002E-2</v>
      </c>
      <c r="C550" s="15">
        <v>18</v>
      </c>
      <c r="D550" s="7">
        <f t="shared" si="50"/>
        <v>0.58140000000000003</v>
      </c>
      <c r="E550" s="7">
        <f t="shared" si="51"/>
        <v>1.0432900000000001E-3</v>
      </c>
      <c r="F550" s="7">
        <f t="shared" si="51"/>
        <v>324</v>
      </c>
      <c r="G550" s="7">
        <f t="shared" si="52"/>
        <v>32.879100000000001</v>
      </c>
      <c r="H550" s="7">
        <f t="shared" si="53"/>
        <v>14.879099999999999</v>
      </c>
      <c r="I550" s="7">
        <f t="shared" si="54"/>
        <v>221.38761680999997</v>
      </c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>
      <c r="A551" s="6"/>
      <c r="B551" s="15">
        <v>3.0200000000000001E-2</v>
      </c>
      <c r="C551" s="15">
        <v>15</v>
      </c>
      <c r="D551" s="7">
        <f t="shared" si="50"/>
        <v>0.45300000000000001</v>
      </c>
      <c r="E551" s="7">
        <f t="shared" si="51"/>
        <v>9.1204000000000003E-4</v>
      </c>
      <c r="F551" s="7">
        <f t="shared" si="51"/>
        <v>225</v>
      </c>
      <c r="G551" s="7">
        <f t="shared" si="52"/>
        <v>29.891500000000001</v>
      </c>
      <c r="H551" s="7">
        <f t="shared" si="53"/>
        <v>14.891500000000001</v>
      </c>
      <c r="I551" s="7">
        <f t="shared" si="54"/>
        <v>221.75677225000001</v>
      </c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>
      <c r="A552" s="6"/>
      <c r="B552" s="15">
        <v>2.7199999999999998E-2</v>
      </c>
      <c r="C552" s="15">
        <v>19</v>
      </c>
      <c r="D552" s="7">
        <f t="shared" si="50"/>
        <v>0.51679999999999993</v>
      </c>
      <c r="E552" s="7">
        <f t="shared" si="51"/>
        <v>7.3983999999999996E-4</v>
      </c>
      <c r="F552" s="7">
        <f t="shared" si="51"/>
        <v>361</v>
      </c>
      <c r="G552" s="7">
        <f t="shared" si="52"/>
        <v>25.6236</v>
      </c>
      <c r="H552" s="7">
        <f t="shared" si="53"/>
        <v>6.6235999999999997</v>
      </c>
      <c r="I552" s="7">
        <f t="shared" si="54"/>
        <v>43.872076959999994</v>
      </c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>
      <c r="A553" s="6"/>
      <c r="B553" s="15">
        <v>2.6200000000000001E-2</v>
      </c>
      <c r="C553" s="15">
        <v>15</v>
      </c>
      <c r="D553" s="7">
        <f t="shared" si="50"/>
        <v>0.39300000000000002</v>
      </c>
      <c r="E553" s="7">
        <f t="shared" si="51"/>
        <v>6.8644000000000008E-4</v>
      </c>
      <c r="F553" s="7">
        <f t="shared" si="51"/>
        <v>225</v>
      </c>
      <c r="G553" s="7">
        <f t="shared" si="52"/>
        <v>24.201000000000001</v>
      </c>
      <c r="H553" s="7">
        <f t="shared" si="53"/>
        <v>9.2010000000000005</v>
      </c>
      <c r="I553" s="7">
        <f t="shared" si="54"/>
        <v>84.658401000000012</v>
      </c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>
      <c r="A554" s="6"/>
      <c r="B554" s="15">
        <v>2.5399999999999999E-2</v>
      </c>
      <c r="C554" s="15">
        <v>10</v>
      </c>
      <c r="D554" s="7">
        <f t="shared" si="50"/>
        <v>0.254</v>
      </c>
      <c r="E554" s="7">
        <f t="shared" si="51"/>
        <v>6.4515999999999998E-4</v>
      </c>
      <c r="F554" s="7">
        <f t="shared" si="51"/>
        <v>100</v>
      </c>
      <c r="G554" s="7">
        <f t="shared" si="52"/>
        <v>23.062899999999999</v>
      </c>
      <c r="H554" s="7">
        <f t="shared" si="53"/>
        <v>13.062900000000001</v>
      </c>
      <c r="I554" s="7">
        <f t="shared" si="54"/>
        <v>170.63935641000003</v>
      </c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>
      <c r="A555" s="6"/>
      <c r="B555" s="15">
        <v>2.0299999999999999E-2</v>
      </c>
      <c r="C555" s="15">
        <v>13</v>
      </c>
      <c r="D555" s="7">
        <f t="shared" si="50"/>
        <v>0.26389999999999997</v>
      </c>
      <c r="E555" s="7">
        <f t="shared" si="51"/>
        <v>4.1208999999999994E-4</v>
      </c>
      <c r="F555" s="7">
        <f t="shared" si="51"/>
        <v>169</v>
      </c>
      <c r="G555" s="7">
        <f t="shared" si="52"/>
        <v>15.807399999999999</v>
      </c>
      <c r="H555" s="7">
        <f t="shared" si="53"/>
        <v>2.8073999999999999</v>
      </c>
      <c r="I555" s="7">
        <f t="shared" si="54"/>
        <v>7.8814947599999998</v>
      </c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>
      <c r="A556" s="6"/>
      <c r="B556" s="15">
        <v>1.83E-2</v>
      </c>
      <c r="C556" s="15">
        <v>15</v>
      </c>
      <c r="D556" s="7">
        <f t="shared" si="50"/>
        <v>0.27450000000000002</v>
      </c>
      <c r="E556" s="7">
        <f t="shared" si="51"/>
        <v>3.3489000000000001E-4</v>
      </c>
      <c r="F556" s="7">
        <f t="shared" si="51"/>
        <v>225</v>
      </c>
      <c r="G556" s="7">
        <f t="shared" si="52"/>
        <v>12.9621</v>
      </c>
      <c r="H556" s="7">
        <f t="shared" si="53"/>
        <v>-2.0379</v>
      </c>
      <c r="I556" s="7">
        <f t="shared" si="54"/>
        <v>4.1530364100000003</v>
      </c>
      <c r="J556" s="6"/>
      <c r="K556" s="6"/>
      <c r="L556" s="6" t="s">
        <v>22</v>
      </c>
      <c r="M556" s="6">
        <f>ROUND((O537/O541),4)</f>
        <v>1422.6401000000001</v>
      </c>
      <c r="N556" s="6"/>
      <c r="O556" s="6"/>
      <c r="P556" s="6"/>
      <c r="Q556" s="6"/>
      <c r="R556" s="6"/>
      <c r="S556" s="6"/>
      <c r="T556" s="6"/>
    </row>
    <row r="557" spans="1:20">
      <c r="A557" s="6"/>
      <c r="B557" s="15">
        <v>1.5299999999999999E-2</v>
      </c>
      <c r="C557" s="15">
        <v>21</v>
      </c>
      <c r="D557" s="7">
        <f t="shared" si="50"/>
        <v>0.32129999999999997</v>
      </c>
      <c r="E557" s="7">
        <f t="shared" si="51"/>
        <v>2.3408999999999998E-4</v>
      </c>
      <c r="F557" s="7">
        <f t="shared" si="51"/>
        <v>441</v>
      </c>
      <c r="G557" s="7">
        <f t="shared" si="52"/>
        <v>8.6942000000000004</v>
      </c>
      <c r="H557" s="7">
        <f t="shared" si="53"/>
        <v>-12.3058</v>
      </c>
      <c r="I557" s="7">
        <f t="shared" si="54"/>
        <v>151.43271364</v>
      </c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>
      <c r="A558" s="6"/>
      <c r="B558" s="15">
        <v>1.37E-2</v>
      </c>
      <c r="C558" s="15">
        <v>11</v>
      </c>
      <c r="D558" s="7">
        <f t="shared" si="50"/>
        <v>0.1507</v>
      </c>
      <c r="E558" s="7">
        <f t="shared" si="51"/>
        <v>1.8769000000000001E-4</v>
      </c>
      <c r="F558" s="7">
        <f t="shared" si="51"/>
        <v>121</v>
      </c>
      <c r="G558" s="7">
        <f t="shared" si="52"/>
        <v>6.4180000000000001</v>
      </c>
      <c r="H558" s="7">
        <f t="shared" si="53"/>
        <v>-4.5819999999999999</v>
      </c>
      <c r="I558" s="7">
        <f t="shared" si="54"/>
        <v>20.994723999999998</v>
      </c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>
      <c r="A559" s="6"/>
      <c r="B559" s="15">
        <v>1.2699999999999999E-2</v>
      </c>
      <c r="C559" s="15">
        <v>8</v>
      </c>
      <c r="D559" s="7">
        <f t="shared" si="50"/>
        <v>0.1016</v>
      </c>
      <c r="E559" s="7">
        <f t="shared" si="51"/>
        <v>1.6129E-4</v>
      </c>
      <c r="F559" s="7">
        <f t="shared" si="51"/>
        <v>64</v>
      </c>
      <c r="G559" s="7">
        <f t="shared" si="52"/>
        <v>4.9953000000000003</v>
      </c>
      <c r="H559" s="7">
        <f t="shared" si="53"/>
        <v>-3.0047000000000001</v>
      </c>
      <c r="I559" s="7">
        <f t="shared" si="54"/>
        <v>9.0282220900000016</v>
      </c>
      <c r="J559" s="6"/>
      <c r="K559" s="6"/>
      <c r="L559" s="6" t="s">
        <v>22</v>
      </c>
      <c r="M559" s="6">
        <f>ROUND((L534-(M556*L533)),4)</f>
        <v>-13.0722</v>
      </c>
      <c r="N559" s="6"/>
      <c r="O559" s="6"/>
      <c r="P559" s="6"/>
      <c r="Q559" s="6"/>
      <c r="R559" s="6"/>
      <c r="S559" s="6"/>
      <c r="T559" s="6"/>
    </row>
    <row r="560" spans="1:20">
      <c r="A560" s="6"/>
      <c r="B560" s="15">
        <v>1.23E-2</v>
      </c>
      <c r="C560" s="15">
        <v>6</v>
      </c>
      <c r="D560" s="7">
        <f t="shared" si="50"/>
        <v>7.3800000000000004E-2</v>
      </c>
      <c r="E560" s="7">
        <f t="shared" si="51"/>
        <v>1.5129E-4</v>
      </c>
      <c r="F560" s="7">
        <f t="shared" si="51"/>
        <v>36</v>
      </c>
      <c r="G560" s="7">
        <f t="shared" si="52"/>
        <v>4.4263000000000003</v>
      </c>
      <c r="H560" s="7">
        <f t="shared" si="53"/>
        <v>-1.5737000000000001</v>
      </c>
      <c r="I560" s="7">
        <f t="shared" si="54"/>
        <v>2.4765316900000003</v>
      </c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5">
      <c r="A561" s="6"/>
      <c r="B561" s="15">
        <v>1.21E-2</v>
      </c>
      <c r="C561" s="15">
        <v>16</v>
      </c>
      <c r="D561" s="7">
        <f t="shared" si="50"/>
        <v>0.19359999999999999</v>
      </c>
      <c r="E561" s="7">
        <f t="shared" si="51"/>
        <v>1.4641E-4</v>
      </c>
      <c r="F561" s="7">
        <f t="shared" si="51"/>
        <v>256</v>
      </c>
      <c r="G561" s="7">
        <f t="shared" si="52"/>
        <v>4.1417000000000002</v>
      </c>
      <c r="H561" s="7">
        <f t="shared" si="53"/>
        <v>-11.8583</v>
      </c>
      <c r="I561" s="7">
        <f t="shared" si="54"/>
        <v>140.61927889</v>
      </c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5">
      <c r="A562" s="6"/>
      <c r="B562" s="15">
        <v>1.2800000000000001E-2</v>
      </c>
      <c r="C562" s="15">
        <v>10</v>
      </c>
      <c r="D562" s="7">
        <f t="shared" si="50"/>
        <v>0.128</v>
      </c>
      <c r="E562" s="7">
        <f t="shared" si="51"/>
        <v>1.6384E-4</v>
      </c>
      <c r="F562" s="7">
        <f t="shared" si="51"/>
        <v>100</v>
      </c>
      <c r="G562" s="7">
        <f t="shared" si="52"/>
        <v>5.1375999999999999</v>
      </c>
      <c r="H562" s="7">
        <f t="shared" si="53"/>
        <v>-4.8624000000000001</v>
      </c>
      <c r="I562" s="7">
        <f t="shared" si="54"/>
        <v>23.642933760000002</v>
      </c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5">
      <c r="A563" s="6"/>
      <c r="B563" s="15">
        <v>1.34E-2</v>
      </c>
      <c r="C563" s="15">
        <v>11</v>
      </c>
      <c r="D563" s="7">
        <f t="shared" si="50"/>
        <v>0.1474</v>
      </c>
      <c r="E563" s="7">
        <f t="shared" si="51"/>
        <v>1.7956000000000002E-4</v>
      </c>
      <c r="F563" s="7">
        <f t="shared" si="51"/>
        <v>121</v>
      </c>
      <c r="G563" s="7">
        <f t="shared" si="52"/>
        <v>5.9912000000000001</v>
      </c>
      <c r="H563" s="7">
        <f t="shared" si="53"/>
        <v>-5.0087999999999999</v>
      </c>
      <c r="I563" s="7">
        <f t="shared" si="54"/>
        <v>25.088077439999999</v>
      </c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>
      <c r="A564" s="6"/>
      <c r="B564" s="15">
        <v>1.46E-2</v>
      </c>
      <c r="C564" s="15">
        <v>9</v>
      </c>
      <c r="D564" s="7">
        <f t="shared" si="50"/>
        <v>0.13139999999999999</v>
      </c>
      <c r="E564" s="7">
        <f t="shared" si="51"/>
        <v>2.1316E-4</v>
      </c>
      <c r="F564" s="7">
        <f t="shared" si="51"/>
        <v>81</v>
      </c>
      <c r="G564" s="7">
        <f t="shared" si="52"/>
        <v>7.6982999999999997</v>
      </c>
      <c r="H564" s="7">
        <f t="shared" si="53"/>
        <v>-1.3017000000000001</v>
      </c>
      <c r="I564" s="7">
        <f t="shared" si="54"/>
        <v>1.6944228900000002</v>
      </c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>
      <c r="A565" s="6"/>
      <c r="B565" s="15">
        <v>1.6E-2</v>
      </c>
      <c r="C565" s="15">
        <v>5</v>
      </c>
      <c r="D565" s="7">
        <f t="shared" si="50"/>
        <v>0.08</v>
      </c>
      <c r="E565" s="7">
        <f t="shared" si="51"/>
        <v>2.5599999999999999E-4</v>
      </c>
      <c r="F565" s="7">
        <f t="shared" si="51"/>
        <v>25</v>
      </c>
      <c r="G565" s="7">
        <f t="shared" si="52"/>
        <v>9.69</v>
      </c>
      <c r="H565" s="7">
        <f t="shared" si="53"/>
        <v>4.6900000000000004</v>
      </c>
      <c r="I565" s="7">
        <f t="shared" si="54"/>
        <v>21.996100000000002</v>
      </c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>
      <c r="A566" s="6"/>
      <c r="B566" s="15">
        <v>1.6400000000000001E-2</v>
      </c>
      <c r="C566" s="15">
        <v>8</v>
      </c>
      <c r="D566" s="7">
        <f t="shared" si="50"/>
        <v>0.13120000000000001</v>
      </c>
      <c r="E566" s="7">
        <f t="shared" si="51"/>
        <v>2.6896000000000005E-4</v>
      </c>
      <c r="F566" s="7">
        <f t="shared" si="51"/>
        <v>64</v>
      </c>
      <c r="G566" s="7">
        <f t="shared" si="52"/>
        <v>10.2591</v>
      </c>
      <c r="H566" s="7">
        <f t="shared" si="53"/>
        <v>2.2591000000000001</v>
      </c>
      <c r="I566" s="7">
        <f t="shared" si="54"/>
        <v>5.1035328100000008</v>
      </c>
      <c r="J566" s="77"/>
      <c r="K566" s="38" t="s">
        <v>41</v>
      </c>
      <c r="L566" s="33">
        <f>ROUND(O544-N566*O537,4)</f>
        <v>7934.6749</v>
      </c>
      <c r="M566" s="38"/>
      <c r="N566" s="33">
        <f>M556</f>
        <v>1422.6401000000001</v>
      </c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>
      <c r="A567" s="6"/>
      <c r="B567" s="15">
        <v>1.5900000000000001E-2</v>
      </c>
      <c r="C567" s="15">
        <v>10</v>
      </c>
      <c r="D567" s="7">
        <f t="shared" si="50"/>
        <v>0.159</v>
      </c>
      <c r="E567" s="7">
        <f t="shared" si="51"/>
        <v>2.5281000000000001E-4</v>
      </c>
      <c r="F567" s="7">
        <f t="shared" si="51"/>
        <v>100</v>
      </c>
      <c r="G567" s="7">
        <f t="shared" si="52"/>
        <v>9.5478000000000005</v>
      </c>
      <c r="H567" s="7">
        <f t="shared" si="53"/>
        <v>-0.45219999999999999</v>
      </c>
      <c r="I567" s="7">
        <f t="shared" si="54"/>
        <v>0.20448484</v>
      </c>
      <c r="J567" s="77"/>
      <c r="K567" s="36" t="s">
        <v>42</v>
      </c>
      <c r="L567" s="26">
        <f>ROUND((O537^2)/O541,4)</f>
        <v>516500.20370000001</v>
      </c>
      <c r="M567" s="77"/>
      <c r="N567" s="26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>
      <c r="A568" s="6"/>
      <c r="B568" s="15">
        <v>1.6199999999999999E-2</v>
      </c>
      <c r="C568" s="15">
        <v>6</v>
      </c>
      <c r="D568" s="7">
        <f t="shared" si="50"/>
        <v>9.7199999999999995E-2</v>
      </c>
      <c r="E568" s="7">
        <f t="shared" si="51"/>
        <v>2.6243999999999996E-4</v>
      </c>
      <c r="F568" s="7">
        <f t="shared" si="51"/>
        <v>36</v>
      </c>
      <c r="G568" s="7">
        <f t="shared" si="52"/>
        <v>9.9746000000000006</v>
      </c>
      <c r="H568" s="7">
        <f t="shared" si="53"/>
        <v>3.9746000000000001</v>
      </c>
      <c r="I568" s="7">
        <f t="shared" si="54"/>
        <v>15.797445160000001</v>
      </c>
      <c r="J568" s="77"/>
      <c r="K568" s="36" t="s">
        <v>43</v>
      </c>
      <c r="L568" s="26">
        <f>O544</f>
        <v>524434.89450000005</v>
      </c>
      <c r="M568" s="77"/>
      <c r="N568" s="26">
        <f>M559</f>
        <v>-13.0722</v>
      </c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>
      <c r="A569" s="6"/>
      <c r="B569" s="15">
        <v>1.61E-2</v>
      </c>
      <c r="C569" s="15">
        <v>2</v>
      </c>
      <c r="D569" s="7">
        <f t="shared" si="50"/>
        <v>3.2199999999999999E-2</v>
      </c>
      <c r="E569" s="7">
        <f t="shared" si="51"/>
        <v>2.5921000000000001E-4</v>
      </c>
      <c r="F569" s="7">
        <f t="shared" si="51"/>
        <v>4</v>
      </c>
      <c r="G569" s="7">
        <f t="shared" si="52"/>
        <v>9.8323</v>
      </c>
      <c r="H569" s="7">
        <f t="shared" si="53"/>
        <v>7.8323</v>
      </c>
      <c r="I569" s="7">
        <f t="shared" si="54"/>
        <v>61.344923290000004</v>
      </c>
      <c r="J569" s="77"/>
      <c r="K569" s="36" t="s">
        <v>59</v>
      </c>
      <c r="L569" s="26">
        <f>ROUND(SQRT(L566/(L532-2)),4)</f>
        <v>8.2002000000000006</v>
      </c>
      <c r="M569" s="77"/>
      <c r="N569" s="26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ht="13.5" thickBot="1">
      <c r="A570" s="6"/>
      <c r="B570" s="15">
        <v>1.6400000000000001E-2</v>
      </c>
      <c r="C570" s="15">
        <v>3</v>
      </c>
      <c r="D570" s="7">
        <f t="shared" si="50"/>
        <v>4.9200000000000008E-2</v>
      </c>
      <c r="E570" s="7">
        <f t="shared" si="51"/>
        <v>2.6896000000000005E-4</v>
      </c>
      <c r="F570" s="7">
        <f t="shared" si="51"/>
        <v>9</v>
      </c>
      <c r="G570" s="7">
        <f t="shared" si="52"/>
        <v>10.2591</v>
      </c>
      <c r="H570" s="7">
        <f t="shared" si="53"/>
        <v>7.2591000000000001</v>
      </c>
      <c r="I570" s="7">
        <f t="shared" si="54"/>
        <v>52.694532809999998</v>
      </c>
      <c r="J570" s="77"/>
      <c r="K570" s="37"/>
      <c r="L570" s="27"/>
      <c r="M570" s="37"/>
      <c r="N570" s="27">
        <f>ROUND(N566*SQRT(O541/O544),4)</f>
        <v>0.99239999999999995</v>
      </c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>
      <c r="A571" s="6"/>
      <c r="B571" s="15">
        <v>1.72E-2</v>
      </c>
      <c r="C571" s="15">
        <v>11</v>
      </c>
      <c r="D571" s="7">
        <f t="shared" si="50"/>
        <v>0.18920000000000001</v>
      </c>
      <c r="E571" s="7">
        <f t="shared" si="51"/>
        <v>2.9584000000000001E-4</v>
      </c>
      <c r="F571" s="7">
        <f t="shared" si="51"/>
        <v>121</v>
      </c>
      <c r="G571" s="7">
        <f t="shared" si="52"/>
        <v>11.3972</v>
      </c>
      <c r="H571" s="7">
        <f t="shared" si="53"/>
        <v>0.3972</v>
      </c>
      <c r="I571" s="7">
        <f t="shared" si="54"/>
        <v>0.15776783999999999</v>
      </c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ht="13.5" thickBot="1">
      <c r="A572" s="6"/>
      <c r="B572" s="15">
        <v>1.9199999999999998E-2</v>
      </c>
      <c r="C572" s="15">
        <v>9</v>
      </c>
      <c r="D572" s="7">
        <f t="shared" si="50"/>
        <v>0.17279999999999998</v>
      </c>
      <c r="E572" s="7">
        <f t="shared" si="51"/>
        <v>3.6863999999999994E-4</v>
      </c>
      <c r="F572" s="7">
        <f t="shared" si="51"/>
        <v>81</v>
      </c>
      <c r="G572" s="7">
        <f t="shared" si="52"/>
        <v>14.2425</v>
      </c>
      <c r="H572" s="7">
        <f t="shared" si="53"/>
        <v>5.2424999999999997</v>
      </c>
      <c r="I572" s="7">
        <f t="shared" si="54"/>
        <v>27.483806249999997</v>
      </c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>
      <c r="A573" s="6"/>
      <c r="B573" s="15">
        <v>1.8700000000000001E-2</v>
      </c>
      <c r="C573" s="15">
        <v>7</v>
      </c>
      <c r="D573" s="7">
        <f t="shared" si="50"/>
        <v>0.13090000000000002</v>
      </c>
      <c r="E573" s="7">
        <f t="shared" si="51"/>
        <v>3.4969000000000005E-4</v>
      </c>
      <c r="F573" s="7">
        <f t="shared" si="51"/>
        <v>49</v>
      </c>
      <c r="G573" s="7">
        <f t="shared" si="52"/>
        <v>13.5312</v>
      </c>
      <c r="H573" s="7">
        <f t="shared" si="53"/>
        <v>6.5312000000000001</v>
      </c>
      <c r="I573" s="7">
        <f t="shared" si="54"/>
        <v>42.656573440000003</v>
      </c>
      <c r="J573" s="77"/>
      <c r="K573" s="20"/>
      <c r="L573" s="20" t="s">
        <v>55</v>
      </c>
      <c r="M573" s="20" t="s">
        <v>48</v>
      </c>
      <c r="N573" s="20" t="s">
        <v>49</v>
      </c>
      <c r="O573" s="20" t="s">
        <v>50</v>
      </c>
      <c r="P573" s="20" t="s">
        <v>51</v>
      </c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>
      <c r="A574" s="6"/>
      <c r="B574" s="15">
        <v>1.7500000000000002E-2</v>
      </c>
      <c r="C574" s="15">
        <v>4</v>
      </c>
      <c r="D574" s="7">
        <f t="shared" si="50"/>
        <v>7.0000000000000007E-2</v>
      </c>
      <c r="E574" s="7">
        <f t="shared" si="51"/>
        <v>3.0625000000000004E-4</v>
      </c>
      <c r="F574" s="7">
        <f t="shared" si="51"/>
        <v>16</v>
      </c>
      <c r="G574" s="7">
        <f t="shared" si="52"/>
        <v>11.824</v>
      </c>
      <c r="H574" s="7">
        <f t="shared" si="53"/>
        <v>7.8239999999999998</v>
      </c>
      <c r="I574" s="7">
        <f t="shared" si="54"/>
        <v>61.214976</v>
      </c>
      <c r="J574" s="77"/>
      <c r="K574" s="76" t="s">
        <v>56</v>
      </c>
      <c r="L574" s="18" t="s">
        <v>45</v>
      </c>
      <c r="M574" s="18">
        <v>1</v>
      </c>
      <c r="N574" s="18">
        <f>L567</f>
        <v>516500.20370000001</v>
      </c>
      <c r="O574" s="18">
        <f>N574/M574</f>
        <v>516500.20370000001</v>
      </c>
      <c r="P574" s="18">
        <f>O574/O575</f>
        <v>7681.0990752248717</v>
      </c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>
      <c r="A575" s="6"/>
      <c r="B575" s="15">
        <v>1.41E-2</v>
      </c>
      <c r="C575" s="15">
        <v>6</v>
      </c>
      <c r="D575" s="7">
        <f t="shared" si="50"/>
        <v>8.4599999999999995E-2</v>
      </c>
      <c r="E575" s="7">
        <f t="shared" si="51"/>
        <v>1.9881E-4</v>
      </c>
      <c r="F575" s="7">
        <f t="shared" si="51"/>
        <v>36</v>
      </c>
      <c r="G575" s="7">
        <f t="shared" si="52"/>
        <v>6.9870000000000001</v>
      </c>
      <c r="H575" s="7">
        <f t="shared" si="53"/>
        <v>0.98699999999999999</v>
      </c>
      <c r="I575" s="7">
        <f t="shared" si="54"/>
        <v>0.97416899999999995</v>
      </c>
      <c r="J575" s="77"/>
      <c r="K575" s="76" t="s">
        <v>57</v>
      </c>
      <c r="L575" s="18" t="s">
        <v>46</v>
      </c>
      <c r="M575" s="77">
        <v>118</v>
      </c>
      <c r="N575" s="18">
        <f>L566</f>
        <v>7934.6749</v>
      </c>
      <c r="O575" s="18">
        <f>N575/M575</f>
        <v>67.243007627118644</v>
      </c>
      <c r="P575" s="18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ht="13.5" thickBot="1">
      <c r="A576" s="6"/>
      <c r="B576" s="15">
        <v>1.41E-2</v>
      </c>
      <c r="C576" s="15">
        <v>2</v>
      </c>
      <c r="D576" s="7">
        <f t="shared" si="50"/>
        <v>2.8199999999999999E-2</v>
      </c>
      <c r="E576" s="7">
        <f t="shared" si="51"/>
        <v>1.9881E-4</v>
      </c>
      <c r="F576" s="7">
        <f t="shared" si="51"/>
        <v>4</v>
      </c>
      <c r="G576" s="7">
        <f t="shared" si="52"/>
        <v>6.9870000000000001</v>
      </c>
      <c r="H576" s="7">
        <f t="shared" si="53"/>
        <v>4.9870000000000001</v>
      </c>
      <c r="I576" s="7">
        <f t="shared" si="54"/>
        <v>24.870169000000001</v>
      </c>
      <c r="J576" s="77"/>
      <c r="K576" s="24" t="s">
        <v>58</v>
      </c>
      <c r="L576" s="19" t="s">
        <v>47</v>
      </c>
      <c r="M576" s="28">
        <v>119</v>
      </c>
      <c r="N576" s="19">
        <f>L568</f>
        <v>524434.89450000005</v>
      </c>
      <c r="O576" s="19"/>
      <c r="P576" s="19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>
      <c r="A577" s="6"/>
      <c r="B577" s="15">
        <v>1.2500000000000001E-2</v>
      </c>
      <c r="C577" s="15">
        <v>3</v>
      </c>
      <c r="D577" s="7">
        <f t="shared" ref="D577:D631" si="55">B577*C577</f>
        <v>3.7500000000000006E-2</v>
      </c>
      <c r="E577" s="7">
        <f t="shared" ref="E577:F631" si="56">B577^2</f>
        <v>1.5625000000000003E-4</v>
      </c>
      <c r="F577" s="7">
        <f t="shared" si="56"/>
        <v>9</v>
      </c>
      <c r="G577" s="7">
        <f t="shared" ref="G577:G631" si="57">ROUND($M$559+$M$556*B577,4)</f>
        <v>4.7107999999999999</v>
      </c>
      <c r="H577" s="7">
        <f t="shared" ref="H577:H631" si="58">ROUND(G577-C577,4)</f>
        <v>1.7108000000000001</v>
      </c>
      <c r="I577" s="7">
        <f t="shared" ref="I577:I631" si="59">H577^2</f>
        <v>2.9268366400000003</v>
      </c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>
      <c r="A578" s="6"/>
      <c r="B578" s="15">
        <v>1.1299999999999999E-2</v>
      </c>
      <c r="C578" s="15">
        <v>9</v>
      </c>
      <c r="D578" s="7">
        <f t="shared" si="55"/>
        <v>0.1017</v>
      </c>
      <c r="E578" s="7">
        <f t="shared" si="56"/>
        <v>1.2768999999999999E-4</v>
      </c>
      <c r="F578" s="7">
        <f t="shared" si="56"/>
        <v>81</v>
      </c>
      <c r="G578" s="7">
        <f t="shared" si="57"/>
        <v>3.0036</v>
      </c>
      <c r="H578" s="7">
        <f t="shared" si="58"/>
        <v>-5.9964000000000004</v>
      </c>
      <c r="I578" s="7">
        <f t="shared" si="59"/>
        <v>35.956812960000008</v>
      </c>
      <c r="J578" s="77"/>
      <c r="K578" s="73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>
      <c r="A579" s="6"/>
      <c r="B579" s="15">
        <v>1.0200000000000001E-2</v>
      </c>
      <c r="C579" s="15">
        <v>5</v>
      </c>
      <c r="D579" s="7">
        <f t="shared" si="55"/>
        <v>5.1000000000000004E-2</v>
      </c>
      <c r="E579" s="7">
        <f t="shared" si="56"/>
        <v>1.0404000000000001E-4</v>
      </c>
      <c r="F579" s="7">
        <f t="shared" si="56"/>
        <v>25</v>
      </c>
      <c r="G579" s="7">
        <f t="shared" si="57"/>
        <v>1.4387000000000001</v>
      </c>
      <c r="H579" s="7">
        <f t="shared" si="58"/>
        <v>-3.5613000000000001</v>
      </c>
      <c r="I579" s="7">
        <f t="shared" si="59"/>
        <v>12.682857690000001</v>
      </c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>
      <c r="A580" s="6"/>
      <c r="B580" s="15">
        <v>1.09E-2</v>
      </c>
      <c r="C580" s="15">
        <v>6</v>
      </c>
      <c r="D580" s="7">
        <f t="shared" si="55"/>
        <v>6.54E-2</v>
      </c>
      <c r="E580" s="7">
        <f t="shared" si="56"/>
        <v>1.1881E-4</v>
      </c>
      <c r="F580" s="7">
        <f t="shared" si="56"/>
        <v>36</v>
      </c>
      <c r="G580" s="7">
        <f t="shared" si="57"/>
        <v>2.4346000000000001</v>
      </c>
      <c r="H580" s="7">
        <f t="shared" si="58"/>
        <v>-3.5653999999999999</v>
      </c>
      <c r="I580" s="7">
        <f t="shared" si="59"/>
        <v>12.71207716</v>
      </c>
      <c r="J580" s="77"/>
      <c r="K580" s="14"/>
      <c r="L580" s="14"/>
      <c r="M580" s="14"/>
      <c r="N580" s="14"/>
      <c r="O580" s="14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>
      <c r="A581" s="6"/>
      <c r="B581" s="15">
        <v>1.1900000000000001E-2</v>
      </c>
      <c r="C581" s="15">
        <v>6</v>
      </c>
      <c r="D581" s="7">
        <f t="shared" si="55"/>
        <v>7.1400000000000005E-2</v>
      </c>
      <c r="E581" s="7">
        <f t="shared" si="56"/>
        <v>1.4161000000000002E-4</v>
      </c>
      <c r="F581" s="7">
        <f t="shared" si="56"/>
        <v>36</v>
      </c>
      <c r="G581" s="7">
        <f t="shared" si="57"/>
        <v>3.8572000000000002</v>
      </c>
      <c r="H581" s="7">
        <f t="shared" si="58"/>
        <v>-2.1427999999999998</v>
      </c>
      <c r="I581" s="7">
        <f t="shared" si="59"/>
        <v>4.5915918399999995</v>
      </c>
      <c r="J581" s="77"/>
      <c r="K581" s="29" t="s">
        <v>80</v>
      </c>
      <c r="L581" s="14">
        <v>0.05</v>
      </c>
      <c r="M581" s="14"/>
      <c r="N581" s="14"/>
      <c r="O581" s="14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>
      <c r="A582" s="6"/>
      <c r="B582" s="15">
        <v>1.2999999999999999E-2</v>
      </c>
      <c r="C582" s="15">
        <v>2</v>
      </c>
      <c r="D582" s="7">
        <f t="shared" si="55"/>
        <v>2.5999999999999999E-2</v>
      </c>
      <c r="E582" s="7">
        <f t="shared" si="56"/>
        <v>1.6899999999999999E-4</v>
      </c>
      <c r="F582" s="7">
        <f t="shared" si="56"/>
        <v>4</v>
      </c>
      <c r="G582" s="7">
        <f t="shared" si="57"/>
        <v>5.4221000000000004</v>
      </c>
      <c r="H582" s="7">
        <f t="shared" si="58"/>
        <v>3.4220999999999999</v>
      </c>
      <c r="I582" s="7">
        <f t="shared" si="59"/>
        <v>11.71076841</v>
      </c>
      <c r="J582" s="77"/>
      <c r="K582" s="14"/>
      <c r="L582" s="14"/>
      <c r="M582" s="14"/>
      <c r="N582" s="14"/>
      <c r="O582" s="14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>
      <c r="A583" s="6"/>
      <c r="B583" s="15">
        <v>1.24E-2</v>
      </c>
      <c r="C583" s="15">
        <v>5</v>
      </c>
      <c r="D583" s="7">
        <f t="shared" si="55"/>
        <v>6.2E-2</v>
      </c>
      <c r="E583" s="7">
        <f t="shared" si="56"/>
        <v>1.5375999999999999E-4</v>
      </c>
      <c r="F583" s="7">
        <f t="shared" si="56"/>
        <v>25</v>
      </c>
      <c r="G583" s="7">
        <f t="shared" si="57"/>
        <v>4.5685000000000002</v>
      </c>
      <c r="H583" s="7">
        <f t="shared" si="58"/>
        <v>-0.43149999999999999</v>
      </c>
      <c r="I583" s="7">
        <f t="shared" si="59"/>
        <v>0.18619225</v>
      </c>
      <c r="J583" s="77"/>
      <c r="K583" s="14"/>
      <c r="L583" s="14"/>
      <c r="M583" s="14"/>
      <c r="N583" s="14"/>
      <c r="O583" s="14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>
      <c r="A584" s="6"/>
      <c r="B584" s="15">
        <v>1.34E-2</v>
      </c>
      <c r="C584" s="15">
        <v>8</v>
      </c>
      <c r="D584" s="7">
        <f t="shared" si="55"/>
        <v>0.1072</v>
      </c>
      <c r="E584" s="7">
        <f t="shared" si="56"/>
        <v>1.7956000000000002E-4</v>
      </c>
      <c r="F584" s="7">
        <f t="shared" si="56"/>
        <v>64</v>
      </c>
      <c r="G584" s="7">
        <f t="shared" si="57"/>
        <v>5.9912000000000001</v>
      </c>
      <c r="H584" s="7">
        <f t="shared" si="58"/>
        <v>-2.0087999999999999</v>
      </c>
      <c r="I584" s="7">
        <f t="shared" si="59"/>
        <v>4.0352774399999998</v>
      </c>
      <c r="J584" s="77"/>
      <c r="K584" s="14"/>
      <c r="L584" s="14"/>
      <c r="M584" s="14"/>
      <c r="N584" s="14"/>
      <c r="O584" s="14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>
      <c r="A585" s="6"/>
      <c r="B585" s="15">
        <v>1.3899999999999999E-2</v>
      </c>
      <c r="C585" s="15">
        <v>2</v>
      </c>
      <c r="D585" s="7">
        <f t="shared" si="55"/>
        <v>2.7799999999999998E-2</v>
      </c>
      <c r="E585" s="7">
        <f t="shared" si="56"/>
        <v>1.9320999999999997E-4</v>
      </c>
      <c r="F585" s="7">
        <f t="shared" si="56"/>
        <v>4</v>
      </c>
      <c r="G585" s="7">
        <f t="shared" si="57"/>
        <v>6.7024999999999997</v>
      </c>
      <c r="H585" s="7">
        <f t="shared" si="58"/>
        <v>4.7024999999999997</v>
      </c>
      <c r="I585" s="7">
        <f t="shared" si="59"/>
        <v>22.113506249999997</v>
      </c>
      <c r="J585" s="77"/>
      <c r="K585" s="29" t="s">
        <v>133</v>
      </c>
      <c r="L585" s="14">
        <f>P574</f>
        <v>7681.0990752248717</v>
      </c>
      <c r="M585" s="14"/>
      <c r="N585" s="14"/>
      <c r="O585" s="14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>
      <c r="A586" s="6"/>
      <c r="B586" s="15">
        <v>1.4E-2</v>
      </c>
      <c r="C586" s="15">
        <v>4</v>
      </c>
      <c r="D586" s="7">
        <f t="shared" si="55"/>
        <v>5.6000000000000001E-2</v>
      </c>
      <c r="E586" s="7">
        <f t="shared" si="56"/>
        <v>1.9600000000000002E-4</v>
      </c>
      <c r="F586" s="7">
        <f t="shared" si="56"/>
        <v>16</v>
      </c>
      <c r="G586" s="7">
        <f t="shared" si="57"/>
        <v>6.8448000000000002</v>
      </c>
      <c r="H586" s="7">
        <f t="shared" si="58"/>
        <v>2.8448000000000002</v>
      </c>
      <c r="I586" s="7">
        <f t="shared" si="59"/>
        <v>8.0928870400000008</v>
      </c>
      <c r="J586" s="77"/>
      <c r="K586" s="14"/>
      <c r="L586" s="14"/>
      <c r="M586" s="14"/>
      <c r="N586" s="14"/>
      <c r="O586" s="14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>
      <c r="A587" s="6"/>
      <c r="B587" s="15">
        <v>1.4200000000000001E-2</v>
      </c>
      <c r="C587" s="15">
        <v>5</v>
      </c>
      <c r="D587" s="7">
        <f t="shared" si="55"/>
        <v>7.1000000000000008E-2</v>
      </c>
      <c r="E587" s="7">
        <f t="shared" si="56"/>
        <v>2.0164000000000003E-4</v>
      </c>
      <c r="F587" s="7">
        <f t="shared" si="56"/>
        <v>25</v>
      </c>
      <c r="G587" s="7">
        <f t="shared" si="57"/>
        <v>7.1292999999999997</v>
      </c>
      <c r="H587" s="7">
        <f t="shared" si="58"/>
        <v>2.1293000000000002</v>
      </c>
      <c r="I587" s="7">
        <f t="shared" si="59"/>
        <v>4.5339184900000005</v>
      </c>
      <c r="J587" s="77"/>
      <c r="K587" s="14"/>
      <c r="L587" s="14"/>
      <c r="M587" s="14"/>
      <c r="N587" s="14"/>
      <c r="O587" s="14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>
      <c r="A588" s="6"/>
      <c r="B588" s="15">
        <v>1.3599999999999999E-2</v>
      </c>
      <c r="C588" s="15">
        <v>3</v>
      </c>
      <c r="D588" s="7">
        <f t="shared" si="55"/>
        <v>4.0799999999999996E-2</v>
      </c>
      <c r="E588" s="7">
        <f t="shared" si="56"/>
        <v>1.8495999999999999E-4</v>
      </c>
      <c r="F588" s="7">
        <f t="shared" si="56"/>
        <v>9</v>
      </c>
      <c r="G588" s="7">
        <f t="shared" si="57"/>
        <v>6.2756999999999996</v>
      </c>
      <c r="H588" s="7">
        <f t="shared" si="58"/>
        <v>3.2757000000000001</v>
      </c>
      <c r="I588" s="7">
        <f t="shared" si="59"/>
        <v>10.730210490000001</v>
      </c>
      <c r="J588" s="77"/>
      <c r="K588" s="14" t="str">
        <f>"f(0,05);("&amp;M574&amp;","&amp;M575&amp;")="</f>
        <v>f(0,05);(1,118)=</v>
      </c>
      <c r="L588" s="14">
        <f>ROUND(_xlfn.F.INV.RT(L581,M574,M575),4)</f>
        <v>3.9215</v>
      </c>
      <c r="M588" s="14"/>
      <c r="N588" s="14"/>
      <c r="O588" s="14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>
      <c r="A589" s="6"/>
      <c r="B589" s="15">
        <v>1.1599999999999999E-2</v>
      </c>
      <c r="C589" s="15">
        <v>1</v>
      </c>
      <c r="D589" s="7">
        <f t="shared" si="55"/>
        <v>1.1599999999999999E-2</v>
      </c>
      <c r="E589" s="7">
        <f t="shared" si="56"/>
        <v>1.3455999999999999E-4</v>
      </c>
      <c r="F589" s="7">
        <f t="shared" si="56"/>
        <v>1</v>
      </c>
      <c r="G589" s="7">
        <f t="shared" si="57"/>
        <v>3.4304000000000001</v>
      </c>
      <c r="H589" s="7">
        <f t="shared" si="58"/>
        <v>2.4304000000000001</v>
      </c>
      <c r="I589" s="7">
        <f t="shared" si="59"/>
        <v>5.9068441600000003</v>
      </c>
      <c r="J589" s="77"/>
      <c r="K589" s="14"/>
      <c r="L589" s="14"/>
      <c r="M589" s="14"/>
      <c r="N589" s="14"/>
      <c r="O589" s="14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>
      <c r="A590" s="6"/>
      <c r="B590" s="15">
        <v>9.9000000000000008E-3</v>
      </c>
      <c r="C590" s="15">
        <v>5</v>
      </c>
      <c r="D590" s="7">
        <f t="shared" si="55"/>
        <v>4.9500000000000002E-2</v>
      </c>
      <c r="E590" s="7">
        <f t="shared" si="56"/>
        <v>9.8010000000000019E-5</v>
      </c>
      <c r="F590" s="7">
        <f t="shared" si="56"/>
        <v>25</v>
      </c>
      <c r="G590" s="7">
        <f t="shared" si="57"/>
        <v>1.0119</v>
      </c>
      <c r="H590" s="7">
        <f t="shared" si="58"/>
        <v>-3.9881000000000002</v>
      </c>
      <c r="I590" s="7">
        <f t="shared" si="59"/>
        <v>15.904941610000002</v>
      </c>
      <c r="J590" s="77"/>
      <c r="K590" s="14" t="str">
        <f>IF(L588&lt;=L585, "R: Como  " &amp;ROUND(L588,4) &amp;" &lt; "&amp;ROUND(L585,4)&amp;" o modelo é significativo","R: Como  " &amp;ROUND(L588,4) &amp;" &gt; "&amp;ROUND(L585,4)&amp;" o modelo não é significativo" )</f>
        <v>R: Como  3,9215 &lt; 7681,0991 o modelo é significativo</v>
      </c>
      <c r="L590" s="14"/>
      <c r="M590" s="14"/>
      <c r="N590" s="14"/>
      <c r="O590" s="14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>
      <c r="A591" s="6"/>
      <c r="B591" s="15">
        <v>8.3000000000000001E-3</v>
      </c>
      <c r="C591" s="15">
        <v>1</v>
      </c>
      <c r="D591" s="7">
        <f t="shared" si="55"/>
        <v>8.3000000000000001E-3</v>
      </c>
      <c r="E591" s="7">
        <f t="shared" si="56"/>
        <v>6.8889999999999999E-5</v>
      </c>
      <c r="F591" s="7">
        <f t="shared" si="56"/>
        <v>1</v>
      </c>
      <c r="G591" s="7">
        <f t="shared" si="57"/>
        <v>-1.2643</v>
      </c>
      <c r="H591" s="7">
        <f t="shared" si="58"/>
        <v>-2.2643</v>
      </c>
      <c r="I591" s="7">
        <f t="shared" si="59"/>
        <v>5.1270544899999999</v>
      </c>
      <c r="J591" s="77"/>
      <c r="K591" s="14"/>
      <c r="L591" s="14"/>
      <c r="M591" s="14"/>
      <c r="N591" s="14"/>
      <c r="O591" s="14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>
      <c r="A592" s="6"/>
      <c r="B592" s="15">
        <v>7.6E-3</v>
      </c>
      <c r="C592" s="15">
        <v>4</v>
      </c>
      <c r="D592" s="7">
        <f t="shared" si="55"/>
        <v>3.04E-2</v>
      </c>
      <c r="E592" s="7">
        <f t="shared" si="56"/>
        <v>5.7760000000000003E-5</v>
      </c>
      <c r="F592" s="7">
        <f t="shared" si="56"/>
        <v>16</v>
      </c>
      <c r="G592" s="7">
        <f t="shared" si="57"/>
        <v>-2.2601</v>
      </c>
      <c r="H592" s="7">
        <f t="shared" si="58"/>
        <v>-6.2601000000000004</v>
      </c>
      <c r="I592" s="7">
        <f t="shared" si="59"/>
        <v>39.188852010000005</v>
      </c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>
      <c r="A593" s="6"/>
      <c r="B593" s="15">
        <v>6.8999999999999999E-3</v>
      </c>
      <c r="C593" s="15">
        <v>1</v>
      </c>
      <c r="D593" s="7">
        <f t="shared" si="55"/>
        <v>6.8999999999999999E-3</v>
      </c>
      <c r="E593" s="7">
        <f t="shared" si="56"/>
        <v>4.761E-5</v>
      </c>
      <c r="F593" s="7">
        <f t="shared" si="56"/>
        <v>1</v>
      </c>
      <c r="G593" s="7">
        <f t="shared" si="57"/>
        <v>-3.2559999999999998</v>
      </c>
      <c r="H593" s="7">
        <f t="shared" si="58"/>
        <v>-4.2560000000000002</v>
      </c>
      <c r="I593" s="7">
        <f t="shared" si="59"/>
        <v>18.113536000000003</v>
      </c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>
      <c r="A594" s="6"/>
      <c r="B594" s="15">
        <v>6.6E-3</v>
      </c>
      <c r="C594" s="15">
        <v>2</v>
      </c>
      <c r="D594" s="7">
        <f t="shared" si="55"/>
        <v>1.32E-2</v>
      </c>
      <c r="E594" s="7">
        <f t="shared" si="56"/>
        <v>4.3559999999999996E-5</v>
      </c>
      <c r="F594" s="7">
        <f t="shared" si="56"/>
        <v>4</v>
      </c>
      <c r="G594" s="7">
        <f t="shared" si="57"/>
        <v>-3.6827999999999999</v>
      </c>
      <c r="H594" s="7">
        <f t="shared" si="58"/>
        <v>-5.6828000000000003</v>
      </c>
      <c r="I594" s="7">
        <f t="shared" si="59"/>
        <v>32.294215840000007</v>
      </c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>
      <c r="A595" s="6"/>
      <c r="B595" s="15">
        <v>6.7000000000000002E-3</v>
      </c>
      <c r="C595" s="15">
        <v>6</v>
      </c>
      <c r="D595" s="7">
        <f t="shared" si="55"/>
        <v>4.02E-2</v>
      </c>
      <c r="E595" s="7">
        <f t="shared" si="56"/>
        <v>4.4890000000000006E-5</v>
      </c>
      <c r="F595" s="7">
        <f t="shared" si="56"/>
        <v>36</v>
      </c>
      <c r="G595" s="7">
        <f t="shared" si="57"/>
        <v>-3.5405000000000002</v>
      </c>
      <c r="H595" s="7">
        <f t="shared" si="58"/>
        <v>-9.5404999999999998</v>
      </c>
      <c r="I595" s="7">
        <f t="shared" si="59"/>
        <v>91.021140250000002</v>
      </c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>
      <c r="A596" s="6"/>
      <c r="B596" s="15">
        <v>7.0000000000000001E-3</v>
      </c>
      <c r="C596" s="15">
        <v>0</v>
      </c>
      <c r="D596" s="7">
        <f t="shared" si="55"/>
        <v>0</v>
      </c>
      <c r="E596" s="7">
        <f t="shared" si="56"/>
        <v>4.9000000000000005E-5</v>
      </c>
      <c r="F596" s="7">
        <f t="shared" si="56"/>
        <v>0</v>
      </c>
      <c r="G596" s="7">
        <f t="shared" si="57"/>
        <v>-3.1137000000000001</v>
      </c>
      <c r="H596" s="7">
        <f t="shared" si="58"/>
        <v>-3.1137000000000001</v>
      </c>
      <c r="I596" s="7">
        <f t="shared" si="59"/>
        <v>9.6951276900000014</v>
      </c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>
      <c r="A597" s="6"/>
      <c r="B597" s="15">
        <v>7.4000000000000003E-3</v>
      </c>
      <c r="C597" s="15">
        <v>5</v>
      </c>
      <c r="D597" s="7">
        <f t="shared" si="55"/>
        <v>3.7000000000000005E-2</v>
      </c>
      <c r="E597" s="7">
        <f t="shared" si="56"/>
        <v>5.4760000000000004E-5</v>
      </c>
      <c r="F597" s="7">
        <f t="shared" si="56"/>
        <v>25</v>
      </c>
      <c r="G597" s="7">
        <f t="shared" si="57"/>
        <v>-2.5447000000000002</v>
      </c>
      <c r="H597" s="7">
        <f t="shared" si="58"/>
        <v>-7.5446999999999997</v>
      </c>
      <c r="I597" s="7">
        <f t="shared" si="59"/>
        <v>56.922498089999998</v>
      </c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>
      <c r="A598" s="6"/>
      <c r="B598" s="15">
        <v>8.0999999999999996E-3</v>
      </c>
      <c r="C598" s="15">
        <v>3</v>
      </c>
      <c r="D598" s="7">
        <f t="shared" si="55"/>
        <v>2.4299999999999999E-2</v>
      </c>
      <c r="E598" s="7">
        <f t="shared" si="56"/>
        <v>6.560999999999999E-5</v>
      </c>
      <c r="F598" s="7">
        <f t="shared" si="56"/>
        <v>9</v>
      </c>
      <c r="G598" s="7">
        <f t="shared" si="57"/>
        <v>-1.5488</v>
      </c>
      <c r="H598" s="7">
        <f t="shared" si="58"/>
        <v>-4.5488</v>
      </c>
      <c r="I598" s="7">
        <f t="shared" si="59"/>
        <v>20.69158144</v>
      </c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>
      <c r="A599" s="6"/>
      <c r="B599" s="15">
        <v>8.6999999999999994E-3</v>
      </c>
      <c r="C599" s="15">
        <v>1</v>
      </c>
      <c r="D599" s="7">
        <f t="shared" si="55"/>
        <v>8.6999999999999994E-3</v>
      </c>
      <c r="E599" s="7">
        <f t="shared" si="56"/>
        <v>7.5689999999999989E-5</v>
      </c>
      <c r="F599" s="7">
        <f t="shared" si="56"/>
        <v>1</v>
      </c>
      <c r="G599" s="7">
        <f t="shared" si="57"/>
        <v>-0.69520000000000004</v>
      </c>
      <c r="H599" s="7">
        <f t="shared" si="58"/>
        <v>-1.6952</v>
      </c>
      <c r="I599" s="7">
        <f t="shared" si="59"/>
        <v>2.8737030400000001</v>
      </c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>
      <c r="A600" s="6"/>
      <c r="B600" s="15">
        <v>9.1000000000000004E-3</v>
      </c>
      <c r="C600" s="15">
        <v>0</v>
      </c>
      <c r="D600" s="7">
        <f t="shared" si="55"/>
        <v>0</v>
      </c>
      <c r="E600" s="7">
        <f t="shared" si="56"/>
        <v>8.2810000000000002E-5</v>
      </c>
      <c r="F600" s="7">
        <f t="shared" si="56"/>
        <v>0</v>
      </c>
      <c r="G600" s="7">
        <f t="shared" si="57"/>
        <v>-0.12620000000000001</v>
      </c>
      <c r="H600" s="7">
        <f t="shared" si="58"/>
        <v>-0.12620000000000001</v>
      </c>
      <c r="I600" s="7">
        <f t="shared" si="59"/>
        <v>1.592644E-2</v>
      </c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>
      <c r="A601" s="6"/>
      <c r="B601" s="15">
        <v>9.1000000000000004E-3</v>
      </c>
      <c r="C601" s="15">
        <v>2</v>
      </c>
      <c r="D601" s="7">
        <f t="shared" si="55"/>
        <v>1.8200000000000001E-2</v>
      </c>
      <c r="E601" s="7">
        <f t="shared" si="56"/>
        <v>8.2810000000000002E-5</v>
      </c>
      <c r="F601" s="7">
        <f t="shared" si="56"/>
        <v>4</v>
      </c>
      <c r="G601" s="7">
        <f t="shared" si="57"/>
        <v>-0.12620000000000001</v>
      </c>
      <c r="H601" s="7">
        <f t="shared" si="58"/>
        <v>-2.1261999999999999</v>
      </c>
      <c r="I601" s="7">
        <f t="shared" si="59"/>
        <v>4.5207264399999998</v>
      </c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>
      <c r="A602" s="6"/>
      <c r="B602" s="15">
        <v>8.6E-3</v>
      </c>
      <c r="C602" s="15">
        <v>1</v>
      </c>
      <c r="D602" s="7">
        <f t="shared" si="55"/>
        <v>8.6E-3</v>
      </c>
      <c r="E602" s="7">
        <f t="shared" si="56"/>
        <v>7.3960000000000003E-5</v>
      </c>
      <c r="F602" s="7">
        <f t="shared" si="56"/>
        <v>1</v>
      </c>
      <c r="G602" s="7">
        <f t="shared" si="57"/>
        <v>-0.83750000000000002</v>
      </c>
      <c r="H602" s="7">
        <f t="shared" si="58"/>
        <v>-1.8374999999999999</v>
      </c>
      <c r="I602" s="7">
        <f t="shared" si="59"/>
        <v>3.3764062499999996</v>
      </c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>
      <c r="A603" s="6"/>
      <c r="B603" s="15">
        <v>8.6E-3</v>
      </c>
      <c r="C603" s="15">
        <v>0</v>
      </c>
      <c r="D603" s="7">
        <f t="shared" si="55"/>
        <v>0</v>
      </c>
      <c r="E603" s="7">
        <f t="shared" si="56"/>
        <v>7.3960000000000003E-5</v>
      </c>
      <c r="F603" s="7">
        <f t="shared" si="56"/>
        <v>0</v>
      </c>
      <c r="G603" s="7">
        <f t="shared" si="57"/>
        <v>-0.83750000000000002</v>
      </c>
      <c r="H603" s="7">
        <f t="shared" si="58"/>
        <v>-0.83750000000000002</v>
      </c>
      <c r="I603" s="7">
        <f t="shared" si="59"/>
        <v>0.70140625000000001</v>
      </c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>
      <c r="A604" s="6"/>
      <c r="B604" s="15">
        <v>8.3999999999999995E-3</v>
      </c>
      <c r="C604" s="15">
        <v>4</v>
      </c>
      <c r="D604" s="7">
        <f t="shared" si="55"/>
        <v>3.3599999999999998E-2</v>
      </c>
      <c r="E604" s="7">
        <f t="shared" si="56"/>
        <v>7.0559999999999989E-5</v>
      </c>
      <c r="F604" s="7">
        <f t="shared" si="56"/>
        <v>16</v>
      </c>
      <c r="G604" s="7">
        <f t="shared" si="57"/>
        <v>-1.1220000000000001</v>
      </c>
      <c r="H604" s="7">
        <f t="shared" si="58"/>
        <v>-5.1219999999999999</v>
      </c>
      <c r="I604" s="7">
        <f t="shared" si="59"/>
        <v>26.234883999999997</v>
      </c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>
      <c r="A605" s="6"/>
      <c r="B605" s="15">
        <v>7.9000000000000008E-3</v>
      </c>
      <c r="C605" s="15">
        <v>2</v>
      </c>
      <c r="D605" s="7">
        <f t="shared" si="55"/>
        <v>1.5800000000000002E-2</v>
      </c>
      <c r="E605" s="7">
        <f t="shared" si="56"/>
        <v>6.2410000000000007E-5</v>
      </c>
      <c r="F605" s="7">
        <f t="shared" si="56"/>
        <v>4</v>
      </c>
      <c r="G605" s="7">
        <f t="shared" si="57"/>
        <v>-1.8332999999999999</v>
      </c>
      <c r="H605" s="7">
        <f t="shared" si="58"/>
        <v>-3.8332999999999999</v>
      </c>
      <c r="I605" s="7">
        <f t="shared" si="59"/>
        <v>14.69418889</v>
      </c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>
      <c r="A606" s="6"/>
      <c r="B606" s="15">
        <v>7.7000000000000002E-3</v>
      </c>
      <c r="C606" s="15">
        <v>5</v>
      </c>
      <c r="D606" s="7">
        <f t="shared" si="55"/>
        <v>3.85E-2</v>
      </c>
      <c r="E606" s="7">
        <f t="shared" si="56"/>
        <v>5.9290000000000003E-5</v>
      </c>
      <c r="F606" s="7">
        <f t="shared" si="56"/>
        <v>25</v>
      </c>
      <c r="G606" s="7">
        <f t="shared" si="57"/>
        <v>-2.1179000000000001</v>
      </c>
      <c r="H606" s="7">
        <f t="shared" si="58"/>
        <v>-7.1178999999999997</v>
      </c>
      <c r="I606" s="7">
        <f t="shared" si="59"/>
        <v>50.664500409999995</v>
      </c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>
      <c r="A607" s="6"/>
      <c r="B607" s="15">
        <v>7.9000000000000008E-3</v>
      </c>
      <c r="C607" s="15">
        <v>1</v>
      </c>
      <c r="D607" s="7">
        <f t="shared" si="55"/>
        <v>7.9000000000000008E-3</v>
      </c>
      <c r="E607" s="7">
        <f t="shared" si="56"/>
        <v>6.2410000000000007E-5</v>
      </c>
      <c r="F607" s="7">
        <f t="shared" si="56"/>
        <v>1</v>
      </c>
      <c r="G607" s="7">
        <f t="shared" si="57"/>
        <v>-1.8332999999999999</v>
      </c>
      <c r="H607" s="7">
        <f t="shared" si="58"/>
        <v>-2.8332999999999999</v>
      </c>
      <c r="I607" s="7">
        <f t="shared" si="59"/>
        <v>8.0275888899999988</v>
      </c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>
      <c r="A608" s="6"/>
      <c r="B608" s="15">
        <v>7.7000000000000002E-3</v>
      </c>
      <c r="C608" s="15">
        <v>2</v>
      </c>
      <c r="D608" s="7">
        <f t="shared" si="55"/>
        <v>1.54E-2</v>
      </c>
      <c r="E608" s="7">
        <f t="shared" si="56"/>
        <v>5.9290000000000003E-5</v>
      </c>
      <c r="F608" s="7">
        <f t="shared" si="56"/>
        <v>4</v>
      </c>
      <c r="G608" s="7">
        <f t="shared" si="57"/>
        <v>-2.1179000000000001</v>
      </c>
      <c r="H608" s="7">
        <f t="shared" si="58"/>
        <v>-4.1178999999999997</v>
      </c>
      <c r="I608" s="7">
        <f t="shared" si="59"/>
        <v>16.957100409999999</v>
      </c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>
      <c r="A609" s="6"/>
      <c r="B609" s="15">
        <v>7.7000000000000002E-3</v>
      </c>
      <c r="C609" s="15">
        <v>1</v>
      </c>
      <c r="D609" s="7">
        <f t="shared" si="55"/>
        <v>7.7000000000000002E-3</v>
      </c>
      <c r="E609" s="7">
        <f t="shared" si="56"/>
        <v>5.9290000000000003E-5</v>
      </c>
      <c r="F609" s="7">
        <f t="shared" si="56"/>
        <v>1</v>
      </c>
      <c r="G609" s="7">
        <f t="shared" si="57"/>
        <v>-2.1179000000000001</v>
      </c>
      <c r="H609" s="7">
        <f t="shared" si="58"/>
        <v>-3.1179000000000001</v>
      </c>
      <c r="I609" s="7">
        <f t="shared" si="59"/>
        <v>9.7213004100000013</v>
      </c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>
      <c r="A610" s="6"/>
      <c r="B610" s="15">
        <v>8.0000000000000002E-3</v>
      </c>
      <c r="C610" s="15">
        <v>1</v>
      </c>
      <c r="D610" s="7">
        <f t="shared" si="55"/>
        <v>8.0000000000000002E-3</v>
      </c>
      <c r="E610" s="7">
        <f t="shared" si="56"/>
        <v>6.3999999999999997E-5</v>
      </c>
      <c r="F610" s="7">
        <f t="shared" si="56"/>
        <v>1</v>
      </c>
      <c r="G610" s="7">
        <f t="shared" si="57"/>
        <v>-1.6911</v>
      </c>
      <c r="H610" s="7">
        <f t="shared" si="58"/>
        <v>-2.6911</v>
      </c>
      <c r="I610" s="7">
        <f t="shared" si="59"/>
        <v>7.2420192100000005</v>
      </c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>
      <c r="A611" s="6"/>
      <c r="B611" s="15">
        <v>8.3999999999999995E-3</v>
      </c>
      <c r="C611" s="15">
        <v>1</v>
      </c>
      <c r="D611" s="7">
        <f t="shared" si="55"/>
        <v>8.3999999999999995E-3</v>
      </c>
      <c r="E611" s="7">
        <f t="shared" si="56"/>
        <v>7.0559999999999989E-5</v>
      </c>
      <c r="F611" s="7">
        <f t="shared" si="56"/>
        <v>1</v>
      </c>
      <c r="G611" s="7">
        <f t="shared" si="57"/>
        <v>-1.1220000000000001</v>
      </c>
      <c r="H611" s="7">
        <f t="shared" si="58"/>
        <v>-2.1219999999999999</v>
      </c>
      <c r="I611" s="7">
        <f t="shared" si="59"/>
        <v>4.5028839999999999</v>
      </c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>
      <c r="A612" s="6"/>
      <c r="B612" s="15">
        <v>8.8999999999999999E-3</v>
      </c>
      <c r="C612" s="15">
        <v>4</v>
      </c>
      <c r="D612" s="7">
        <f t="shared" si="55"/>
        <v>3.56E-2</v>
      </c>
      <c r="E612" s="7">
        <f t="shared" si="56"/>
        <v>7.9209999999999995E-5</v>
      </c>
      <c r="F612" s="7">
        <f t="shared" si="56"/>
        <v>16</v>
      </c>
      <c r="G612" s="7">
        <f t="shared" si="57"/>
        <v>-0.41070000000000001</v>
      </c>
      <c r="H612" s="7">
        <f t="shared" si="58"/>
        <v>-4.4107000000000003</v>
      </c>
      <c r="I612" s="7">
        <f t="shared" si="59"/>
        <v>19.454274490000003</v>
      </c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>
      <c r="A613" s="6"/>
      <c r="B613" s="15">
        <v>9.4000000000000004E-3</v>
      </c>
      <c r="C613" s="15">
        <v>1</v>
      </c>
      <c r="D613" s="7">
        <f t="shared" si="55"/>
        <v>9.4000000000000004E-3</v>
      </c>
      <c r="E613" s="7">
        <f t="shared" si="56"/>
        <v>8.8360000000000001E-5</v>
      </c>
      <c r="F613" s="7">
        <f t="shared" si="56"/>
        <v>1</v>
      </c>
      <c r="G613" s="7">
        <f t="shared" si="57"/>
        <v>0.30059999999999998</v>
      </c>
      <c r="H613" s="7">
        <f t="shared" si="58"/>
        <v>-0.69940000000000002</v>
      </c>
      <c r="I613" s="7">
        <f t="shared" si="59"/>
        <v>0.48916036000000002</v>
      </c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>
      <c r="A614" s="6"/>
      <c r="B614" s="15">
        <v>9.7999999999999997E-3</v>
      </c>
      <c r="C614" s="15">
        <v>0</v>
      </c>
      <c r="D614" s="7">
        <f t="shared" si="55"/>
        <v>0</v>
      </c>
      <c r="E614" s="7">
        <f t="shared" si="56"/>
        <v>9.6039999999999995E-5</v>
      </c>
      <c r="F614" s="7">
        <f t="shared" si="56"/>
        <v>0</v>
      </c>
      <c r="G614" s="7">
        <f t="shared" si="57"/>
        <v>0.86970000000000003</v>
      </c>
      <c r="H614" s="7">
        <f t="shared" si="58"/>
        <v>0.86970000000000003</v>
      </c>
      <c r="I614" s="7">
        <f t="shared" si="59"/>
        <v>0.75637809</v>
      </c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>
      <c r="A615" s="6"/>
      <c r="B615" s="15">
        <v>0.01</v>
      </c>
      <c r="C615" s="15">
        <v>7</v>
      </c>
      <c r="D615" s="7">
        <f t="shared" si="55"/>
        <v>7.0000000000000007E-2</v>
      </c>
      <c r="E615" s="7">
        <f t="shared" si="56"/>
        <v>1E-4</v>
      </c>
      <c r="F615" s="7">
        <f t="shared" si="56"/>
        <v>49</v>
      </c>
      <c r="G615" s="7">
        <f t="shared" si="57"/>
        <v>1.1541999999999999</v>
      </c>
      <c r="H615" s="7">
        <f t="shared" si="58"/>
        <v>-5.8457999999999997</v>
      </c>
      <c r="I615" s="7">
        <f t="shared" si="59"/>
        <v>34.173377639999998</v>
      </c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>
      <c r="A616" s="6"/>
      <c r="B616" s="15">
        <v>1.01E-2</v>
      </c>
      <c r="C616" s="15">
        <v>1</v>
      </c>
      <c r="D616" s="7">
        <f t="shared" si="55"/>
        <v>1.01E-2</v>
      </c>
      <c r="E616" s="7">
        <f t="shared" si="56"/>
        <v>1.0200999999999999E-4</v>
      </c>
      <c r="F616" s="7">
        <f t="shared" si="56"/>
        <v>1</v>
      </c>
      <c r="G616" s="7">
        <f t="shared" si="57"/>
        <v>1.2965</v>
      </c>
      <c r="H616" s="7">
        <f t="shared" si="58"/>
        <v>0.29649999999999999</v>
      </c>
      <c r="I616" s="7">
        <f t="shared" si="59"/>
        <v>8.7912249999999997E-2</v>
      </c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>
      <c r="A617" s="6"/>
      <c r="B617" s="15">
        <v>1.01E-2</v>
      </c>
      <c r="C617" s="15">
        <v>2</v>
      </c>
      <c r="D617" s="7">
        <f t="shared" si="55"/>
        <v>2.0199999999999999E-2</v>
      </c>
      <c r="E617" s="7">
        <f t="shared" si="56"/>
        <v>1.0200999999999999E-4</v>
      </c>
      <c r="F617" s="7">
        <f t="shared" si="56"/>
        <v>4</v>
      </c>
      <c r="G617" s="7">
        <f t="shared" si="57"/>
        <v>1.2965</v>
      </c>
      <c r="H617" s="7">
        <f t="shared" si="58"/>
        <v>-0.70350000000000001</v>
      </c>
      <c r="I617" s="7">
        <f t="shared" si="59"/>
        <v>0.49491225</v>
      </c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>
      <c r="A618" s="6"/>
      <c r="B618" s="15">
        <v>1.0500000000000001E-2</v>
      </c>
      <c r="C618" s="15">
        <v>2</v>
      </c>
      <c r="D618" s="7">
        <f t="shared" si="55"/>
        <v>2.1000000000000001E-2</v>
      </c>
      <c r="E618" s="7">
        <f t="shared" si="56"/>
        <v>1.1025000000000001E-4</v>
      </c>
      <c r="F618" s="7">
        <f t="shared" si="56"/>
        <v>4</v>
      </c>
      <c r="G618" s="7">
        <f t="shared" si="57"/>
        <v>1.8654999999999999</v>
      </c>
      <c r="H618" s="7">
        <f t="shared" si="58"/>
        <v>-0.13450000000000001</v>
      </c>
      <c r="I618" s="7">
        <f t="shared" si="59"/>
        <v>1.8090250000000002E-2</v>
      </c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>
      <c r="A619" s="6"/>
      <c r="B619" s="15">
        <v>1.06E-2</v>
      </c>
      <c r="C619" s="15">
        <v>2</v>
      </c>
      <c r="D619" s="7">
        <f t="shared" si="55"/>
        <v>2.12E-2</v>
      </c>
      <c r="E619" s="7">
        <f t="shared" si="56"/>
        <v>1.1236E-4</v>
      </c>
      <c r="F619" s="7">
        <f t="shared" si="56"/>
        <v>4</v>
      </c>
      <c r="G619" s="7">
        <f t="shared" si="57"/>
        <v>2.0078</v>
      </c>
      <c r="H619" s="7">
        <f t="shared" si="58"/>
        <v>7.7999999999999996E-3</v>
      </c>
      <c r="I619" s="7">
        <f t="shared" si="59"/>
        <v>6.0839999999999993E-5</v>
      </c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>
      <c r="A620" s="6"/>
      <c r="B620" s="15">
        <v>1.0500000000000001E-2</v>
      </c>
      <c r="C620" s="15">
        <v>1</v>
      </c>
      <c r="D620" s="7">
        <f t="shared" si="55"/>
        <v>1.0500000000000001E-2</v>
      </c>
      <c r="E620" s="7">
        <f t="shared" si="56"/>
        <v>1.1025000000000001E-4</v>
      </c>
      <c r="F620" s="7">
        <f t="shared" si="56"/>
        <v>1</v>
      </c>
      <c r="G620" s="7">
        <f t="shared" si="57"/>
        <v>1.8654999999999999</v>
      </c>
      <c r="H620" s="7">
        <f t="shared" si="58"/>
        <v>0.86550000000000005</v>
      </c>
      <c r="I620" s="7">
        <f t="shared" si="59"/>
        <v>0.74909025000000007</v>
      </c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>
      <c r="A621" s="6"/>
      <c r="B621" s="15">
        <v>1.09E-2</v>
      </c>
      <c r="C621" s="15">
        <v>3</v>
      </c>
      <c r="D621" s="7">
        <f t="shared" si="55"/>
        <v>3.27E-2</v>
      </c>
      <c r="E621" s="7">
        <f t="shared" si="56"/>
        <v>1.1881E-4</v>
      </c>
      <c r="F621" s="7">
        <f t="shared" si="56"/>
        <v>9</v>
      </c>
      <c r="G621" s="7">
        <f t="shared" si="57"/>
        <v>2.4346000000000001</v>
      </c>
      <c r="H621" s="7">
        <f t="shared" si="58"/>
        <v>-0.56540000000000001</v>
      </c>
      <c r="I621" s="7">
        <f t="shared" si="59"/>
        <v>0.31967716000000002</v>
      </c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>
      <c r="A622" s="6"/>
      <c r="B622" s="15">
        <v>1.0999999999999999E-2</v>
      </c>
      <c r="C622" s="15">
        <v>0</v>
      </c>
      <c r="D622" s="7">
        <f t="shared" si="55"/>
        <v>0</v>
      </c>
      <c r="E622" s="7">
        <f t="shared" si="56"/>
        <v>1.2099999999999999E-4</v>
      </c>
      <c r="F622" s="7">
        <f t="shared" si="56"/>
        <v>0</v>
      </c>
      <c r="G622" s="7">
        <f t="shared" si="57"/>
        <v>2.5768</v>
      </c>
      <c r="H622" s="7">
        <f t="shared" si="58"/>
        <v>2.5768</v>
      </c>
      <c r="I622" s="7">
        <f t="shared" si="59"/>
        <v>6.63989824</v>
      </c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>
      <c r="A623" s="6"/>
      <c r="B623" s="15">
        <v>1.1299999999999999E-2</v>
      </c>
      <c r="C623" s="15">
        <v>0</v>
      </c>
      <c r="D623" s="7">
        <f t="shared" si="55"/>
        <v>0</v>
      </c>
      <c r="E623" s="7">
        <f t="shared" si="56"/>
        <v>1.2768999999999999E-4</v>
      </c>
      <c r="F623" s="7">
        <f t="shared" si="56"/>
        <v>0</v>
      </c>
      <c r="G623" s="7">
        <f t="shared" si="57"/>
        <v>3.0036</v>
      </c>
      <c r="H623" s="7">
        <f t="shared" si="58"/>
        <v>3.0036</v>
      </c>
      <c r="I623" s="7">
        <f t="shared" si="59"/>
        <v>9.0216129600000006</v>
      </c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>
      <c r="A624" s="6"/>
      <c r="B624" s="15">
        <v>1.15E-2</v>
      </c>
      <c r="C624" s="15">
        <v>1</v>
      </c>
      <c r="D624" s="7">
        <f t="shared" si="55"/>
        <v>1.15E-2</v>
      </c>
      <c r="E624" s="7">
        <f t="shared" si="56"/>
        <v>1.3224999999999999E-4</v>
      </c>
      <c r="F624" s="7">
        <f t="shared" si="56"/>
        <v>1</v>
      </c>
      <c r="G624" s="7">
        <f t="shared" si="57"/>
        <v>3.2881999999999998</v>
      </c>
      <c r="H624" s="7">
        <f t="shared" si="58"/>
        <v>2.2881999999999998</v>
      </c>
      <c r="I624" s="7">
        <f t="shared" si="59"/>
        <v>5.235859239999999</v>
      </c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>
      <c r="A625" s="6"/>
      <c r="B625" s="15">
        <v>1.14E-2</v>
      </c>
      <c r="C625" s="15">
        <v>3</v>
      </c>
      <c r="D625" s="7">
        <f t="shared" si="55"/>
        <v>3.4200000000000001E-2</v>
      </c>
      <c r="E625" s="7">
        <f t="shared" si="56"/>
        <v>1.2996000000000001E-4</v>
      </c>
      <c r="F625" s="7">
        <f t="shared" si="56"/>
        <v>9</v>
      </c>
      <c r="G625" s="7">
        <f t="shared" si="57"/>
        <v>3.1459000000000001</v>
      </c>
      <c r="H625" s="7">
        <f t="shared" si="58"/>
        <v>0.1459</v>
      </c>
      <c r="I625" s="7">
        <f t="shared" si="59"/>
        <v>2.128681E-2</v>
      </c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>
      <c r="A626" s="6"/>
      <c r="B626" s="15">
        <v>1.14E-2</v>
      </c>
      <c r="C626" s="15">
        <v>1</v>
      </c>
      <c r="D626" s="7">
        <f t="shared" si="55"/>
        <v>1.14E-2</v>
      </c>
      <c r="E626" s="7">
        <f t="shared" si="56"/>
        <v>1.2996000000000001E-4</v>
      </c>
      <c r="F626" s="7">
        <f t="shared" si="56"/>
        <v>1</v>
      </c>
      <c r="G626" s="7">
        <f t="shared" si="57"/>
        <v>3.1459000000000001</v>
      </c>
      <c r="H626" s="7">
        <f t="shared" si="58"/>
        <v>2.1459000000000001</v>
      </c>
      <c r="I626" s="7">
        <f t="shared" si="59"/>
        <v>4.6048868100000009</v>
      </c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>
      <c r="A627" s="6"/>
      <c r="B627" s="15">
        <v>1.15E-2</v>
      </c>
      <c r="C627" s="15">
        <v>0</v>
      </c>
      <c r="D627" s="7">
        <f t="shared" si="55"/>
        <v>0</v>
      </c>
      <c r="E627" s="7">
        <f t="shared" si="56"/>
        <v>1.3224999999999999E-4</v>
      </c>
      <c r="F627" s="7">
        <f t="shared" si="56"/>
        <v>0</v>
      </c>
      <c r="G627" s="7">
        <f t="shared" si="57"/>
        <v>3.2881999999999998</v>
      </c>
      <c r="H627" s="7">
        <f t="shared" si="58"/>
        <v>3.2881999999999998</v>
      </c>
      <c r="I627" s="7">
        <f t="shared" si="59"/>
        <v>10.812259239999999</v>
      </c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>
      <c r="A628" s="6"/>
      <c r="B628" s="15">
        <v>1.11E-2</v>
      </c>
      <c r="C628" s="15">
        <v>1</v>
      </c>
      <c r="D628" s="7">
        <f t="shared" si="55"/>
        <v>1.11E-2</v>
      </c>
      <c r="E628" s="7">
        <f t="shared" si="56"/>
        <v>1.2321000000000001E-4</v>
      </c>
      <c r="F628" s="7">
        <f t="shared" si="56"/>
        <v>1</v>
      </c>
      <c r="G628" s="7">
        <f t="shared" si="57"/>
        <v>2.7191000000000001</v>
      </c>
      <c r="H628" s="7">
        <f>ROUND(G628-C628,4)</f>
        <v>1.7191000000000001</v>
      </c>
      <c r="I628" s="7">
        <f t="shared" si="59"/>
        <v>2.9553048100000003</v>
      </c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>
      <c r="A629" s="6"/>
      <c r="B629" s="15">
        <v>1.0999999999999999E-2</v>
      </c>
      <c r="C629" s="15">
        <v>0</v>
      </c>
      <c r="D629" s="7">
        <f t="shared" si="55"/>
        <v>0</v>
      </c>
      <c r="E629" s="7">
        <f t="shared" si="56"/>
        <v>1.2099999999999999E-4</v>
      </c>
      <c r="F629" s="7">
        <f t="shared" si="56"/>
        <v>0</v>
      </c>
      <c r="G629" s="7">
        <f t="shared" si="57"/>
        <v>2.5768</v>
      </c>
      <c r="H629" s="7">
        <f t="shared" si="58"/>
        <v>2.5768</v>
      </c>
      <c r="I629" s="7">
        <f t="shared" si="59"/>
        <v>6.63989824</v>
      </c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>
      <c r="A630" s="6"/>
      <c r="B630" s="15">
        <v>1.0999999999999999E-2</v>
      </c>
      <c r="C630" s="15">
        <v>0</v>
      </c>
      <c r="D630" s="7">
        <f t="shared" si="55"/>
        <v>0</v>
      </c>
      <c r="E630" s="7">
        <f t="shared" si="56"/>
        <v>1.2099999999999999E-4</v>
      </c>
      <c r="F630" s="7">
        <f t="shared" si="56"/>
        <v>0</v>
      </c>
      <c r="G630" s="7">
        <f t="shared" si="57"/>
        <v>2.5768</v>
      </c>
      <c r="H630" s="7">
        <f t="shared" si="58"/>
        <v>2.5768</v>
      </c>
      <c r="I630" s="7">
        <f t="shared" si="59"/>
        <v>6.63989824</v>
      </c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>
      <c r="A631" s="6"/>
      <c r="B631" s="15">
        <v>1.1299999999999999E-2</v>
      </c>
      <c r="C631" s="15">
        <v>2</v>
      </c>
      <c r="D631" s="4">
        <f t="shared" si="55"/>
        <v>2.2599999999999999E-2</v>
      </c>
      <c r="E631" s="7">
        <f t="shared" si="56"/>
        <v>1.2768999999999999E-4</v>
      </c>
      <c r="F631" s="7">
        <f t="shared" si="56"/>
        <v>4</v>
      </c>
      <c r="G631" s="7">
        <f t="shared" si="57"/>
        <v>3.0036</v>
      </c>
      <c r="H631" s="7">
        <f t="shared" si="58"/>
        <v>1.0036</v>
      </c>
      <c r="I631" s="7">
        <f t="shared" si="59"/>
        <v>1.0072129600000002</v>
      </c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>
      <c r="A632" s="4" t="s">
        <v>18</v>
      </c>
      <c r="B632" s="4">
        <f t="shared" ref="B632" si="60">SUM(B512:B631)</f>
        <v>4.2930000000000046</v>
      </c>
      <c r="C632" s="4">
        <f t="shared" ref="C632:I632" si="61">SUM(C512:C631)</f>
        <v>4543</v>
      </c>
      <c r="D632" s="4">
        <f t="shared" si="61"/>
        <v>525.69680000000039</v>
      </c>
      <c r="E632" s="4">
        <f t="shared" si="61"/>
        <v>0.40899665999999968</v>
      </c>
      <c r="F632" s="4">
        <f t="shared" si="61"/>
        <v>696425</v>
      </c>
      <c r="G632" s="4">
        <f t="shared" si="61"/>
        <v>4538.7298999999994</v>
      </c>
      <c r="H632" s="4">
        <f>SUM(H512:H631)</f>
        <v>-4.2700999999999976</v>
      </c>
      <c r="I632" s="4">
        <f t="shared" si="61"/>
        <v>8046.3757779499983</v>
      </c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</row>
    <row r="634" spans="1:20">
      <c r="A634" s="6"/>
      <c r="B634" s="15"/>
      <c r="C634" s="6"/>
      <c r="D634" s="6"/>
      <c r="E634" s="6"/>
      <c r="F634" s="6"/>
      <c r="G634" s="15"/>
      <c r="H634" s="15"/>
      <c r="I634" s="1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</row>
    <row r="636" spans="1:20">
      <c r="A636" s="6"/>
      <c r="B636" s="3"/>
      <c r="C636" s="3"/>
      <c r="D636" s="3"/>
      <c r="E636" s="3"/>
      <c r="F636" s="3"/>
      <c r="G636" s="3"/>
      <c r="H636" s="15"/>
      <c r="I636" s="1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>
      <c r="A637" s="6"/>
      <c r="B637" s="2" t="s">
        <v>9</v>
      </c>
      <c r="C637" s="2" t="s">
        <v>10</v>
      </c>
      <c r="D637" s="2" t="s">
        <v>11</v>
      </c>
      <c r="E637" s="2" t="s">
        <v>12</v>
      </c>
      <c r="F637" s="2" t="s">
        <v>13</v>
      </c>
      <c r="G637" s="2"/>
      <c r="H637" s="4"/>
      <c r="I637" s="4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>
      <c r="A638" s="6"/>
      <c r="B638" s="15" t="s">
        <v>8</v>
      </c>
      <c r="C638" s="15" t="s">
        <v>2</v>
      </c>
      <c r="D638" s="4"/>
      <c r="E638" s="2"/>
      <c r="F638" s="4"/>
      <c r="G638" s="4"/>
      <c r="H638" s="4"/>
      <c r="I638" s="4"/>
      <c r="J638" s="6"/>
      <c r="K638" s="80" t="s">
        <v>15</v>
      </c>
      <c r="L638" s="80"/>
      <c r="M638" s="6" t="s">
        <v>28</v>
      </c>
      <c r="N638" s="6"/>
      <c r="O638" s="6"/>
      <c r="P638" s="6"/>
      <c r="Q638" s="6"/>
      <c r="R638" s="6"/>
      <c r="S638" s="6"/>
      <c r="T638" s="6"/>
    </row>
    <row r="639" spans="1:20">
      <c r="A639" s="6"/>
      <c r="B639" s="15">
        <v>80488</v>
      </c>
      <c r="C639" s="15">
        <v>275</v>
      </c>
      <c r="D639" s="7">
        <f>B639*C639</f>
        <v>22134200</v>
      </c>
      <c r="E639" s="7">
        <f>B639^2</f>
        <v>6478318144</v>
      </c>
      <c r="F639" s="7">
        <f>C639^2</f>
        <v>75625</v>
      </c>
      <c r="G639" s="7">
        <f>ROUND($M$686+$M$683*B639,4)</f>
        <v>98.331000000000003</v>
      </c>
      <c r="H639" s="7">
        <f>ROUND(G639-C639,4)</f>
        <v>-176.66900000000001</v>
      </c>
      <c r="I639" s="7">
        <f>H639^2</f>
        <v>31211.935561000006</v>
      </c>
      <c r="J639" s="6"/>
      <c r="K639" s="80" t="s">
        <v>14</v>
      </c>
      <c r="L639" s="80"/>
      <c r="M639" s="80" t="s">
        <v>26</v>
      </c>
      <c r="N639" s="80"/>
      <c r="O639" s="6"/>
      <c r="P639" s="6"/>
      <c r="Q639" s="6"/>
      <c r="R639" s="6"/>
      <c r="S639" s="6"/>
      <c r="T639" s="6"/>
    </row>
    <row r="640" spans="1:20">
      <c r="A640" s="6"/>
      <c r="B640" s="15">
        <v>82431</v>
      </c>
      <c r="C640" s="15">
        <v>260</v>
      </c>
      <c r="D640" s="7">
        <f t="shared" ref="D640:D703" si="62">B640*C640</f>
        <v>21432060</v>
      </c>
      <c r="E640" s="7">
        <f t="shared" ref="E640:F703" si="63">B640^2</f>
        <v>6794869761</v>
      </c>
      <c r="F640" s="7">
        <f t="shared" si="63"/>
        <v>67600</v>
      </c>
      <c r="G640" s="7">
        <f t="shared" ref="G640:G703" si="64">ROUND($M$686+$M$683*B640,4)</f>
        <v>98.136700000000005</v>
      </c>
      <c r="H640" s="7">
        <f t="shared" ref="H640:H703" si="65">ROUND(G640-C640,4)</f>
        <v>-161.86330000000001</v>
      </c>
      <c r="I640" s="7">
        <f t="shared" ref="I640:I703" si="66">H640^2</f>
        <v>26199.727886890003</v>
      </c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>
      <c r="A641" s="6"/>
      <c r="B641" s="15">
        <v>87588</v>
      </c>
      <c r="C641" s="15">
        <v>240</v>
      </c>
      <c r="D641" s="7">
        <f t="shared" si="62"/>
        <v>21021120</v>
      </c>
      <c r="E641" s="7">
        <f t="shared" si="63"/>
        <v>7671657744</v>
      </c>
      <c r="F641" s="7">
        <f t="shared" si="63"/>
        <v>57600</v>
      </c>
      <c r="G641" s="7">
        <f t="shared" si="64"/>
        <v>97.620999999999995</v>
      </c>
      <c r="H641" s="7">
        <f t="shared" si="65"/>
        <v>-142.37899999999999</v>
      </c>
      <c r="I641" s="7">
        <f t="shared" si="66"/>
        <v>20271.779640999997</v>
      </c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>
      <c r="A642" s="6"/>
      <c r="B642" s="15">
        <v>96711</v>
      </c>
      <c r="C642" s="15">
        <v>225</v>
      </c>
      <c r="D642" s="7">
        <f t="shared" si="62"/>
        <v>21759975</v>
      </c>
      <c r="E642" s="7">
        <f t="shared" si="63"/>
        <v>9353017521</v>
      </c>
      <c r="F642" s="7">
        <f t="shared" si="63"/>
        <v>50625</v>
      </c>
      <c r="G642" s="7">
        <f t="shared" si="64"/>
        <v>96.708699999999993</v>
      </c>
      <c r="H642" s="7">
        <f t="shared" si="65"/>
        <v>-128.29130000000001</v>
      </c>
      <c r="I642" s="7">
        <f t="shared" si="66"/>
        <v>16458.65765569</v>
      </c>
      <c r="J642" s="6"/>
      <c r="K642" s="80"/>
      <c r="L642" s="80"/>
      <c r="M642" s="6"/>
      <c r="N642" s="6"/>
      <c r="O642" s="6"/>
      <c r="P642" s="6"/>
      <c r="Q642" s="6"/>
      <c r="R642" s="6"/>
      <c r="S642" s="6"/>
      <c r="T642" s="6"/>
    </row>
    <row r="643" spans="1:20">
      <c r="A643" s="6"/>
      <c r="B643" s="15">
        <v>106652</v>
      </c>
      <c r="C643" s="15">
        <v>258</v>
      </c>
      <c r="D643" s="7">
        <f t="shared" si="62"/>
        <v>27516216</v>
      </c>
      <c r="E643" s="7">
        <f t="shared" si="63"/>
        <v>11374649104</v>
      </c>
      <c r="F643" s="7">
        <f t="shared" si="63"/>
        <v>66564</v>
      </c>
      <c r="G643" s="7">
        <f t="shared" si="64"/>
        <v>95.714600000000004</v>
      </c>
      <c r="H643" s="7">
        <f t="shared" si="65"/>
        <v>-162.28540000000001</v>
      </c>
      <c r="I643" s="7">
        <f t="shared" si="66"/>
        <v>26336.551053160005</v>
      </c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>
      <c r="A644" s="6"/>
      <c r="B644" s="15">
        <v>115522</v>
      </c>
      <c r="C644" s="15">
        <v>214</v>
      </c>
      <c r="D644" s="7">
        <f t="shared" si="62"/>
        <v>24721708</v>
      </c>
      <c r="E644" s="7">
        <f t="shared" si="63"/>
        <v>13345332484</v>
      </c>
      <c r="F644" s="7">
        <f t="shared" si="63"/>
        <v>45796</v>
      </c>
      <c r="G644" s="7">
        <f t="shared" si="64"/>
        <v>94.827600000000004</v>
      </c>
      <c r="H644" s="7">
        <f t="shared" si="65"/>
        <v>-119.1724</v>
      </c>
      <c r="I644" s="7">
        <f t="shared" si="66"/>
        <v>14202.060921759999</v>
      </c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>
      <c r="A645" s="6"/>
      <c r="B645" s="15">
        <v>116262</v>
      </c>
      <c r="C645" s="15">
        <v>204</v>
      </c>
      <c r="D645" s="7">
        <f t="shared" si="62"/>
        <v>23717448</v>
      </c>
      <c r="E645" s="7">
        <f t="shared" si="63"/>
        <v>13516852644</v>
      </c>
      <c r="F645" s="7">
        <f t="shared" si="63"/>
        <v>41616</v>
      </c>
      <c r="G645" s="7">
        <f t="shared" si="64"/>
        <v>94.753600000000006</v>
      </c>
      <c r="H645" s="7">
        <f t="shared" si="65"/>
        <v>-109.24639999999999</v>
      </c>
      <c r="I645" s="7">
        <f t="shared" si="66"/>
        <v>11934.775912959998</v>
      </c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>
      <c r="A646" s="6"/>
      <c r="B646" s="15">
        <v>118172</v>
      </c>
      <c r="C646" s="15">
        <v>196</v>
      </c>
      <c r="D646" s="7">
        <f t="shared" si="62"/>
        <v>23161712</v>
      </c>
      <c r="E646" s="7">
        <f t="shared" si="63"/>
        <v>13964621584</v>
      </c>
      <c r="F646" s="7">
        <f t="shared" si="63"/>
        <v>38416</v>
      </c>
      <c r="G646" s="7">
        <f t="shared" si="64"/>
        <v>94.562600000000003</v>
      </c>
      <c r="H646" s="7">
        <f t="shared" si="65"/>
        <v>-101.4374</v>
      </c>
      <c r="I646" s="7">
        <f t="shared" si="66"/>
        <v>10289.546118759999</v>
      </c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>
      <c r="A647" s="6"/>
      <c r="B647" s="15">
        <v>119614</v>
      </c>
      <c r="C647" s="15">
        <v>203</v>
      </c>
      <c r="D647" s="7">
        <f t="shared" si="62"/>
        <v>24281642</v>
      </c>
      <c r="E647" s="7">
        <f t="shared" si="63"/>
        <v>14307508996</v>
      </c>
      <c r="F647" s="7">
        <f t="shared" si="63"/>
        <v>41209</v>
      </c>
      <c r="G647" s="7">
        <f t="shared" si="64"/>
        <v>94.418400000000005</v>
      </c>
      <c r="H647" s="7">
        <f t="shared" si="65"/>
        <v>-108.58159999999999</v>
      </c>
      <c r="I647" s="7">
        <f t="shared" si="66"/>
        <v>11789.963858559999</v>
      </c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>
      <c r="A648" s="6"/>
      <c r="B648" s="15">
        <v>130118</v>
      </c>
      <c r="C648" s="15">
        <v>161</v>
      </c>
      <c r="D648" s="7">
        <f t="shared" si="62"/>
        <v>20948998</v>
      </c>
      <c r="E648" s="7">
        <f t="shared" si="63"/>
        <v>16930693924</v>
      </c>
      <c r="F648" s="7">
        <f t="shared" si="63"/>
        <v>25921</v>
      </c>
      <c r="G648" s="7">
        <f t="shared" si="64"/>
        <v>93.367999999999995</v>
      </c>
      <c r="H648" s="7">
        <f t="shared" si="65"/>
        <v>-67.632000000000005</v>
      </c>
      <c r="I648" s="7">
        <f t="shared" si="66"/>
        <v>4574.0874240000003</v>
      </c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>
      <c r="A649" s="6"/>
      <c r="B649" s="15">
        <v>146637</v>
      </c>
      <c r="C649" s="15">
        <v>167</v>
      </c>
      <c r="D649" s="7">
        <f t="shared" si="62"/>
        <v>24488379</v>
      </c>
      <c r="E649" s="7">
        <f t="shared" si="63"/>
        <v>21502409769</v>
      </c>
      <c r="F649" s="7">
        <f t="shared" si="63"/>
        <v>27889</v>
      </c>
      <c r="G649" s="7">
        <f t="shared" si="64"/>
        <v>91.716099999999997</v>
      </c>
      <c r="H649" s="7">
        <f t="shared" si="65"/>
        <v>-75.283900000000003</v>
      </c>
      <c r="I649" s="7">
        <f t="shared" si="66"/>
        <v>5667.6655992100004</v>
      </c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>
      <c r="A650" s="6"/>
      <c r="B650" s="15">
        <v>171163</v>
      </c>
      <c r="C650" s="15">
        <v>149</v>
      </c>
      <c r="D650" s="7">
        <f t="shared" si="62"/>
        <v>25503287</v>
      </c>
      <c r="E650" s="7">
        <f t="shared" si="63"/>
        <v>29296772569</v>
      </c>
      <c r="F650" s="7">
        <f t="shared" si="63"/>
        <v>22201</v>
      </c>
      <c r="G650" s="7">
        <f t="shared" si="64"/>
        <v>89.263499999999993</v>
      </c>
      <c r="H650" s="7">
        <f t="shared" si="65"/>
        <v>-59.736499999999999</v>
      </c>
      <c r="I650" s="7">
        <f t="shared" si="66"/>
        <v>3568.44943225</v>
      </c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>
      <c r="A651" s="6"/>
      <c r="B651" s="15">
        <v>198253</v>
      </c>
      <c r="C651" s="15">
        <v>149</v>
      </c>
      <c r="D651" s="7">
        <f t="shared" si="62"/>
        <v>29539697</v>
      </c>
      <c r="E651" s="7">
        <f t="shared" si="63"/>
        <v>39304252009</v>
      </c>
      <c r="F651" s="7">
        <f t="shared" si="63"/>
        <v>22201</v>
      </c>
      <c r="G651" s="7">
        <f t="shared" si="64"/>
        <v>86.554500000000004</v>
      </c>
      <c r="H651" s="7">
        <f t="shared" si="65"/>
        <v>-62.445500000000003</v>
      </c>
      <c r="I651" s="7">
        <f t="shared" si="66"/>
        <v>3899.4404702500005</v>
      </c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>
      <c r="A652" s="6"/>
      <c r="B652" s="15">
        <v>208089</v>
      </c>
      <c r="C652" s="15">
        <v>138</v>
      </c>
      <c r="D652" s="7">
        <f t="shared" si="62"/>
        <v>28716282</v>
      </c>
      <c r="E652" s="7">
        <f t="shared" si="63"/>
        <v>43301031921</v>
      </c>
      <c r="F652" s="7">
        <f t="shared" si="63"/>
        <v>19044</v>
      </c>
      <c r="G652" s="7">
        <f t="shared" si="64"/>
        <v>85.570899999999995</v>
      </c>
      <c r="H652" s="7">
        <f t="shared" si="65"/>
        <v>-52.429099999999998</v>
      </c>
      <c r="I652" s="7">
        <f t="shared" si="66"/>
        <v>2748.8105268099998</v>
      </c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>
      <c r="A653" s="6"/>
      <c r="B653" s="15">
        <v>218125</v>
      </c>
      <c r="C653" s="15">
        <v>90</v>
      </c>
      <c r="D653" s="7">
        <f t="shared" si="62"/>
        <v>19631250</v>
      </c>
      <c r="E653" s="7">
        <f t="shared" si="63"/>
        <v>47578515625</v>
      </c>
      <c r="F653" s="7">
        <f t="shared" si="63"/>
        <v>8100</v>
      </c>
      <c r="G653" s="7">
        <f t="shared" si="64"/>
        <v>84.567300000000003</v>
      </c>
      <c r="H653" s="7">
        <f t="shared" si="65"/>
        <v>-5.4326999999999996</v>
      </c>
      <c r="I653" s="7">
        <f t="shared" si="66"/>
        <v>29.514229289999996</v>
      </c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>
      <c r="A654" s="6"/>
      <c r="B654" s="15">
        <v>223711</v>
      </c>
      <c r="C654" s="15">
        <v>111</v>
      </c>
      <c r="D654" s="7">
        <f t="shared" si="62"/>
        <v>24831921</v>
      </c>
      <c r="E654" s="7">
        <f t="shared" si="63"/>
        <v>50046611521</v>
      </c>
      <c r="F654" s="7">
        <f t="shared" si="63"/>
        <v>12321</v>
      </c>
      <c r="G654" s="7">
        <f t="shared" si="64"/>
        <v>84.008700000000005</v>
      </c>
      <c r="H654" s="7">
        <f t="shared" si="65"/>
        <v>-26.991299999999999</v>
      </c>
      <c r="I654" s="7">
        <f t="shared" si="66"/>
        <v>728.53027568999994</v>
      </c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>
      <c r="A655" s="6"/>
      <c r="B655" s="15">
        <v>229743</v>
      </c>
      <c r="C655" s="15">
        <v>127</v>
      </c>
      <c r="D655" s="7">
        <f t="shared" si="62"/>
        <v>29177361</v>
      </c>
      <c r="E655" s="7">
        <f t="shared" si="63"/>
        <v>52781846049</v>
      </c>
      <c r="F655" s="7">
        <f t="shared" si="63"/>
        <v>16129</v>
      </c>
      <c r="G655" s="7">
        <f t="shared" si="64"/>
        <v>83.405500000000004</v>
      </c>
      <c r="H655" s="7">
        <f t="shared" si="65"/>
        <v>-43.594499999999996</v>
      </c>
      <c r="I655" s="7">
        <f t="shared" si="66"/>
        <v>1900.4804302499997</v>
      </c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>
      <c r="A656" s="6"/>
      <c r="B656" s="15">
        <v>237696</v>
      </c>
      <c r="C656" s="15">
        <v>105</v>
      </c>
      <c r="D656" s="7">
        <f t="shared" si="62"/>
        <v>24958080</v>
      </c>
      <c r="E656" s="7">
        <f t="shared" si="63"/>
        <v>56499388416</v>
      </c>
      <c r="F656" s="7">
        <f t="shared" si="63"/>
        <v>11025</v>
      </c>
      <c r="G656" s="7">
        <f t="shared" si="64"/>
        <v>82.610200000000006</v>
      </c>
      <c r="H656" s="7">
        <f t="shared" si="65"/>
        <v>-22.389800000000001</v>
      </c>
      <c r="I656" s="7">
        <f t="shared" si="66"/>
        <v>501.30314404000006</v>
      </c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>
      <c r="A657" s="6"/>
      <c r="B657" s="15">
        <v>250400</v>
      </c>
      <c r="C657" s="15">
        <v>67</v>
      </c>
      <c r="D657" s="7">
        <f t="shared" si="62"/>
        <v>16776800</v>
      </c>
      <c r="E657" s="7">
        <f t="shared" si="63"/>
        <v>62700160000</v>
      </c>
      <c r="F657" s="7">
        <f t="shared" si="63"/>
        <v>4489</v>
      </c>
      <c r="G657" s="7">
        <f t="shared" si="64"/>
        <v>81.339799999999997</v>
      </c>
      <c r="H657" s="7">
        <f t="shared" si="65"/>
        <v>14.3398</v>
      </c>
      <c r="I657" s="7">
        <f t="shared" si="66"/>
        <v>205.62986404</v>
      </c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>
      <c r="A658" s="6"/>
      <c r="B658" s="15">
        <v>263354</v>
      </c>
      <c r="C658" s="15">
        <v>76</v>
      </c>
      <c r="D658" s="7">
        <f t="shared" si="62"/>
        <v>20014904</v>
      </c>
      <c r="E658" s="7">
        <f t="shared" si="63"/>
        <v>69355329316</v>
      </c>
      <c r="F658" s="7">
        <f t="shared" si="63"/>
        <v>5776</v>
      </c>
      <c r="G658" s="7">
        <f t="shared" si="64"/>
        <v>80.044399999999996</v>
      </c>
      <c r="H658" s="7">
        <f t="shared" si="65"/>
        <v>4.0444000000000004</v>
      </c>
      <c r="I658" s="7">
        <f t="shared" si="66"/>
        <v>16.357171360000002</v>
      </c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>
      <c r="A659" s="6"/>
      <c r="B659" s="15">
        <v>266858</v>
      </c>
      <c r="C659" s="15">
        <v>65</v>
      </c>
      <c r="D659" s="7">
        <f t="shared" si="62"/>
        <v>17345770</v>
      </c>
      <c r="E659" s="7">
        <f t="shared" si="63"/>
        <v>71213192164</v>
      </c>
      <c r="F659" s="7">
        <f t="shared" si="63"/>
        <v>4225</v>
      </c>
      <c r="G659" s="7">
        <f t="shared" si="64"/>
        <v>79.694000000000003</v>
      </c>
      <c r="H659" s="7">
        <f t="shared" si="65"/>
        <v>14.694000000000001</v>
      </c>
      <c r="I659" s="7">
        <f t="shared" si="66"/>
        <v>215.91363600000003</v>
      </c>
      <c r="J659" s="6"/>
      <c r="K659" s="6" t="s">
        <v>19</v>
      </c>
      <c r="L659" s="13">
        <f>COUNT(B639,B640:B758)</f>
        <v>120</v>
      </c>
      <c r="M659" s="6"/>
      <c r="N659" s="6"/>
      <c r="O659" s="6"/>
      <c r="P659" s="6"/>
      <c r="Q659" s="6"/>
      <c r="R659" s="6"/>
      <c r="S659" s="6"/>
      <c r="T659" s="6"/>
    </row>
    <row r="660" spans="1:20">
      <c r="A660" s="6"/>
      <c r="B660" s="15">
        <v>269203</v>
      </c>
      <c r="C660" s="15">
        <v>61</v>
      </c>
      <c r="D660" s="7">
        <f t="shared" si="62"/>
        <v>16421383</v>
      </c>
      <c r="E660" s="7">
        <f t="shared" si="63"/>
        <v>72470255209</v>
      </c>
      <c r="F660" s="7">
        <f t="shared" si="63"/>
        <v>3721</v>
      </c>
      <c r="G660" s="7">
        <f t="shared" si="64"/>
        <v>79.459500000000006</v>
      </c>
      <c r="H660" s="7">
        <f t="shared" si="65"/>
        <v>18.459499999999998</v>
      </c>
      <c r="I660" s="7">
        <f t="shared" si="66"/>
        <v>340.75314024999994</v>
      </c>
      <c r="J660" s="6"/>
      <c r="K660" s="6" t="s">
        <v>20</v>
      </c>
      <c r="L660" s="6">
        <f>ROUND(AVERAGE(B639:B758),4)</f>
        <v>685215.23329999996</v>
      </c>
      <c r="M660" s="6"/>
      <c r="N660" s="6"/>
      <c r="O660" s="6"/>
      <c r="P660" s="6"/>
      <c r="Q660" s="6"/>
      <c r="R660" s="6"/>
      <c r="S660" s="6"/>
      <c r="T660" s="6"/>
    </row>
    <row r="661" spans="1:20">
      <c r="A661" s="6"/>
      <c r="B661" s="15">
        <v>270927</v>
      </c>
      <c r="C661" s="15">
        <v>63</v>
      </c>
      <c r="D661" s="7">
        <f t="shared" si="62"/>
        <v>17068401</v>
      </c>
      <c r="E661" s="7">
        <f t="shared" si="63"/>
        <v>73401439329</v>
      </c>
      <c r="F661" s="7">
        <f t="shared" si="63"/>
        <v>3969</v>
      </c>
      <c r="G661" s="7">
        <f t="shared" si="64"/>
        <v>79.287099999999995</v>
      </c>
      <c r="H661" s="7">
        <f t="shared" si="65"/>
        <v>16.287099999999999</v>
      </c>
      <c r="I661" s="7">
        <f t="shared" si="66"/>
        <v>265.26962640999994</v>
      </c>
      <c r="J661" s="6"/>
      <c r="K661" s="6" t="s">
        <v>21</v>
      </c>
      <c r="L661" s="6">
        <f>ROUND(AVERAGE(C639:C758),4)</f>
        <v>37.8583</v>
      </c>
      <c r="M661" s="6"/>
      <c r="N661" s="6"/>
      <c r="O661" s="6"/>
      <c r="P661" s="6"/>
      <c r="Q661" s="6"/>
      <c r="R661" s="6"/>
      <c r="S661" s="6"/>
      <c r="T661" s="6"/>
    </row>
    <row r="662" spans="1:20">
      <c r="A662" s="6"/>
      <c r="B662" s="15">
        <v>273148</v>
      </c>
      <c r="C662" s="15">
        <v>50</v>
      </c>
      <c r="D662" s="7">
        <f t="shared" si="62"/>
        <v>13657400</v>
      </c>
      <c r="E662" s="7">
        <f t="shared" si="63"/>
        <v>74609829904</v>
      </c>
      <c r="F662" s="7">
        <f t="shared" si="63"/>
        <v>2500</v>
      </c>
      <c r="G662" s="7">
        <f t="shared" si="64"/>
        <v>79.064999999999998</v>
      </c>
      <c r="H662" s="7">
        <f t="shared" si="65"/>
        <v>29.065000000000001</v>
      </c>
      <c r="I662" s="7">
        <f t="shared" si="66"/>
        <v>844.77422500000011</v>
      </c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>
      <c r="A663" s="6"/>
      <c r="B663" s="15">
        <v>276637</v>
      </c>
      <c r="C663" s="15">
        <v>49</v>
      </c>
      <c r="D663" s="7">
        <f t="shared" si="62"/>
        <v>13555213</v>
      </c>
      <c r="E663" s="7">
        <f t="shared" si="63"/>
        <v>76528029769</v>
      </c>
      <c r="F663" s="7">
        <f t="shared" si="63"/>
        <v>2401</v>
      </c>
      <c r="G663" s="7">
        <f t="shared" si="64"/>
        <v>78.716099999999997</v>
      </c>
      <c r="H663" s="7">
        <f t="shared" si="65"/>
        <v>29.716100000000001</v>
      </c>
      <c r="I663" s="7">
        <f t="shared" si="66"/>
        <v>883.04659921000007</v>
      </c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>
      <c r="A664" s="6"/>
      <c r="B664" s="15">
        <v>279729</v>
      </c>
      <c r="C664" s="15">
        <v>58</v>
      </c>
      <c r="D664" s="7">
        <f t="shared" si="62"/>
        <v>16224282</v>
      </c>
      <c r="E664" s="7">
        <f t="shared" si="63"/>
        <v>78248313441</v>
      </c>
      <c r="F664" s="7">
        <f t="shared" si="63"/>
        <v>3364</v>
      </c>
      <c r="G664" s="7">
        <f t="shared" si="64"/>
        <v>78.406899999999993</v>
      </c>
      <c r="H664" s="7">
        <f t="shared" si="65"/>
        <v>20.4069</v>
      </c>
      <c r="I664" s="7">
        <f t="shared" si="66"/>
        <v>416.44156760999999</v>
      </c>
      <c r="J664" s="6"/>
      <c r="K664" s="6"/>
      <c r="L664" s="6"/>
      <c r="M664" s="6"/>
      <c r="N664" s="6" t="s">
        <v>22</v>
      </c>
      <c r="O664" s="6">
        <f>D759-(L659*L660*L661)</f>
        <v>-2182782059.0209665</v>
      </c>
      <c r="P664" s="6"/>
      <c r="Q664" s="6"/>
      <c r="R664" s="6"/>
      <c r="S664" s="6"/>
      <c r="T664" s="6"/>
    </row>
    <row r="665" spans="1:20">
      <c r="A665" s="6"/>
      <c r="B665" s="15">
        <v>285185</v>
      </c>
      <c r="C665" s="15">
        <v>33</v>
      </c>
      <c r="D665" s="7">
        <f t="shared" si="62"/>
        <v>9411105</v>
      </c>
      <c r="E665" s="7">
        <f t="shared" si="63"/>
        <v>81330484225</v>
      </c>
      <c r="F665" s="7">
        <f t="shared" si="63"/>
        <v>1089</v>
      </c>
      <c r="G665" s="7">
        <f t="shared" si="64"/>
        <v>77.8613</v>
      </c>
      <c r="H665" s="7">
        <f t="shared" si="65"/>
        <v>44.8613</v>
      </c>
      <c r="I665" s="7">
        <f t="shared" si="66"/>
        <v>2012.53623769</v>
      </c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>
      <c r="A666" s="6"/>
      <c r="B666" s="15">
        <v>286470</v>
      </c>
      <c r="C666" s="15">
        <v>41</v>
      </c>
      <c r="D666" s="7">
        <f t="shared" si="62"/>
        <v>11745270</v>
      </c>
      <c r="E666" s="7">
        <f t="shared" si="63"/>
        <v>82065060900</v>
      </c>
      <c r="F666" s="7">
        <f t="shared" si="63"/>
        <v>1681</v>
      </c>
      <c r="G666" s="7">
        <f t="shared" si="64"/>
        <v>77.732799999999997</v>
      </c>
      <c r="H666" s="7">
        <f t="shared" si="65"/>
        <v>36.732799999999997</v>
      </c>
      <c r="I666" s="7">
        <f t="shared" si="66"/>
        <v>1349.2985958399997</v>
      </c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>
      <c r="A667" s="6"/>
      <c r="B667" s="15">
        <v>290637</v>
      </c>
      <c r="C667" s="15">
        <v>34</v>
      </c>
      <c r="D667" s="7">
        <f t="shared" si="62"/>
        <v>9881658</v>
      </c>
      <c r="E667" s="7">
        <f t="shared" si="63"/>
        <v>84469865769</v>
      </c>
      <c r="F667" s="7">
        <f t="shared" si="63"/>
        <v>1156</v>
      </c>
      <c r="G667" s="7">
        <f t="shared" si="64"/>
        <v>77.316100000000006</v>
      </c>
      <c r="H667" s="7">
        <f t="shared" si="65"/>
        <v>43.316099999999999</v>
      </c>
      <c r="I667" s="7">
        <f t="shared" si="66"/>
        <v>1876.2845192099999</v>
      </c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>
      <c r="A668" s="6"/>
      <c r="B668" s="15">
        <v>291987</v>
      </c>
      <c r="C668" s="15">
        <v>38</v>
      </c>
      <c r="D668" s="7">
        <f t="shared" si="62"/>
        <v>11095506</v>
      </c>
      <c r="E668" s="7">
        <f t="shared" si="63"/>
        <v>85256408169</v>
      </c>
      <c r="F668" s="7">
        <f t="shared" si="63"/>
        <v>1444</v>
      </c>
      <c r="G668" s="7">
        <f t="shared" si="64"/>
        <v>77.181100000000001</v>
      </c>
      <c r="H668" s="7">
        <f t="shared" si="65"/>
        <v>39.181100000000001</v>
      </c>
      <c r="I668" s="7">
        <f t="shared" si="66"/>
        <v>1535.1585972100002</v>
      </c>
      <c r="J668" s="6"/>
      <c r="K668" s="6"/>
      <c r="L668" s="6"/>
      <c r="M668" s="6"/>
      <c r="N668" s="6" t="s">
        <v>22</v>
      </c>
      <c r="O668" s="6">
        <f>E759-(L659*(L660^2))</f>
        <v>29096772545333.195</v>
      </c>
      <c r="P668" s="6"/>
      <c r="Q668" s="6"/>
      <c r="R668" s="6"/>
      <c r="S668" s="6"/>
      <c r="T668" s="6"/>
    </row>
    <row r="669" spans="1:20">
      <c r="A669" s="6"/>
      <c r="B669" s="15">
        <v>293652</v>
      </c>
      <c r="C669" s="15">
        <v>41</v>
      </c>
      <c r="D669" s="7">
        <f t="shared" si="62"/>
        <v>12039732</v>
      </c>
      <c r="E669" s="7">
        <f t="shared" si="63"/>
        <v>86231497104</v>
      </c>
      <c r="F669" s="7">
        <f t="shared" si="63"/>
        <v>1681</v>
      </c>
      <c r="G669" s="7">
        <f t="shared" si="64"/>
        <v>77.014600000000002</v>
      </c>
      <c r="H669" s="7">
        <f t="shared" si="65"/>
        <v>36.014600000000002</v>
      </c>
      <c r="I669" s="7">
        <f t="shared" si="66"/>
        <v>1297.05141316</v>
      </c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>
      <c r="A670" s="6"/>
      <c r="B670" s="15">
        <v>298685</v>
      </c>
      <c r="C670" s="15">
        <v>28</v>
      </c>
      <c r="D670" s="7">
        <f t="shared" si="62"/>
        <v>8363180</v>
      </c>
      <c r="E670" s="7">
        <f t="shared" si="63"/>
        <v>89212729225</v>
      </c>
      <c r="F670" s="7">
        <f t="shared" si="63"/>
        <v>784</v>
      </c>
      <c r="G670" s="7">
        <f t="shared" si="64"/>
        <v>76.511300000000006</v>
      </c>
      <c r="H670" s="7">
        <f t="shared" si="65"/>
        <v>48.511299999999999</v>
      </c>
      <c r="I670" s="7">
        <f t="shared" si="66"/>
        <v>2353.34622769</v>
      </c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>
      <c r="A671" s="6"/>
      <c r="B671" s="15">
        <v>304494</v>
      </c>
      <c r="C671" s="15">
        <v>28</v>
      </c>
      <c r="D671" s="7">
        <f t="shared" si="62"/>
        <v>8525832</v>
      </c>
      <c r="E671" s="7">
        <f t="shared" si="63"/>
        <v>92716596036</v>
      </c>
      <c r="F671" s="7">
        <f t="shared" si="63"/>
        <v>784</v>
      </c>
      <c r="G671" s="7">
        <f t="shared" si="64"/>
        <v>75.930400000000006</v>
      </c>
      <c r="H671" s="7">
        <f t="shared" si="65"/>
        <v>47.930399999999999</v>
      </c>
      <c r="I671" s="7">
        <f t="shared" si="66"/>
        <v>2297.3232441599998</v>
      </c>
      <c r="J671" s="6"/>
      <c r="K671" s="6"/>
      <c r="L671" s="6"/>
      <c r="M671" s="6"/>
      <c r="N671" s="6" t="s">
        <v>22</v>
      </c>
      <c r="O671" s="6">
        <f>ROUND((F759-(L659*(L661^2))),4)</f>
        <v>524434.89450000005</v>
      </c>
      <c r="P671" s="6"/>
      <c r="Q671" s="6"/>
      <c r="R671" s="6"/>
      <c r="S671" s="6"/>
      <c r="T671" s="6"/>
    </row>
    <row r="672" spans="1:20">
      <c r="A672" s="6"/>
      <c r="B672" s="15">
        <v>313101</v>
      </c>
      <c r="C672" s="15">
        <v>26</v>
      </c>
      <c r="D672" s="7">
        <f t="shared" si="62"/>
        <v>8140626</v>
      </c>
      <c r="E672" s="7">
        <f t="shared" si="63"/>
        <v>98032236201</v>
      </c>
      <c r="F672" s="7">
        <f t="shared" si="63"/>
        <v>676</v>
      </c>
      <c r="G672" s="7">
        <f t="shared" si="64"/>
        <v>75.069699999999997</v>
      </c>
      <c r="H672" s="7">
        <f t="shared" si="65"/>
        <v>49.069699999999997</v>
      </c>
      <c r="I672" s="7">
        <f t="shared" si="66"/>
        <v>2407.83545809</v>
      </c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>
      <c r="A673" s="6"/>
      <c r="B673" s="15">
        <v>317254</v>
      </c>
      <c r="C673" s="15">
        <v>28</v>
      </c>
      <c r="D673" s="7">
        <f t="shared" si="62"/>
        <v>8883112</v>
      </c>
      <c r="E673" s="7">
        <f t="shared" si="63"/>
        <v>100650100516</v>
      </c>
      <c r="F673" s="7">
        <f t="shared" si="63"/>
        <v>784</v>
      </c>
      <c r="G673" s="7">
        <f t="shared" si="64"/>
        <v>74.654399999999995</v>
      </c>
      <c r="H673" s="7">
        <f t="shared" si="65"/>
        <v>46.654400000000003</v>
      </c>
      <c r="I673" s="7">
        <f t="shared" si="66"/>
        <v>2176.6330393600001</v>
      </c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>
      <c r="A674" s="6"/>
      <c r="B674" s="15">
        <v>324862</v>
      </c>
      <c r="C674" s="15">
        <v>25</v>
      </c>
      <c r="D674" s="7">
        <f t="shared" si="62"/>
        <v>8121550</v>
      </c>
      <c r="E674" s="7">
        <f t="shared" si="63"/>
        <v>105535319044</v>
      </c>
      <c r="F674" s="7">
        <f t="shared" si="63"/>
        <v>625</v>
      </c>
      <c r="G674" s="7">
        <f t="shared" si="64"/>
        <v>73.893600000000006</v>
      </c>
      <c r="H674" s="7">
        <f t="shared" si="65"/>
        <v>48.893599999999999</v>
      </c>
      <c r="I674" s="7">
        <f t="shared" si="66"/>
        <v>2390.5841209599998</v>
      </c>
      <c r="J674" s="6"/>
      <c r="K674" s="6"/>
      <c r="L674" s="6"/>
      <c r="M674" s="6"/>
      <c r="N674" s="6"/>
      <c r="O674" s="15"/>
      <c r="P674" s="15"/>
      <c r="Q674" s="15"/>
      <c r="R674" s="15"/>
      <c r="S674" s="6"/>
      <c r="T674" s="6"/>
    </row>
    <row r="675" spans="1:20">
      <c r="A675" s="6"/>
      <c r="B675" s="15">
        <v>327040</v>
      </c>
      <c r="C675" s="15">
        <v>30</v>
      </c>
      <c r="D675" s="7">
        <f t="shared" si="62"/>
        <v>9811200</v>
      </c>
      <c r="E675" s="7">
        <f t="shared" si="63"/>
        <v>106955161600</v>
      </c>
      <c r="F675" s="7">
        <f t="shared" si="63"/>
        <v>900</v>
      </c>
      <c r="G675" s="7">
        <f t="shared" si="64"/>
        <v>73.675799999999995</v>
      </c>
      <c r="H675" s="7">
        <f t="shared" si="65"/>
        <v>43.675800000000002</v>
      </c>
      <c r="I675" s="7">
        <f t="shared" si="66"/>
        <v>1907.5755056400003</v>
      </c>
      <c r="J675" s="6"/>
      <c r="K675" s="6"/>
      <c r="L675" s="6"/>
      <c r="M675" s="6" t="s">
        <v>22</v>
      </c>
      <c r="N675" s="6">
        <f>O664/(SQRT(O668)*SQRT(O671))</f>
        <v>-0.55878170124912319</v>
      </c>
      <c r="O675" s="15"/>
      <c r="P675" s="15"/>
      <c r="Q675" s="15">
        <f>N675^2</f>
        <v>0.31223698965086438</v>
      </c>
      <c r="R675" s="15"/>
      <c r="S675" s="6"/>
      <c r="T675" s="6"/>
    </row>
    <row r="676" spans="1:20">
      <c r="A676" s="6"/>
      <c r="B676" s="15">
        <v>328946</v>
      </c>
      <c r="C676" s="15">
        <v>22</v>
      </c>
      <c r="D676" s="7">
        <f t="shared" si="62"/>
        <v>7236812</v>
      </c>
      <c r="E676" s="7">
        <f t="shared" si="63"/>
        <v>108205470916</v>
      </c>
      <c r="F676" s="7">
        <f t="shared" si="63"/>
        <v>484</v>
      </c>
      <c r="G676" s="7">
        <f t="shared" si="64"/>
        <v>73.485200000000006</v>
      </c>
      <c r="H676" s="7">
        <f t="shared" si="65"/>
        <v>51.485199999999999</v>
      </c>
      <c r="I676" s="7">
        <f t="shared" si="66"/>
        <v>2650.7258190399998</v>
      </c>
      <c r="J676" s="6"/>
      <c r="K676" s="6"/>
      <c r="L676" s="6"/>
      <c r="M676" s="6"/>
      <c r="N676" s="6"/>
      <c r="O676" s="15"/>
      <c r="P676" s="15"/>
      <c r="Q676" s="15"/>
      <c r="R676" s="15"/>
      <c r="S676" s="6"/>
      <c r="T676" s="6"/>
    </row>
    <row r="677" spans="1:20">
      <c r="A677" s="6"/>
      <c r="B677" s="15">
        <v>337944</v>
      </c>
      <c r="C677" s="15">
        <v>18</v>
      </c>
      <c r="D677" s="7">
        <f t="shared" si="62"/>
        <v>6082992</v>
      </c>
      <c r="E677" s="7">
        <f t="shared" si="63"/>
        <v>114206147136</v>
      </c>
      <c r="F677" s="7">
        <f t="shared" si="63"/>
        <v>324</v>
      </c>
      <c r="G677" s="7">
        <f t="shared" si="64"/>
        <v>72.585400000000007</v>
      </c>
      <c r="H677" s="7">
        <f t="shared" si="65"/>
        <v>54.5854</v>
      </c>
      <c r="I677" s="7">
        <f t="shared" si="66"/>
        <v>2979.5658931600001</v>
      </c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>
      <c r="A678" s="6"/>
      <c r="B678" s="15">
        <v>352247</v>
      </c>
      <c r="C678" s="15">
        <v>15</v>
      </c>
      <c r="D678" s="7">
        <f t="shared" si="62"/>
        <v>5283705</v>
      </c>
      <c r="E678" s="7">
        <f t="shared" si="63"/>
        <v>124077949009</v>
      </c>
      <c r="F678" s="7">
        <f t="shared" si="63"/>
        <v>225</v>
      </c>
      <c r="G678" s="7">
        <f t="shared" si="64"/>
        <v>71.155100000000004</v>
      </c>
      <c r="H678" s="7">
        <f t="shared" si="65"/>
        <v>56.155099999999997</v>
      </c>
      <c r="I678" s="7">
        <f t="shared" si="66"/>
        <v>3153.3952560099997</v>
      </c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>
      <c r="A679" s="6"/>
      <c r="B679" s="15">
        <v>365719</v>
      </c>
      <c r="C679" s="15">
        <v>19</v>
      </c>
      <c r="D679" s="7">
        <f t="shared" si="62"/>
        <v>6948661</v>
      </c>
      <c r="E679" s="7">
        <f t="shared" si="63"/>
        <v>133750386961</v>
      </c>
      <c r="F679" s="7">
        <f t="shared" si="63"/>
        <v>361</v>
      </c>
      <c r="G679" s="7">
        <f t="shared" si="64"/>
        <v>69.807900000000004</v>
      </c>
      <c r="H679" s="7">
        <f t="shared" si="65"/>
        <v>50.807899999999997</v>
      </c>
      <c r="I679" s="7">
        <f t="shared" si="66"/>
        <v>2581.4427024099996</v>
      </c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>
      <c r="A680" s="6"/>
      <c r="B680" s="15">
        <v>371084</v>
      </c>
      <c r="C680" s="15">
        <v>15</v>
      </c>
      <c r="D680" s="7">
        <f t="shared" si="62"/>
        <v>5566260</v>
      </c>
      <c r="E680" s="7">
        <f t="shared" si="63"/>
        <v>137703335056</v>
      </c>
      <c r="F680" s="7">
        <f t="shared" si="63"/>
        <v>225</v>
      </c>
      <c r="G680" s="7">
        <f t="shared" si="64"/>
        <v>69.2714</v>
      </c>
      <c r="H680" s="7">
        <f t="shared" si="65"/>
        <v>54.2714</v>
      </c>
      <c r="I680" s="7">
        <f t="shared" si="66"/>
        <v>2945.3848579599999</v>
      </c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>
      <c r="A681" s="6"/>
      <c r="B681" s="15">
        <v>377464</v>
      </c>
      <c r="C681" s="15">
        <v>10</v>
      </c>
      <c r="D681" s="7">
        <f t="shared" si="62"/>
        <v>3774640</v>
      </c>
      <c r="E681" s="7">
        <f t="shared" si="63"/>
        <v>142479071296</v>
      </c>
      <c r="F681" s="7">
        <f t="shared" si="63"/>
        <v>100</v>
      </c>
      <c r="G681" s="7">
        <f t="shared" si="64"/>
        <v>68.633399999999995</v>
      </c>
      <c r="H681" s="7">
        <f t="shared" si="65"/>
        <v>58.633400000000002</v>
      </c>
      <c r="I681" s="7">
        <f t="shared" si="66"/>
        <v>3437.8755955600004</v>
      </c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>
      <c r="A682" s="6"/>
      <c r="B682" s="15">
        <v>380479</v>
      </c>
      <c r="C682" s="15">
        <v>13</v>
      </c>
      <c r="D682" s="7">
        <f t="shared" si="62"/>
        <v>4946227</v>
      </c>
      <c r="E682" s="7">
        <f t="shared" si="63"/>
        <v>144764269441</v>
      </c>
      <c r="F682" s="7">
        <f t="shared" si="63"/>
        <v>169</v>
      </c>
      <c r="G682" s="7">
        <f t="shared" si="64"/>
        <v>68.331900000000005</v>
      </c>
      <c r="H682" s="7">
        <f t="shared" si="65"/>
        <v>55.331899999999997</v>
      </c>
      <c r="I682" s="7">
        <f t="shared" si="66"/>
        <v>3061.6191576099995</v>
      </c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>
      <c r="A683" s="6"/>
      <c r="B683" s="15">
        <v>386426</v>
      </c>
      <c r="C683" s="15">
        <v>15</v>
      </c>
      <c r="D683" s="7">
        <f t="shared" si="62"/>
        <v>5796390</v>
      </c>
      <c r="E683" s="7">
        <f t="shared" si="63"/>
        <v>149325053476</v>
      </c>
      <c r="F683" s="7">
        <f t="shared" si="63"/>
        <v>225</v>
      </c>
      <c r="G683" s="7">
        <f t="shared" si="64"/>
        <v>67.737200000000001</v>
      </c>
      <c r="H683" s="7">
        <f t="shared" si="65"/>
        <v>52.737200000000001</v>
      </c>
      <c r="I683" s="7">
        <f t="shared" si="66"/>
        <v>2781.2122638400001</v>
      </c>
      <c r="J683" s="6"/>
      <c r="K683" s="6"/>
      <c r="L683" s="6" t="s">
        <v>22</v>
      </c>
      <c r="M683" s="6">
        <f>ROUND((O664/O668),4)</f>
        <v>-1E-4</v>
      </c>
      <c r="N683" s="6"/>
      <c r="O683" s="6"/>
      <c r="P683" s="6"/>
      <c r="Q683" s="6"/>
      <c r="R683" s="6"/>
      <c r="S683" s="6"/>
      <c r="T683" s="6"/>
    </row>
    <row r="684" spans="1:20">
      <c r="A684" s="6"/>
      <c r="B684" s="15">
        <v>408323</v>
      </c>
      <c r="C684" s="15">
        <v>21</v>
      </c>
      <c r="D684" s="7">
        <f t="shared" si="62"/>
        <v>8574783</v>
      </c>
      <c r="E684" s="7">
        <f t="shared" si="63"/>
        <v>166727672329</v>
      </c>
      <c r="F684" s="7">
        <f t="shared" si="63"/>
        <v>441</v>
      </c>
      <c r="G684" s="7">
        <f t="shared" si="64"/>
        <v>65.547499999999999</v>
      </c>
      <c r="H684" s="7">
        <f t="shared" si="65"/>
        <v>44.547499999999999</v>
      </c>
      <c r="I684" s="7">
        <f t="shared" si="66"/>
        <v>1984.47975625</v>
      </c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>
      <c r="A685" s="6"/>
      <c r="B685" s="15">
        <v>441676</v>
      </c>
      <c r="C685" s="15">
        <v>11</v>
      </c>
      <c r="D685" s="7">
        <f t="shared" si="62"/>
        <v>4858436</v>
      </c>
      <c r="E685" s="7">
        <f t="shared" si="63"/>
        <v>195077688976</v>
      </c>
      <c r="F685" s="7">
        <f t="shared" si="63"/>
        <v>121</v>
      </c>
      <c r="G685" s="7">
        <f t="shared" si="64"/>
        <v>62.212200000000003</v>
      </c>
      <c r="H685" s="7">
        <f t="shared" si="65"/>
        <v>51.212200000000003</v>
      </c>
      <c r="I685" s="7">
        <f t="shared" si="66"/>
        <v>2622.6894288400003</v>
      </c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>
      <c r="A686" s="6"/>
      <c r="B686" s="15">
        <v>469651</v>
      </c>
      <c r="C686" s="15">
        <v>8</v>
      </c>
      <c r="D686" s="7">
        <f t="shared" si="62"/>
        <v>3757208</v>
      </c>
      <c r="E686" s="7">
        <f t="shared" si="63"/>
        <v>220572061801</v>
      </c>
      <c r="F686" s="7">
        <f t="shared" si="63"/>
        <v>64</v>
      </c>
      <c r="G686" s="7">
        <f t="shared" si="64"/>
        <v>59.414700000000003</v>
      </c>
      <c r="H686" s="7">
        <f t="shared" si="65"/>
        <v>51.414700000000003</v>
      </c>
      <c r="I686" s="7">
        <f t="shared" si="66"/>
        <v>2643.4713760900004</v>
      </c>
      <c r="J686" s="6"/>
      <c r="K686" s="6"/>
      <c r="L686" s="6" t="s">
        <v>22</v>
      </c>
      <c r="M686" s="6">
        <f>ROUND((L661-(M683*L660)),4)</f>
        <v>106.3798</v>
      </c>
      <c r="N686" s="6"/>
      <c r="O686" s="6"/>
      <c r="P686" s="6"/>
      <c r="Q686" s="6"/>
      <c r="R686" s="6"/>
      <c r="S686" s="6"/>
      <c r="T686" s="6"/>
    </row>
    <row r="687" spans="1:20">
      <c r="A687" s="6"/>
      <c r="B687" s="15">
        <v>482561</v>
      </c>
      <c r="C687" s="15">
        <v>6</v>
      </c>
      <c r="D687" s="7">
        <f t="shared" si="62"/>
        <v>2895366</v>
      </c>
      <c r="E687" s="7">
        <f t="shared" si="63"/>
        <v>232865118721</v>
      </c>
      <c r="F687" s="7">
        <f t="shared" si="63"/>
        <v>36</v>
      </c>
      <c r="G687" s="7">
        <f t="shared" si="64"/>
        <v>58.123699999999999</v>
      </c>
      <c r="H687" s="7">
        <f t="shared" si="65"/>
        <v>52.123699999999999</v>
      </c>
      <c r="I687" s="7">
        <f t="shared" si="66"/>
        <v>2716.8801016899997</v>
      </c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>
      <c r="A688" s="6"/>
      <c r="B688" s="15">
        <v>488236</v>
      </c>
      <c r="C688" s="15">
        <v>16</v>
      </c>
      <c r="D688" s="7">
        <f t="shared" si="62"/>
        <v>7811776</v>
      </c>
      <c r="E688" s="7">
        <f t="shared" si="63"/>
        <v>238374391696</v>
      </c>
      <c r="F688" s="7">
        <f t="shared" si="63"/>
        <v>256</v>
      </c>
      <c r="G688" s="7">
        <f t="shared" si="64"/>
        <v>57.556199999999997</v>
      </c>
      <c r="H688" s="7">
        <f t="shared" si="65"/>
        <v>41.556199999999997</v>
      </c>
      <c r="I688" s="7">
        <f t="shared" si="66"/>
        <v>1726.9177584399997</v>
      </c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5">
      <c r="A689" s="6"/>
      <c r="B689" s="15">
        <v>495868</v>
      </c>
      <c r="C689" s="15">
        <v>10</v>
      </c>
      <c r="D689" s="7">
        <f t="shared" si="62"/>
        <v>4958680</v>
      </c>
      <c r="E689" s="7">
        <f t="shared" si="63"/>
        <v>245885073424</v>
      </c>
      <c r="F689" s="7">
        <f t="shared" si="63"/>
        <v>100</v>
      </c>
      <c r="G689" s="7">
        <f t="shared" si="64"/>
        <v>56.792999999999999</v>
      </c>
      <c r="H689" s="7">
        <f t="shared" si="65"/>
        <v>46.792999999999999</v>
      </c>
      <c r="I689" s="7">
        <f t="shared" si="66"/>
        <v>2189.5848489999998</v>
      </c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5">
      <c r="A690" s="6"/>
      <c r="B690" s="15">
        <v>497940</v>
      </c>
      <c r="C690" s="15">
        <v>11</v>
      </c>
      <c r="D690" s="7">
        <f t="shared" si="62"/>
        <v>5477340</v>
      </c>
      <c r="E690" s="7">
        <f t="shared" si="63"/>
        <v>247944243600</v>
      </c>
      <c r="F690" s="7">
        <f t="shared" si="63"/>
        <v>121</v>
      </c>
      <c r="G690" s="7">
        <f t="shared" si="64"/>
        <v>56.585799999999999</v>
      </c>
      <c r="H690" s="7">
        <f t="shared" si="65"/>
        <v>45.585799999999999</v>
      </c>
      <c r="I690" s="7">
        <f t="shared" si="66"/>
        <v>2078.06516164</v>
      </c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</row>
    <row r="691" spans="1:25">
      <c r="A691" s="6"/>
      <c r="B691" s="15">
        <v>501547</v>
      </c>
      <c r="C691" s="15">
        <v>9</v>
      </c>
      <c r="D691" s="7">
        <f t="shared" si="62"/>
        <v>4513923</v>
      </c>
      <c r="E691" s="7">
        <f t="shared" si="63"/>
        <v>251549393209</v>
      </c>
      <c r="F691" s="7">
        <f t="shared" si="63"/>
        <v>81</v>
      </c>
      <c r="G691" s="7">
        <f t="shared" si="64"/>
        <v>56.225099999999998</v>
      </c>
      <c r="H691" s="7">
        <f t="shared" si="65"/>
        <v>47.225099999999998</v>
      </c>
      <c r="I691" s="7">
        <f t="shared" si="66"/>
        <v>2230.21007001</v>
      </c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</row>
    <row r="692" spans="1:25">
      <c r="A692" s="6"/>
      <c r="B692" s="15">
        <v>506051</v>
      </c>
      <c r="C692" s="15">
        <v>5</v>
      </c>
      <c r="D692" s="7">
        <f t="shared" si="62"/>
        <v>2530255</v>
      </c>
      <c r="E692" s="7">
        <f t="shared" si="63"/>
        <v>256087614601</v>
      </c>
      <c r="F692" s="7">
        <f t="shared" si="63"/>
        <v>25</v>
      </c>
      <c r="G692" s="7">
        <f t="shared" si="64"/>
        <v>55.774700000000003</v>
      </c>
      <c r="H692" s="7">
        <f t="shared" si="65"/>
        <v>50.774700000000003</v>
      </c>
      <c r="I692" s="7">
        <f t="shared" si="66"/>
        <v>2578.0701600900002</v>
      </c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</row>
    <row r="693" spans="1:25">
      <c r="A693" s="6"/>
      <c r="B693" s="15">
        <v>508507</v>
      </c>
      <c r="C693" s="15">
        <v>8</v>
      </c>
      <c r="D693" s="7">
        <f t="shared" si="62"/>
        <v>4068056</v>
      </c>
      <c r="E693" s="7">
        <f t="shared" si="63"/>
        <v>258579369049</v>
      </c>
      <c r="F693" s="7">
        <f t="shared" si="63"/>
        <v>64</v>
      </c>
      <c r="G693" s="7">
        <f t="shared" si="64"/>
        <v>55.5291</v>
      </c>
      <c r="H693" s="7">
        <f t="shared" si="65"/>
        <v>47.5291</v>
      </c>
      <c r="I693" s="7">
        <f t="shared" si="66"/>
        <v>2259.0153468099998</v>
      </c>
      <c r="J693" s="77"/>
      <c r="K693" s="38" t="s">
        <v>41</v>
      </c>
      <c r="L693" s="33">
        <f>ROUND(O671-N693*O664,4)</f>
        <v>306156.68859999999</v>
      </c>
      <c r="M693" s="38"/>
      <c r="N693" s="33">
        <f>M683</f>
        <v>-1E-4</v>
      </c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</row>
    <row r="694" spans="1:25">
      <c r="A694" s="6"/>
      <c r="B694" s="15">
        <v>510025</v>
      </c>
      <c r="C694" s="15">
        <v>10</v>
      </c>
      <c r="D694" s="7">
        <f t="shared" si="62"/>
        <v>5100250</v>
      </c>
      <c r="E694" s="7">
        <f t="shared" si="63"/>
        <v>260125500625</v>
      </c>
      <c r="F694" s="7">
        <f t="shared" si="63"/>
        <v>100</v>
      </c>
      <c r="G694" s="7">
        <f t="shared" si="64"/>
        <v>55.377299999999998</v>
      </c>
      <c r="H694" s="7">
        <f t="shared" si="65"/>
        <v>45.377299999999998</v>
      </c>
      <c r="I694" s="7">
        <f t="shared" si="66"/>
        <v>2059.0993552899999</v>
      </c>
      <c r="J694" s="77"/>
      <c r="K694" s="36" t="s">
        <v>42</v>
      </c>
      <c r="L694" s="26">
        <f>ROUND((O664^2)/O668,4)</f>
        <v>163747.97270000001</v>
      </c>
      <c r="M694" s="77"/>
      <c r="N694" s="26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</row>
    <row r="695" spans="1:25">
      <c r="A695" s="6"/>
      <c r="B695" s="15">
        <v>511095</v>
      </c>
      <c r="C695" s="15">
        <v>6</v>
      </c>
      <c r="D695" s="7">
        <f t="shared" si="62"/>
        <v>3066570</v>
      </c>
      <c r="E695" s="7">
        <f t="shared" si="63"/>
        <v>261218099025</v>
      </c>
      <c r="F695" s="7">
        <f t="shared" si="63"/>
        <v>36</v>
      </c>
      <c r="G695" s="7">
        <f t="shared" si="64"/>
        <v>55.270299999999999</v>
      </c>
      <c r="H695" s="7">
        <f t="shared" si="65"/>
        <v>49.270299999999999</v>
      </c>
      <c r="I695" s="7">
        <f t="shared" si="66"/>
        <v>2427.5624620899998</v>
      </c>
      <c r="J695" s="77"/>
      <c r="K695" s="36" t="s">
        <v>43</v>
      </c>
      <c r="L695" s="26">
        <f>O671</f>
        <v>524434.89450000005</v>
      </c>
      <c r="M695" s="77"/>
      <c r="N695" s="26">
        <f>M686</f>
        <v>106.3798</v>
      </c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</row>
    <row r="696" spans="1:25">
      <c r="A696" s="6"/>
      <c r="B696" s="15">
        <v>513723</v>
      </c>
      <c r="C696" s="15">
        <v>2</v>
      </c>
      <c r="D696" s="7">
        <f t="shared" si="62"/>
        <v>1027446</v>
      </c>
      <c r="E696" s="7">
        <f t="shared" si="63"/>
        <v>263911320729</v>
      </c>
      <c r="F696" s="7">
        <f t="shared" si="63"/>
        <v>4</v>
      </c>
      <c r="G696" s="7">
        <f t="shared" si="64"/>
        <v>55.0075</v>
      </c>
      <c r="H696" s="7">
        <f t="shared" si="65"/>
        <v>53.0075</v>
      </c>
      <c r="I696" s="7">
        <f t="shared" si="66"/>
        <v>2809.79505625</v>
      </c>
      <c r="J696" s="77"/>
      <c r="K696" s="36" t="s">
        <v>59</v>
      </c>
      <c r="L696" s="26">
        <f>ROUND(SQRT(L693/(L659-2)),4)</f>
        <v>50.936700000000002</v>
      </c>
      <c r="M696" s="77"/>
      <c r="N696" s="26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</row>
    <row r="697" spans="1:25" ht="13.5" thickBot="1">
      <c r="A697" s="6"/>
      <c r="B697" s="15">
        <v>517319</v>
      </c>
      <c r="C697" s="15">
        <v>3</v>
      </c>
      <c r="D697" s="7">
        <f t="shared" si="62"/>
        <v>1551957</v>
      </c>
      <c r="E697" s="7">
        <f t="shared" si="63"/>
        <v>267618947761</v>
      </c>
      <c r="F697" s="7">
        <f t="shared" si="63"/>
        <v>9</v>
      </c>
      <c r="G697" s="7">
        <f t="shared" si="64"/>
        <v>54.6479</v>
      </c>
      <c r="H697" s="7">
        <f t="shared" si="65"/>
        <v>51.6479</v>
      </c>
      <c r="I697" s="7">
        <f t="shared" si="66"/>
        <v>2667.50557441</v>
      </c>
      <c r="J697" s="77"/>
      <c r="K697" s="37"/>
      <c r="L697" s="27"/>
      <c r="M697" s="37"/>
      <c r="N697" s="27">
        <f>ROUND(N693*SQRT(O668/O671),4)</f>
        <v>-0.74490000000000001</v>
      </c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</row>
    <row r="698" spans="1:25">
      <c r="A698" s="6"/>
      <c r="B698" s="15">
        <v>527026</v>
      </c>
      <c r="C698" s="15">
        <v>11</v>
      </c>
      <c r="D698" s="7">
        <f t="shared" si="62"/>
        <v>5797286</v>
      </c>
      <c r="E698" s="7">
        <f t="shared" si="63"/>
        <v>277756404676</v>
      </c>
      <c r="F698" s="7">
        <f t="shared" si="63"/>
        <v>121</v>
      </c>
      <c r="G698" s="7">
        <f t="shared" si="64"/>
        <v>53.677199999999999</v>
      </c>
      <c r="H698" s="7">
        <f t="shared" si="65"/>
        <v>42.677199999999999</v>
      </c>
      <c r="I698" s="7">
        <f t="shared" si="66"/>
        <v>1821.3433998399998</v>
      </c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</row>
    <row r="699" spans="1:25" ht="13.5" thickBot="1">
      <c r="A699" s="6"/>
      <c r="B699" s="15">
        <v>569074</v>
      </c>
      <c r="C699" s="15">
        <v>9</v>
      </c>
      <c r="D699" s="7">
        <f t="shared" si="62"/>
        <v>5121666</v>
      </c>
      <c r="E699" s="7">
        <f t="shared" si="63"/>
        <v>323845217476</v>
      </c>
      <c r="F699" s="7">
        <f t="shared" si="63"/>
        <v>81</v>
      </c>
      <c r="G699" s="7">
        <f t="shared" si="64"/>
        <v>49.4724</v>
      </c>
      <c r="H699" s="7">
        <f t="shared" si="65"/>
        <v>40.4724</v>
      </c>
      <c r="I699" s="7">
        <f t="shared" si="66"/>
        <v>1638.01516176</v>
      </c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</row>
    <row r="700" spans="1:25">
      <c r="A700" s="6"/>
      <c r="B700" s="15">
        <v>585830</v>
      </c>
      <c r="C700" s="15">
        <v>7</v>
      </c>
      <c r="D700" s="7">
        <f t="shared" si="62"/>
        <v>4100810</v>
      </c>
      <c r="E700" s="7">
        <f t="shared" si="63"/>
        <v>343196788900</v>
      </c>
      <c r="F700" s="7">
        <f t="shared" si="63"/>
        <v>49</v>
      </c>
      <c r="G700" s="7">
        <f t="shared" si="64"/>
        <v>47.796799999999998</v>
      </c>
      <c r="H700" s="7">
        <f t="shared" si="65"/>
        <v>40.796799999999998</v>
      </c>
      <c r="I700" s="7">
        <f t="shared" si="66"/>
        <v>1664.3788902399997</v>
      </c>
      <c r="J700" s="77"/>
      <c r="K700" s="20"/>
      <c r="L700" s="20" t="s">
        <v>55</v>
      </c>
      <c r="M700" s="20" t="s">
        <v>48</v>
      </c>
      <c r="N700" s="20" t="s">
        <v>49</v>
      </c>
      <c r="O700" s="20" t="s">
        <v>50</v>
      </c>
      <c r="P700" s="20" t="s">
        <v>51</v>
      </c>
      <c r="Q700" s="77"/>
      <c r="R700" s="77"/>
      <c r="S700" s="77"/>
      <c r="T700" s="77"/>
      <c r="U700" s="77"/>
      <c r="V700" s="77"/>
      <c r="W700" s="77"/>
      <c r="X700" s="77"/>
      <c r="Y700" s="77"/>
    </row>
    <row r="701" spans="1:25">
      <c r="A701" s="6"/>
      <c r="B701" s="15">
        <v>592953</v>
      </c>
      <c r="C701" s="15">
        <v>4</v>
      </c>
      <c r="D701" s="7">
        <f t="shared" si="62"/>
        <v>2371812</v>
      </c>
      <c r="E701" s="7">
        <f t="shared" si="63"/>
        <v>351593260209</v>
      </c>
      <c r="F701" s="7">
        <f t="shared" si="63"/>
        <v>16</v>
      </c>
      <c r="G701" s="7">
        <f t="shared" si="64"/>
        <v>47.084499999999998</v>
      </c>
      <c r="H701" s="7">
        <f t="shared" si="65"/>
        <v>43.084499999999998</v>
      </c>
      <c r="I701" s="7">
        <f t="shared" si="66"/>
        <v>1856.2741402499998</v>
      </c>
      <c r="J701" s="77"/>
      <c r="K701" s="76" t="s">
        <v>56</v>
      </c>
      <c r="L701" s="18" t="s">
        <v>45</v>
      </c>
      <c r="M701" s="18">
        <v>1</v>
      </c>
      <c r="N701" s="18">
        <f>L694</f>
        <v>163747.97270000001</v>
      </c>
      <c r="O701" s="18">
        <f>N701/M701</f>
        <v>163747.97270000001</v>
      </c>
      <c r="P701" s="18">
        <f>O701/O702</f>
        <v>63.112326132599804</v>
      </c>
      <c r="Q701" s="77"/>
      <c r="R701" s="77"/>
      <c r="S701" s="77"/>
      <c r="T701" s="77"/>
      <c r="U701" s="77"/>
      <c r="V701" s="77"/>
      <c r="W701" s="77"/>
      <c r="X701" s="77"/>
      <c r="Y701" s="77"/>
    </row>
    <row r="702" spans="1:25">
      <c r="A702" s="6"/>
      <c r="B702" s="15">
        <v>596680</v>
      </c>
      <c r="C702" s="15">
        <v>6</v>
      </c>
      <c r="D702" s="7">
        <f t="shared" si="62"/>
        <v>3580080</v>
      </c>
      <c r="E702" s="7">
        <f t="shared" si="63"/>
        <v>356027022400</v>
      </c>
      <c r="F702" s="7">
        <f t="shared" si="63"/>
        <v>36</v>
      </c>
      <c r="G702" s="7">
        <f t="shared" si="64"/>
        <v>46.711799999999997</v>
      </c>
      <c r="H702" s="7">
        <f t="shared" si="65"/>
        <v>40.711799999999997</v>
      </c>
      <c r="I702" s="7">
        <f t="shared" si="66"/>
        <v>1657.4506592399998</v>
      </c>
      <c r="J702" s="77"/>
      <c r="K702" s="76" t="s">
        <v>57</v>
      </c>
      <c r="L702" s="18" t="s">
        <v>46</v>
      </c>
      <c r="M702" s="77">
        <v>118</v>
      </c>
      <c r="N702" s="18">
        <f>L693</f>
        <v>306156.68859999999</v>
      </c>
      <c r="O702" s="18">
        <f>N702/M702</f>
        <v>2594.5482084745763</v>
      </c>
      <c r="P702" s="18"/>
      <c r="Q702" s="77"/>
      <c r="R702" s="77"/>
      <c r="S702" s="77"/>
      <c r="T702" s="77"/>
      <c r="U702" s="77"/>
      <c r="V702" s="77"/>
      <c r="W702" s="77"/>
      <c r="X702" s="77"/>
      <c r="Y702" s="77"/>
    </row>
    <row r="703" spans="1:25" ht="13.5" thickBot="1">
      <c r="A703" s="6"/>
      <c r="B703" s="15">
        <v>602600</v>
      </c>
      <c r="C703" s="15">
        <v>2</v>
      </c>
      <c r="D703" s="7">
        <f t="shared" si="62"/>
        <v>1205200</v>
      </c>
      <c r="E703" s="7">
        <f t="shared" si="63"/>
        <v>363126760000</v>
      </c>
      <c r="F703" s="7">
        <f t="shared" si="63"/>
        <v>4</v>
      </c>
      <c r="G703" s="7">
        <f t="shared" si="64"/>
        <v>46.119799999999998</v>
      </c>
      <c r="H703" s="7">
        <f t="shared" si="65"/>
        <v>44.119799999999998</v>
      </c>
      <c r="I703" s="7">
        <f t="shared" si="66"/>
        <v>1946.5567520399998</v>
      </c>
      <c r="J703" s="77"/>
      <c r="K703" s="24" t="s">
        <v>58</v>
      </c>
      <c r="L703" s="19" t="s">
        <v>47</v>
      </c>
      <c r="M703" s="28">
        <v>119</v>
      </c>
      <c r="N703" s="19">
        <f>L695</f>
        <v>524434.89450000005</v>
      </c>
      <c r="O703" s="19"/>
      <c r="P703" s="19"/>
      <c r="Q703" s="77"/>
      <c r="R703" s="77"/>
      <c r="S703" s="77"/>
      <c r="T703" s="77"/>
      <c r="U703" s="77"/>
      <c r="V703" s="77"/>
      <c r="W703" s="77"/>
      <c r="X703" s="77"/>
      <c r="Y703" s="77"/>
    </row>
    <row r="704" spans="1:25">
      <c r="A704" s="6"/>
      <c r="B704" s="15">
        <v>605682</v>
      </c>
      <c r="C704" s="15">
        <v>3</v>
      </c>
      <c r="D704" s="7">
        <f t="shared" ref="D704:D758" si="67">B704*C704</f>
        <v>1817046</v>
      </c>
      <c r="E704" s="7">
        <f t="shared" ref="E704:F758" si="68">B704^2</f>
        <v>366850685124</v>
      </c>
      <c r="F704" s="7">
        <f t="shared" si="68"/>
        <v>9</v>
      </c>
      <c r="G704" s="7">
        <f t="shared" ref="G704:G758" si="69">ROUND($M$686+$M$683*B704,4)</f>
        <v>45.811599999999999</v>
      </c>
      <c r="H704" s="7">
        <f t="shared" ref="H704:H758" si="70">ROUND(G704-C704,4)</f>
        <v>42.811599999999999</v>
      </c>
      <c r="I704" s="7">
        <f t="shared" ref="I704:I758" si="71">H704^2</f>
        <v>1832.8330945599998</v>
      </c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</row>
    <row r="705" spans="1:25">
      <c r="A705" s="6"/>
      <c r="B705" s="15">
        <v>616121</v>
      </c>
      <c r="C705" s="15">
        <v>9</v>
      </c>
      <c r="D705" s="7">
        <f t="shared" si="67"/>
        <v>5545089</v>
      </c>
      <c r="E705" s="7">
        <f t="shared" si="68"/>
        <v>379605086641</v>
      </c>
      <c r="F705" s="7">
        <f t="shared" si="68"/>
        <v>81</v>
      </c>
      <c r="G705" s="7">
        <f t="shared" si="69"/>
        <v>44.767699999999998</v>
      </c>
      <c r="H705" s="7">
        <f t="shared" si="70"/>
        <v>35.767699999999998</v>
      </c>
      <c r="I705" s="7">
        <f t="shared" si="71"/>
        <v>1279.3283632899997</v>
      </c>
      <c r="J705" s="77"/>
      <c r="K705" s="73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</row>
    <row r="706" spans="1:25">
      <c r="A706" s="6"/>
      <c r="B706" s="15">
        <v>631127</v>
      </c>
      <c r="C706" s="15">
        <v>5</v>
      </c>
      <c r="D706" s="7">
        <f t="shared" si="67"/>
        <v>3155635</v>
      </c>
      <c r="E706" s="7">
        <f t="shared" si="68"/>
        <v>398321290129</v>
      </c>
      <c r="F706" s="7">
        <f t="shared" si="68"/>
        <v>25</v>
      </c>
      <c r="G706" s="7">
        <f t="shared" si="69"/>
        <v>43.267099999999999</v>
      </c>
      <c r="H706" s="7">
        <f t="shared" si="70"/>
        <v>38.267099999999999</v>
      </c>
      <c r="I706" s="7">
        <f t="shared" si="71"/>
        <v>1464.37094241</v>
      </c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</row>
    <row r="707" spans="1:25">
      <c r="A707" s="6"/>
      <c r="B707" s="15">
        <v>643712</v>
      </c>
      <c r="C707" s="15">
        <v>6</v>
      </c>
      <c r="D707" s="7">
        <f t="shared" si="67"/>
        <v>3862272</v>
      </c>
      <c r="E707" s="7">
        <f t="shared" si="68"/>
        <v>414365138944</v>
      </c>
      <c r="F707" s="7">
        <f t="shared" si="68"/>
        <v>36</v>
      </c>
      <c r="G707" s="7">
        <f t="shared" si="69"/>
        <v>42.008600000000001</v>
      </c>
      <c r="H707" s="7">
        <f t="shared" si="70"/>
        <v>36.008600000000001</v>
      </c>
      <c r="I707" s="7">
        <f t="shared" si="71"/>
        <v>1296.6192739600001</v>
      </c>
      <c r="J707" s="77"/>
      <c r="K707" s="14"/>
      <c r="L707" s="14"/>
      <c r="M707" s="14"/>
      <c r="N707" s="14"/>
      <c r="O707" s="14"/>
      <c r="P707" s="77"/>
      <c r="Q707" s="77"/>
      <c r="R707" s="77"/>
      <c r="S707" s="77"/>
      <c r="T707" s="77"/>
      <c r="U707" s="77"/>
      <c r="V707" s="77"/>
      <c r="W707" s="77"/>
      <c r="X707" s="77"/>
      <c r="Y707" s="77"/>
    </row>
    <row r="708" spans="1:25">
      <c r="A708" s="6"/>
      <c r="B708" s="15">
        <v>645818</v>
      </c>
      <c r="C708" s="15">
        <v>6</v>
      </c>
      <c r="D708" s="7">
        <f t="shared" si="67"/>
        <v>3874908</v>
      </c>
      <c r="E708" s="7">
        <f t="shared" si="68"/>
        <v>417080889124</v>
      </c>
      <c r="F708" s="7">
        <f t="shared" si="68"/>
        <v>36</v>
      </c>
      <c r="G708" s="7">
        <f t="shared" si="69"/>
        <v>41.798000000000002</v>
      </c>
      <c r="H708" s="7">
        <f t="shared" si="70"/>
        <v>35.798000000000002</v>
      </c>
      <c r="I708" s="7">
        <f t="shared" si="71"/>
        <v>1281.4968040000001</v>
      </c>
      <c r="J708" s="77"/>
      <c r="K708" s="29" t="s">
        <v>80</v>
      </c>
      <c r="L708" s="14">
        <v>0.05</v>
      </c>
      <c r="M708" s="14"/>
      <c r="N708" s="14"/>
      <c r="O708" s="14"/>
      <c r="P708" s="77"/>
      <c r="Q708" s="77"/>
      <c r="R708" s="77"/>
      <c r="S708" s="77"/>
      <c r="T708" s="77"/>
      <c r="U708" s="77"/>
      <c r="V708" s="77"/>
      <c r="W708" s="77"/>
      <c r="X708" s="77"/>
      <c r="Y708" s="77"/>
    </row>
    <row r="709" spans="1:25">
      <c r="A709" s="6"/>
      <c r="B709" s="15">
        <v>651251</v>
      </c>
      <c r="C709" s="15">
        <v>2</v>
      </c>
      <c r="D709" s="7">
        <f t="shared" si="67"/>
        <v>1302502</v>
      </c>
      <c r="E709" s="7">
        <f t="shared" si="68"/>
        <v>424127865001</v>
      </c>
      <c r="F709" s="7">
        <f t="shared" si="68"/>
        <v>4</v>
      </c>
      <c r="G709" s="7">
        <f t="shared" si="69"/>
        <v>41.2547</v>
      </c>
      <c r="H709" s="7">
        <f t="shared" si="70"/>
        <v>39.2547</v>
      </c>
      <c r="I709" s="7">
        <f t="shared" si="71"/>
        <v>1540.9314720899999</v>
      </c>
      <c r="J709" s="77"/>
      <c r="K709" s="14"/>
      <c r="L709" s="14"/>
      <c r="M709" s="14"/>
      <c r="N709" s="14"/>
      <c r="O709" s="14"/>
      <c r="P709" s="77"/>
      <c r="Q709" s="77"/>
      <c r="R709" s="77"/>
      <c r="S709" s="77"/>
      <c r="T709" s="77"/>
      <c r="U709" s="77"/>
      <c r="V709" s="77"/>
      <c r="W709" s="77"/>
      <c r="X709" s="77"/>
      <c r="Y709" s="77"/>
    </row>
    <row r="710" spans="1:25">
      <c r="A710" s="6"/>
      <c r="B710" s="15">
        <v>653413</v>
      </c>
      <c r="C710" s="15">
        <v>5</v>
      </c>
      <c r="D710" s="7">
        <f t="shared" si="67"/>
        <v>3267065</v>
      </c>
      <c r="E710" s="7">
        <f t="shared" si="68"/>
        <v>426948548569</v>
      </c>
      <c r="F710" s="7">
        <f t="shared" si="68"/>
        <v>25</v>
      </c>
      <c r="G710" s="7">
        <f t="shared" si="69"/>
        <v>41.038499999999999</v>
      </c>
      <c r="H710" s="7">
        <f t="shared" si="70"/>
        <v>36.038499999999999</v>
      </c>
      <c r="I710" s="7">
        <f t="shared" si="71"/>
        <v>1298.7734822499999</v>
      </c>
      <c r="J710" s="77"/>
      <c r="K710" s="14"/>
      <c r="L710" s="14"/>
      <c r="M710" s="14"/>
      <c r="N710" s="14"/>
      <c r="O710" s="14"/>
      <c r="P710" s="77"/>
      <c r="Q710" s="77"/>
      <c r="R710" s="77"/>
      <c r="S710" s="77"/>
      <c r="T710" s="77"/>
      <c r="U710" s="77"/>
      <c r="V710" s="77"/>
      <c r="W710" s="77"/>
      <c r="X710" s="77"/>
      <c r="Y710" s="77"/>
    </row>
    <row r="711" spans="1:25">
      <c r="A711" s="6"/>
      <c r="B711" s="15">
        <v>655193</v>
      </c>
      <c r="C711" s="15">
        <v>8</v>
      </c>
      <c r="D711" s="7">
        <f t="shared" si="67"/>
        <v>5241544</v>
      </c>
      <c r="E711" s="7">
        <f t="shared" si="68"/>
        <v>429277867249</v>
      </c>
      <c r="F711" s="7">
        <f t="shared" si="68"/>
        <v>64</v>
      </c>
      <c r="G711" s="7">
        <f t="shared" si="69"/>
        <v>40.860500000000002</v>
      </c>
      <c r="H711" s="7">
        <f t="shared" si="70"/>
        <v>32.860500000000002</v>
      </c>
      <c r="I711" s="7">
        <f t="shared" si="71"/>
        <v>1079.8124602500002</v>
      </c>
      <c r="J711" s="77"/>
      <c r="K711" s="14"/>
      <c r="L711" s="14"/>
      <c r="M711" s="14"/>
      <c r="N711" s="14"/>
      <c r="O711" s="14"/>
      <c r="P711" s="77"/>
      <c r="Q711" s="77"/>
      <c r="R711" s="77"/>
      <c r="S711" s="77"/>
      <c r="T711" s="77"/>
      <c r="U711" s="77"/>
      <c r="V711" s="77"/>
      <c r="W711" s="77"/>
      <c r="X711" s="77"/>
      <c r="Y711" s="77"/>
    </row>
    <row r="712" spans="1:25">
      <c r="A712" s="6"/>
      <c r="B712" s="15">
        <v>666086</v>
      </c>
      <c r="C712" s="15">
        <v>2</v>
      </c>
      <c r="D712" s="7">
        <f t="shared" si="67"/>
        <v>1332172</v>
      </c>
      <c r="E712" s="7">
        <f t="shared" si="68"/>
        <v>443670559396</v>
      </c>
      <c r="F712" s="7">
        <f t="shared" si="68"/>
        <v>4</v>
      </c>
      <c r="G712" s="7">
        <f t="shared" si="69"/>
        <v>39.7712</v>
      </c>
      <c r="H712" s="7">
        <f t="shared" si="70"/>
        <v>37.7712</v>
      </c>
      <c r="I712" s="7">
        <f t="shared" si="71"/>
        <v>1426.66354944</v>
      </c>
      <c r="J712" s="77"/>
      <c r="K712" s="29" t="s">
        <v>133</v>
      </c>
      <c r="L712" s="14">
        <f>P701</f>
        <v>63.112326132599804</v>
      </c>
      <c r="M712" s="14"/>
      <c r="N712" s="14"/>
      <c r="O712" s="14"/>
      <c r="P712" s="77"/>
      <c r="Q712" s="77"/>
      <c r="R712" s="77"/>
      <c r="S712" s="77"/>
      <c r="T712" s="77"/>
      <c r="U712" s="77"/>
      <c r="V712" s="77"/>
      <c r="W712" s="77"/>
      <c r="X712" s="77"/>
      <c r="Y712" s="77"/>
    </row>
    <row r="713" spans="1:25">
      <c r="A713" s="6"/>
      <c r="B713" s="15">
        <v>676217</v>
      </c>
      <c r="C713" s="15">
        <v>4</v>
      </c>
      <c r="D713" s="7">
        <f t="shared" si="67"/>
        <v>2704868</v>
      </c>
      <c r="E713" s="7">
        <f t="shared" si="68"/>
        <v>457269431089</v>
      </c>
      <c r="F713" s="7">
        <f t="shared" si="68"/>
        <v>16</v>
      </c>
      <c r="G713" s="7">
        <f t="shared" si="69"/>
        <v>38.758099999999999</v>
      </c>
      <c r="H713" s="7">
        <f t="shared" si="70"/>
        <v>34.758099999999999</v>
      </c>
      <c r="I713" s="7">
        <f t="shared" si="71"/>
        <v>1208.1255156099999</v>
      </c>
      <c r="J713" s="77"/>
      <c r="K713" s="14"/>
      <c r="L713" s="14"/>
      <c r="M713" s="14"/>
      <c r="N713" s="14"/>
      <c r="O713" s="14"/>
      <c r="P713" s="77"/>
      <c r="Q713" s="77"/>
      <c r="R713" s="77"/>
      <c r="S713" s="77"/>
      <c r="T713" s="77"/>
      <c r="U713" s="77"/>
      <c r="V713" s="77"/>
      <c r="W713" s="77"/>
      <c r="X713" s="77"/>
      <c r="Y713" s="77"/>
    </row>
    <row r="714" spans="1:25">
      <c r="A714" s="6"/>
      <c r="B714" s="15">
        <v>696172</v>
      </c>
      <c r="C714" s="15">
        <v>5</v>
      </c>
      <c r="D714" s="7">
        <f t="shared" si="67"/>
        <v>3480860</v>
      </c>
      <c r="E714" s="7">
        <f t="shared" si="68"/>
        <v>484655453584</v>
      </c>
      <c r="F714" s="7">
        <f t="shared" si="68"/>
        <v>25</v>
      </c>
      <c r="G714" s="7">
        <f t="shared" si="69"/>
        <v>36.762599999999999</v>
      </c>
      <c r="H714" s="7">
        <f t="shared" si="70"/>
        <v>31.762599999999999</v>
      </c>
      <c r="I714" s="7">
        <f t="shared" si="71"/>
        <v>1008.8627587599999</v>
      </c>
      <c r="J714" s="77"/>
      <c r="K714" s="14"/>
      <c r="L714" s="14"/>
      <c r="M714" s="14"/>
      <c r="N714" s="14"/>
      <c r="O714" s="14"/>
      <c r="P714" s="77"/>
      <c r="Q714" s="77"/>
      <c r="R714" s="77"/>
      <c r="S714" s="77"/>
      <c r="T714" s="77"/>
      <c r="U714" s="77"/>
      <c r="V714" s="77"/>
      <c r="W714" s="77"/>
      <c r="X714" s="77"/>
      <c r="Y714" s="77"/>
    </row>
    <row r="715" spans="1:25">
      <c r="A715" s="6"/>
      <c r="B715" s="15">
        <v>701102</v>
      </c>
      <c r="C715" s="15">
        <v>3</v>
      </c>
      <c r="D715" s="7">
        <f t="shared" si="67"/>
        <v>2103306</v>
      </c>
      <c r="E715" s="7">
        <f t="shared" si="68"/>
        <v>491544014404</v>
      </c>
      <c r="F715" s="7">
        <f t="shared" si="68"/>
        <v>9</v>
      </c>
      <c r="G715" s="7">
        <f t="shared" si="69"/>
        <v>36.269599999999997</v>
      </c>
      <c r="H715" s="7">
        <f t="shared" si="70"/>
        <v>33.269599999999997</v>
      </c>
      <c r="I715" s="7">
        <f t="shared" si="71"/>
        <v>1106.8662841599999</v>
      </c>
      <c r="J715" s="77"/>
      <c r="K715" s="14" t="str">
        <f>"f(0,05);("&amp;M701&amp;","&amp;M702&amp;")="</f>
        <v>f(0,05);(1,118)=</v>
      </c>
      <c r="L715" s="14">
        <f>ROUND(_xlfn.F.INV.RT(L708,M701,M702),4)</f>
        <v>3.9215</v>
      </c>
      <c r="M715" s="14"/>
      <c r="N715" s="14"/>
      <c r="O715" s="14"/>
      <c r="P715" s="77"/>
      <c r="Q715" s="77"/>
      <c r="R715" s="77"/>
      <c r="S715" s="77"/>
      <c r="T715" s="77"/>
      <c r="U715" s="77"/>
      <c r="V715" s="77"/>
      <c r="W715" s="77"/>
      <c r="X715" s="77"/>
      <c r="Y715" s="77"/>
    </row>
    <row r="716" spans="1:25">
      <c r="A716" s="6"/>
      <c r="B716" s="15">
        <v>706842</v>
      </c>
      <c r="C716" s="15">
        <v>1</v>
      </c>
      <c r="D716" s="7">
        <f t="shared" si="67"/>
        <v>706842</v>
      </c>
      <c r="E716" s="7">
        <f t="shared" si="68"/>
        <v>499625612964</v>
      </c>
      <c r="F716" s="7">
        <f t="shared" si="68"/>
        <v>1</v>
      </c>
      <c r="G716" s="7">
        <f t="shared" si="69"/>
        <v>35.695599999999999</v>
      </c>
      <c r="H716" s="7">
        <f t="shared" si="70"/>
        <v>34.695599999999999</v>
      </c>
      <c r="I716" s="7">
        <f t="shared" si="71"/>
        <v>1203.78465936</v>
      </c>
      <c r="J716" s="77"/>
      <c r="K716" s="14"/>
      <c r="L716" s="14"/>
      <c r="M716" s="14"/>
      <c r="N716" s="14"/>
      <c r="O716" s="14"/>
      <c r="P716" s="77"/>
      <c r="Q716" s="77"/>
      <c r="R716" s="77"/>
      <c r="S716" s="77"/>
      <c r="T716" s="77"/>
      <c r="U716" s="77"/>
      <c r="V716" s="77"/>
      <c r="W716" s="77"/>
      <c r="X716" s="77"/>
      <c r="Y716" s="77"/>
    </row>
    <row r="717" spans="1:25">
      <c r="A717" s="6"/>
      <c r="B717" s="15">
        <v>718009</v>
      </c>
      <c r="C717" s="15">
        <v>5</v>
      </c>
      <c r="D717" s="7">
        <f t="shared" si="67"/>
        <v>3590045</v>
      </c>
      <c r="E717" s="7">
        <f t="shared" si="68"/>
        <v>515536924081</v>
      </c>
      <c r="F717" s="7">
        <f t="shared" si="68"/>
        <v>25</v>
      </c>
      <c r="G717" s="7">
        <f t="shared" si="69"/>
        <v>34.578899999999997</v>
      </c>
      <c r="H717" s="7">
        <f t="shared" si="70"/>
        <v>29.578900000000001</v>
      </c>
      <c r="I717" s="7">
        <f t="shared" si="71"/>
        <v>874.91132521000009</v>
      </c>
      <c r="J717" s="77"/>
      <c r="K717" s="14" t="str">
        <f>IF(L715&lt;=L712, "R: Como  " &amp;ROUND(L715,4) &amp;" &lt; "&amp;ROUND(L712,4)&amp;" o modelo é significativo","R: Como  " &amp;ROUND(L715,4) &amp;" &gt; "&amp;ROUND(L712,4)&amp;" o modelo não é significativo" )</f>
        <v>R: Como  3,9215 &lt; 63,1123 o modelo é significativo</v>
      </c>
      <c r="L717" s="14"/>
      <c r="M717" s="14"/>
      <c r="N717" s="14"/>
      <c r="O717" s="14"/>
      <c r="P717" s="77"/>
      <c r="Q717" s="77"/>
      <c r="R717" s="77"/>
      <c r="S717" s="77"/>
      <c r="T717" s="77"/>
      <c r="U717" s="77"/>
      <c r="V717" s="77"/>
      <c r="W717" s="77"/>
      <c r="X717" s="77"/>
      <c r="Y717" s="77"/>
    </row>
    <row r="718" spans="1:25">
      <c r="A718" s="6"/>
      <c r="B718" s="15">
        <v>726985</v>
      </c>
      <c r="C718" s="15">
        <v>1</v>
      </c>
      <c r="D718" s="7">
        <f t="shared" si="67"/>
        <v>726985</v>
      </c>
      <c r="E718" s="7">
        <f t="shared" si="68"/>
        <v>528507190225</v>
      </c>
      <c r="F718" s="7">
        <f t="shared" si="68"/>
        <v>1</v>
      </c>
      <c r="G718" s="7">
        <f t="shared" si="69"/>
        <v>33.6813</v>
      </c>
      <c r="H718" s="7">
        <f t="shared" si="70"/>
        <v>32.6813</v>
      </c>
      <c r="I718" s="7">
        <f t="shared" si="71"/>
        <v>1068.0673696900001</v>
      </c>
      <c r="J718" s="77"/>
      <c r="K718" s="14"/>
      <c r="L718" s="14"/>
      <c r="M718" s="14"/>
      <c r="N718" s="14"/>
      <c r="O718" s="14"/>
      <c r="P718" s="77"/>
      <c r="Q718" s="77"/>
      <c r="R718" s="77"/>
      <c r="S718" s="77"/>
      <c r="T718" s="77"/>
      <c r="U718" s="77"/>
      <c r="V718" s="77"/>
      <c r="W718" s="77"/>
      <c r="X718" s="77"/>
      <c r="Y718" s="77"/>
    </row>
    <row r="719" spans="1:25">
      <c r="A719" s="6"/>
      <c r="B719" s="15">
        <v>750872</v>
      </c>
      <c r="C719" s="15">
        <v>4</v>
      </c>
      <c r="D719" s="7">
        <f t="shared" si="67"/>
        <v>3003488</v>
      </c>
      <c r="E719" s="7">
        <f t="shared" si="68"/>
        <v>563808760384</v>
      </c>
      <c r="F719" s="7">
        <f t="shared" si="68"/>
        <v>16</v>
      </c>
      <c r="G719" s="7">
        <f t="shared" si="69"/>
        <v>31.2926</v>
      </c>
      <c r="H719" s="7">
        <f t="shared" si="70"/>
        <v>27.2926</v>
      </c>
      <c r="I719" s="7">
        <f t="shared" si="71"/>
        <v>744.88601475999997</v>
      </c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5">
      <c r="A720" s="6"/>
      <c r="B720" s="15">
        <v>790203</v>
      </c>
      <c r="C720" s="15">
        <v>1</v>
      </c>
      <c r="D720" s="7">
        <f t="shared" si="67"/>
        <v>790203</v>
      </c>
      <c r="E720" s="7">
        <f t="shared" si="68"/>
        <v>624420781209</v>
      </c>
      <c r="F720" s="7">
        <f t="shared" si="68"/>
        <v>1</v>
      </c>
      <c r="G720" s="7">
        <f t="shared" si="69"/>
        <v>27.359500000000001</v>
      </c>
      <c r="H720" s="7">
        <f t="shared" si="70"/>
        <v>26.359500000000001</v>
      </c>
      <c r="I720" s="7">
        <f t="shared" si="71"/>
        <v>694.82324025000003</v>
      </c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>
      <c r="A721" s="6"/>
      <c r="B721" s="15">
        <v>828138</v>
      </c>
      <c r="C721" s="15">
        <v>2</v>
      </c>
      <c r="D721" s="7">
        <f t="shared" si="67"/>
        <v>1656276</v>
      </c>
      <c r="E721" s="7">
        <f t="shared" si="68"/>
        <v>685812547044</v>
      </c>
      <c r="F721" s="7">
        <f t="shared" si="68"/>
        <v>4</v>
      </c>
      <c r="G721" s="7">
        <f t="shared" si="69"/>
        <v>23.565999999999999</v>
      </c>
      <c r="H721" s="7">
        <f t="shared" si="70"/>
        <v>21.565999999999999</v>
      </c>
      <c r="I721" s="7">
        <f t="shared" si="71"/>
        <v>465.09235599999994</v>
      </c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>
      <c r="A722" s="6"/>
      <c r="B722" s="15">
        <v>840420</v>
      </c>
      <c r="C722" s="15">
        <v>6</v>
      </c>
      <c r="D722" s="7">
        <f t="shared" si="67"/>
        <v>5042520</v>
      </c>
      <c r="E722" s="7">
        <f t="shared" si="68"/>
        <v>706305776400</v>
      </c>
      <c r="F722" s="7">
        <f t="shared" si="68"/>
        <v>36</v>
      </c>
      <c r="G722" s="7">
        <f t="shared" si="69"/>
        <v>22.337800000000001</v>
      </c>
      <c r="H722" s="7">
        <f t="shared" si="70"/>
        <v>16.337800000000001</v>
      </c>
      <c r="I722" s="7">
        <f t="shared" si="71"/>
        <v>266.92370884000007</v>
      </c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>
      <c r="A723" s="6"/>
      <c r="B723" s="15">
        <v>847664</v>
      </c>
      <c r="C723" s="15">
        <v>0</v>
      </c>
      <c r="D723" s="7">
        <f t="shared" si="67"/>
        <v>0</v>
      </c>
      <c r="E723" s="7">
        <f t="shared" si="68"/>
        <v>718534256896</v>
      </c>
      <c r="F723" s="7">
        <f t="shared" si="68"/>
        <v>0</v>
      </c>
      <c r="G723" s="7">
        <f t="shared" si="69"/>
        <v>21.613399999999999</v>
      </c>
      <c r="H723" s="7">
        <f t="shared" si="70"/>
        <v>21.613399999999999</v>
      </c>
      <c r="I723" s="7">
        <f t="shared" si="71"/>
        <v>467.13905955999996</v>
      </c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>
      <c r="A724" s="6"/>
      <c r="B724" s="15">
        <v>856281</v>
      </c>
      <c r="C724" s="15">
        <v>5</v>
      </c>
      <c r="D724" s="7">
        <f t="shared" si="67"/>
        <v>4281405</v>
      </c>
      <c r="E724" s="7">
        <f t="shared" si="68"/>
        <v>733217150961</v>
      </c>
      <c r="F724" s="7">
        <f t="shared" si="68"/>
        <v>25</v>
      </c>
      <c r="G724" s="7">
        <f t="shared" si="69"/>
        <v>20.7517</v>
      </c>
      <c r="H724" s="7">
        <f t="shared" si="70"/>
        <v>15.7517</v>
      </c>
      <c r="I724" s="7">
        <f t="shared" si="71"/>
        <v>248.11605288999999</v>
      </c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>
      <c r="A725" s="6"/>
      <c r="B725" s="15">
        <v>866481</v>
      </c>
      <c r="C725" s="15">
        <v>3</v>
      </c>
      <c r="D725" s="7">
        <f t="shared" si="67"/>
        <v>2599443</v>
      </c>
      <c r="E725" s="7">
        <f t="shared" si="68"/>
        <v>750789323361</v>
      </c>
      <c r="F725" s="7">
        <f t="shared" si="68"/>
        <v>9</v>
      </c>
      <c r="G725" s="7">
        <f t="shared" si="69"/>
        <v>19.7317</v>
      </c>
      <c r="H725" s="7">
        <f t="shared" si="70"/>
        <v>16.7317</v>
      </c>
      <c r="I725" s="7">
        <f t="shared" si="71"/>
        <v>279.94978488999999</v>
      </c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>
      <c r="A726" s="6"/>
      <c r="B726" s="15">
        <v>885339</v>
      </c>
      <c r="C726" s="15">
        <v>1</v>
      </c>
      <c r="D726" s="7">
        <f t="shared" si="67"/>
        <v>885339</v>
      </c>
      <c r="E726" s="7">
        <f t="shared" si="68"/>
        <v>783825144921</v>
      </c>
      <c r="F726" s="7">
        <f t="shared" si="68"/>
        <v>1</v>
      </c>
      <c r="G726" s="7">
        <f t="shared" si="69"/>
        <v>17.8459</v>
      </c>
      <c r="H726" s="7">
        <f t="shared" si="70"/>
        <v>16.8459</v>
      </c>
      <c r="I726" s="7">
        <f t="shared" si="71"/>
        <v>283.78434680999999</v>
      </c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>
      <c r="A727" s="6"/>
      <c r="B727" s="15">
        <v>903570</v>
      </c>
      <c r="C727" s="15">
        <v>0</v>
      </c>
      <c r="D727" s="7">
        <f t="shared" si="67"/>
        <v>0</v>
      </c>
      <c r="E727" s="7">
        <f t="shared" si="68"/>
        <v>816438744900</v>
      </c>
      <c r="F727" s="7">
        <f t="shared" si="68"/>
        <v>0</v>
      </c>
      <c r="G727" s="7">
        <f t="shared" si="69"/>
        <v>16.0228</v>
      </c>
      <c r="H727" s="7">
        <f t="shared" si="70"/>
        <v>16.0228</v>
      </c>
      <c r="I727" s="7">
        <f t="shared" si="71"/>
        <v>256.73011983999999</v>
      </c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>
      <c r="A728" s="6"/>
      <c r="B728" s="15">
        <v>920598</v>
      </c>
      <c r="C728" s="15">
        <v>2</v>
      </c>
      <c r="D728" s="7">
        <f t="shared" si="67"/>
        <v>1841196</v>
      </c>
      <c r="E728" s="7">
        <f t="shared" si="68"/>
        <v>847500677604</v>
      </c>
      <c r="F728" s="7">
        <f t="shared" si="68"/>
        <v>4</v>
      </c>
      <c r="G728" s="7">
        <f t="shared" si="69"/>
        <v>14.32</v>
      </c>
      <c r="H728" s="7">
        <f t="shared" si="70"/>
        <v>12.32</v>
      </c>
      <c r="I728" s="7">
        <f t="shared" si="71"/>
        <v>151.7824</v>
      </c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>
      <c r="A729" s="6"/>
      <c r="B729" s="15">
        <v>930042</v>
      </c>
      <c r="C729" s="15">
        <v>1</v>
      </c>
      <c r="D729" s="7">
        <f t="shared" si="67"/>
        <v>930042</v>
      </c>
      <c r="E729" s="7">
        <f t="shared" si="68"/>
        <v>864978121764</v>
      </c>
      <c r="F729" s="7">
        <f t="shared" si="68"/>
        <v>1</v>
      </c>
      <c r="G729" s="7">
        <f t="shared" si="69"/>
        <v>13.3756</v>
      </c>
      <c r="H729" s="7">
        <f t="shared" si="70"/>
        <v>12.3756</v>
      </c>
      <c r="I729" s="7">
        <f t="shared" si="71"/>
        <v>153.15547536</v>
      </c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>
      <c r="A730" s="6"/>
      <c r="B730" s="15">
        <v>939105</v>
      </c>
      <c r="C730" s="15">
        <v>0</v>
      </c>
      <c r="D730" s="7">
        <f t="shared" si="67"/>
        <v>0</v>
      </c>
      <c r="E730" s="7">
        <f t="shared" si="68"/>
        <v>881918201025</v>
      </c>
      <c r="F730" s="7">
        <f t="shared" si="68"/>
        <v>0</v>
      </c>
      <c r="G730" s="7">
        <f t="shared" si="69"/>
        <v>12.4693</v>
      </c>
      <c r="H730" s="7">
        <f t="shared" si="70"/>
        <v>12.4693</v>
      </c>
      <c r="I730" s="7">
        <f t="shared" si="71"/>
        <v>155.48344249000002</v>
      </c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>
      <c r="A731" s="6"/>
      <c r="B731" s="15">
        <v>952721</v>
      </c>
      <c r="C731" s="15">
        <v>4</v>
      </c>
      <c r="D731" s="7">
        <f t="shared" si="67"/>
        <v>3810884</v>
      </c>
      <c r="E731" s="7">
        <f t="shared" si="68"/>
        <v>907677303841</v>
      </c>
      <c r="F731" s="7">
        <f t="shared" si="68"/>
        <v>16</v>
      </c>
      <c r="G731" s="7">
        <f t="shared" si="69"/>
        <v>11.107699999999999</v>
      </c>
      <c r="H731" s="7">
        <f t="shared" si="70"/>
        <v>7.1077000000000004</v>
      </c>
      <c r="I731" s="7">
        <f t="shared" si="71"/>
        <v>50.519399290000003</v>
      </c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>
      <c r="A732" s="6"/>
      <c r="B732" s="15">
        <v>969630</v>
      </c>
      <c r="C732" s="15">
        <v>2</v>
      </c>
      <c r="D732" s="7">
        <f t="shared" si="67"/>
        <v>1939260</v>
      </c>
      <c r="E732" s="7">
        <f t="shared" si="68"/>
        <v>940182336900</v>
      </c>
      <c r="F732" s="7">
        <f t="shared" si="68"/>
        <v>4</v>
      </c>
      <c r="G732" s="7">
        <f t="shared" si="69"/>
        <v>9.4168000000000003</v>
      </c>
      <c r="H732" s="7">
        <f t="shared" si="70"/>
        <v>7.4168000000000003</v>
      </c>
      <c r="I732" s="7">
        <f t="shared" si="71"/>
        <v>55.008922240000004</v>
      </c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>
      <c r="A733" s="6"/>
      <c r="B733" s="15">
        <v>1012002</v>
      </c>
      <c r="C733" s="15">
        <v>5</v>
      </c>
      <c r="D733" s="7">
        <f t="shared" si="67"/>
        <v>5060010</v>
      </c>
      <c r="E733" s="7">
        <f t="shared" si="68"/>
        <v>1024148048004</v>
      </c>
      <c r="F733" s="7">
        <f t="shared" si="68"/>
        <v>25</v>
      </c>
      <c r="G733" s="7">
        <f t="shared" si="69"/>
        <v>5.1795999999999998</v>
      </c>
      <c r="H733" s="7">
        <f t="shared" si="70"/>
        <v>0.17960000000000001</v>
      </c>
      <c r="I733" s="7">
        <f t="shared" si="71"/>
        <v>3.2256160000000006E-2</v>
      </c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>
      <c r="A734" s="6"/>
      <c r="B734" s="15">
        <v>1063299</v>
      </c>
      <c r="C734" s="15">
        <v>1</v>
      </c>
      <c r="D734" s="7">
        <f t="shared" si="67"/>
        <v>1063299</v>
      </c>
      <c r="E734" s="7">
        <f t="shared" si="68"/>
        <v>1130604763401</v>
      </c>
      <c r="F734" s="7">
        <f t="shared" si="68"/>
        <v>1</v>
      </c>
      <c r="G734" s="7">
        <f t="shared" si="69"/>
        <v>4.99E-2</v>
      </c>
      <c r="H734" s="7">
        <f t="shared" si="70"/>
        <v>-0.95009999999999994</v>
      </c>
      <c r="I734" s="7">
        <f t="shared" si="71"/>
        <v>0.90269000999999993</v>
      </c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>
      <c r="A735" s="6"/>
      <c r="B735" s="15">
        <v>1120117</v>
      </c>
      <c r="C735" s="15">
        <v>2</v>
      </c>
      <c r="D735" s="7">
        <f t="shared" si="67"/>
        <v>2240234</v>
      </c>
      <c r="E735" s="7">
        <f t="shared" si="68"/>
        <v>1254662093689</v>
      </c>
      <c r="F735" s="7">
        <f t="shared" si="68"/>
        <v>4</v>
      </c>
      <c r="G735" s="7">
        <f t="shared" si="69"/>
        <v>-5.6318999999999999</v>
      </c>
      <c r="H735" s="7">
        <f t="shared" si="70"/>
        <v>-7.6318999999999999</v>
      </c>
      <c r="I735" s="7">
        <f t="shared" si="71"/>
        <v>58.24589761</v>
      </c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>
      <c r="A736" s="6"/>
      <c r="B736" s="15">
        <v>1134005</v>
      </c>
      <c r="C736" s="15">
        <v>1</v>
      </c>
      <c r="D736" s="7">
        <f t="shared" si="67"/>
        <v>1134005</v>
      </c>
      <c r="E736" s="7">
        <f t="shared" si="68"/>
        <v>1285967340025</v>
      </c>
      <c r="F736" s="7">
        <f t="shared" si="68"/>
        <v>1</v>
      </c>
      <c r="G736" s="7">
        <f t="shared" si="69"/>
        <v>-7.0206999999999997</v>
      </c>
      <c r="H736" s="7">
        <f t="shared" si="70"/>
        <v>-8.0206999999999997</v>
      </c>
      <c r="I736" s="7">
        <f t="shared" si="71"/>
        <v>64.33162849</v>
      </c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>
      <c r="A737" s="6"/>
      <c r="B737" s="15">
        <v>1160784</v>
      </c>
      <c r="C737" s="15">
        <v>1</v>
      </c>
      <c r="D737" s="7">
        <f t="shared" si="67"/>
        <v>1160784</v>
      </c>
      <c r="E737" s="7">
        <f t="shared" si="68"/>
        <v>1347419494656</v>
      </c>
      <c r="F737" s="7">
        <f t="shared" si="68"/>
        <v>1</v>
      </c>
      <c r="G737" s="7">
        <f t="shared" si="69"/>
        <v>-9.6986000000000008</v>
      </c>
      <c r="H737" s="7">
        <f t="shared" si="70"/>
        <v>-10.698600000000001</v>
      </c>
      <c r="I737" s="7">
        <f t="shared" si="71"/>
        <v>114.46004196000001</v>
      </c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>
      <c r="A738" s="6"/>
      <c r="B738" s="15">
        <v>1180469</v>
      </c>
      <c r="C738" s="15">
        <v>1</v>
      </c>
      <c r="D738" s="7">
        <f t="shared" si="67"/>
        <v>1180469</v>
      </c>
      <c r="E738" s="7">
        <f t="shared" si="68"/>
        <v>1393507059961</v>
      </c>
      <c r="F738" s="7">
        <f t="shared" si="68"/>
        <v>1</v>
      </c>
      <c r="G738" s="7">
        <f t="shared" si="69"/>
        <v>-11.6671</v>
      </c>
      <c r="H738" s="7">
        <f t="shared" si="70"/>
        <v>-12.6671</v>
      </c>
      <c r="I738" s="7">
        <f t="shared" si="71"/>
        <v>160.45542240999998</v>
      </c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>
      <c r="A739" s="6"/>
      <c r="B739" s="15">
        <v>1196536</v>
      </c>
      <c r="C739" s="15">
        <v>4</v>
      </c>
      <c r="D739" s="7">
        <f t="shared" si="67"/>
        <v>4786144</v>
      </c>
      <c r="E739" s="7">
        <f t="shared" si="68"/>
        <v>1431698399296</v>
      </c>
      <c r="F739" s="7">
        <f t="shared" si="68"/>
        <v>16</v>
      </c>
      <c r="G739" s="7">
        <f t="shared" si="69"/>
        <v>-13.2738</v>
      </c>
      <c r="H739" s="7">
        <f t="shared" si="70"/>
        <v>-17.273800000000001</v>
      </c>
      <c r="I739" s="7">
        <f t="shared" si="71"/>
        <v>298.38416644000006</v>
      </c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>
      <c r="A740" s="6"/>
      <c r="B740" s="15">
        <v>1211653</v>
      </c>
      <c r="C740" s="15">
        <v>1</v>
      </c>
      <c r="D740" s="7">
        <f t="shared" si="67"/>
        <v>1211653</v>
      </c>
      <c r="E740" s="7">
        <f t="shared" si="68"/>
        <v>1468102992409</v>
      </c>
      <c r="F740" s="7">
        <f t="shared" si="68"/>
        <v>1</v>
      </c>
      <c r="G740" s="7">
        <f t="shared" si="69"/>
        <v>-14.785500000000001</v>
      </c>
      <c r="H740" s="7">
        <f t="shared" si="70"/>
        <v>-15.785500000000001</v>
      </c>
      <c r="I740" s="7">
        <f t="shared" si="71"/>
        <v>249.18201025000002</v>
      </c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>
      <c r="A741" s="6"/>
      <c r="B741" s="15">
        <v>1231250</v>
      </c>
      <c r="C741" s="15">
        <v>0</v>
      </c>
      <c r="D741" s="7">
        <f t="shared" si="67"/>
        <v>0</v>
      </c>
      <c r="E741" s="7">
        <f t="shared" si="68"/>
        <v>1515976562500</v>
      </c>
      <c r="F741" s="7">
        <f t="shared" si="68"/>
        <v>0</v>
      </c>
      <c r="G741" s="7">
        <f t="shared" si="69"/>
        <v>-16.745200000000001</v>
      </c>
      <c r="H741" s="7">
        <f t="shared" si="70"/>
        <v>-16.745200000000001</v>
      </c>
      <c r="I741" s="7">
        <f t="shared" si="71"/>
        <v>280.40172304000004</v>
      </c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>
      <c r="A742" s="6"/>
      <c r="B742" s="15">
        <v>1287442</v>
      </c>
      <c r="C742" s="15">
        <v>7</v>
      </c>
      <c r="D742" s="7">
        <f t="shared" si="67"/>
        <v>9012094</v>
      </c>
      <c r="E742" s="7">
        <f t="shared" si="68"/>
        <v>1657506903364</v>
      </c>
      <c r="F742" s="7">
        <f t="shared" si="68"/>
        <v>49</v>
      </c>
      <c r="G742" s="7">
        <f t="shared" si="69"/>
        <v>-22.3644</v>
      </c>
      <c r="H742" s="7">
        <f t="shared" si="70"/>
        <v>-29.3644</v>
      </c>
      <c r="I742" s="7">
        <f t="shared" si="71"/>
        <v>862.26798736000001</v>
      </c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>
      <c r="A743" s="6"/>
      <c r="B743" s="15">
        <v>1411270</v>
      </c>
      <c r="C743" s="15">
        <v>1</v>
      </c>
      <c r="D743" s="7">
        <f t="shared" si="67"/>
        <v>1411270</v>
      </c>
      <c r="E743" s="7">
        <f t="shared" si="68"/>
        <v>1991683012900</v>
      </c>
      <c r="F743" s="7">
        <f t="shared" si="68"/>
        <v>1</v>
      </c>
      <c r="G743" s="7">
        <f t="shared" si="69"/>
        <v>-34.747199999999999</v>
      </c>
      <c r="H743" s="7">
        <f t="shared" si="70"/>
        <v>-35.747199999999999</v>
      </c>
      <c r="I743" s="7">
        <f t="shared" si="71"/>
        <v>1277.8623078399999</v>
      </c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>
      <c r="A744" s="6"/>
      <c r="B744" s="15">
        <v>1469159</v>
      </c>
      <c r="C744" s="15">
        <v>2</v>
      </c>
      <c r="D744" s="7">
        <f t="shared" si="67"/>
        <v>2938318</v>
      </c>
      <c r="E744" s="7">
        <f t="shared" si="68"/>
        <v>2158428167281</v>
      </c>
      <c r="F744" s="7">
        <f t="shared" si="68"/>
        <v>4</v>
      </c>
      <c r="G744" s="7">
        <f t="shared" si="69"/>
        <v>-40.536099999999998</v>
      </c>
      <c r="H744" s="7">
        <f t="shared" si="70"/>
        <v>-42.536099999999998</v>
      </c>
      <c r="I744" s="7">
        <f t="shared" si="71"/>
        <v>1809.3198032099997</v>
      </c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>
      <c r="A745" s="6"/>
      <c r="B745" s="15">
        <v>1489854</v>
      </c>
      <c r="C745" s="15">
        <v>2</v>
      </c>
      <c r="D745" s="7">
        <f t="shared" si="67"/>
        <v>2979708</v>
      </c>
      <c r="E745" s="7">
        <f t="shared" si="68"/>
        <v>2219664941316</v>
      </c>
      <c r="F745" s="7">
        <f t="shared" si="68"/>
        <v>4</v>
      </c>
      <c r="G745" s="7">
        <f t="shared" si="69"/>
        <v>-42.605600000000003</v>
      </c>
      <c r="H745" s="7">
        <f t="shared" si="70"/>
        <v>-44.605600000000003</v>
      </c>
      <c r="I745" s="7">
        <f t="shared" si="71"/>
        <v>1989.6595513600003</v>
      </c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>
      <c r="A746" s="6"/>
      <c r="B746" s="15">
        <v>1513415</v>
      </c>
      <c r="C746" s="15">
        <v>2</v>
      </c>
      <c r="D746" s="7">
        <f t="shared" si="67"/>
        <v>3026830</v>
      </c>
      <c r="E746" s="7">
        <f t="shared" si="68"/>
        <v>2290424962225</v>
      </c>
      <c r="F746" s="7">
        <f t="shared" si="68"/>
        <v>4</v>
      </c>
      <c r="G746" s="7">
        <f t="shared" si="69"/>
        <v>-44.9617</v>
      </c>
      <c r="H746" s="7">
        <f t="shared" si="70"/>
        <v>-46.9617</v>
      </c>
      <c r="I746" s="7">
        <f t="shared" si="71"/>
        <v>2205.40126689</v>
      </c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>
      <c r="A747" s="6"/>
      <c r="B747" s="15">
        <v>1539964</v>
      </c>
      <c r="C747" s="15">
        <v>1</v>
      </c>
      <c r="D747" s="7">
        <f t="shared" si="67"/>
        <v>1539964</v>
      </c>
      <c r="E747" s="7">
        <f t="shared" si="68"/>
        <v>2371489121296</v>
      </c>
      <c r="F747" s="7">
        <f t="shared" si="68"/>
        <v>1</v>
      </c>
      <c r="G747" s="7">
        <f t="shared" si="69"/>
        <v>-47.616599999999998</v>
      </c>
      <c r="H747" s="7">
        <f t="shared" si="70"/>
        <v>-48.616599999999998</v>
      </c>
      <c r="I747" s="7">
        <f t="shared" si="71"/>
        <v>2363.5737955599998</v>
      </c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>
      <c r="A748" s="6"/>
      <c r="B748" s="15">
        <v>1568208</v>
      </c>
      <c r="C748" s="15">
        <v>3</v>
      </c>
      <c r="D748" s="7">
        <f t="shared" si="67"/>
        <v>4704624</v>
      </c>
      <c r="E748" s="7">
        <f t="shared" si="68"/>
        <v>2459276331264</v>
      </c>
      <c r="F748" s="7">
        <f t="shared" si="68"/>
        <v>9</v>
      </c>
      <c r="G748" s="7">
        <f t="shared" si="69"/>
        <v>-50.441000000000003</v>
      </c>
      <c r="H748" s="7">
        <f t="shared" si="70"/>
        <v>-53.441000000000003</v>
      </c>
      <c r="I748" s="7">
        <f t="shared" si="71"/>
        <v>2855.9404810000001</v>
      </c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>
      <c r="A749" s="6"/>
      <c r="B749" s="15">
        <v>1604322</v>
      </c>
      <c r="C749" s="15">
        <v>0</v>
      </c>
      <c r="D749" s="7">
        <f t="shared" si="67"/>
        <v>0</v>
      </c>
      <c r="E749" s="7">
        <f t="shared" si="68"/>
        <v>2573849079684</v>
      </c>
      <c r="F749" s="7">
        <f t="shared" si="68"/>
        <v>0</v>
      </c>
      <c r="G749" s="7">
        <f t="shared" si="69"/>
        <v>-54.052399999999999</v>
      </c>
      <c r="H749" s="7">
        <f t="shared" si="70"/>
        <v>-54.052399999999999</v>
      </c>
      <c r="I749" s="7">
        <f t="shared" si="71"/>
        <v>2921.66194576</v>
      </c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>
      <c r="A750" s="6"/>
      <c r="B750" s="15">
        <v>1638859</v>
      </c>
      <c r="C750" s="15">
        <v>0</v>
      </c>
      <c r="D750" s="7">
        <f t="shared" si="67"/>
        <v>0</v>
      </c>
      <c r="E750" s="7">
        <f t="shared" si="68"/>
        <v>2685858821881</v>
      </c>
      <c r="F750" s="7">
        <f t="shared" si="68"/>
        <v>0</v>
      </c>
      <c r="G750" s="7">
        <f t="shared" si="69"/>
        <v>-57.506100000000004</v>
      </c>
      <c r="H750" s="7">
        <f t="shared" si="70"/>
        <v>-57.506100000000004</v>
      </c>
      <c r="I750" s="7">
        <f t="shared" si="71"/>
        <v>3306.9515372100004</v>
      </c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>
      <c r="A751" s="6"/>
      <c r="B751" s="15">
        <v>1701479</v>
      </c>
      <c r="C751" s="15">
        <v>1</v>
      </c>
      <c r="D751" s="7">
        <f t="shared" si="67"/>
        <v>1701479</v>
      </c>
      <c r="E751" s="7">
        <f t="shared" si="68"/>
        <v>2895030787441</v>
      </c>
      <c r="F751" s="7">
        <f t="shared" si="68"/>
        <v>1</v>
      </c>
      <c r="G751" s="7">
        <f t="shared" si="69"/>
        <v>-63.768099999999997</v>
      </c>
      <c r="H751" s="7">
        <f t="shared" si="70"/>
        <v>-64.768100000000004</v>
      </c>
      <c r="I751" s="7">
        <f t="shared" si="71"/>
        <v>4194.906777610001</v>
      </c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>
      <c r="A752" s="6"/>
      <c r="B752" s="15">
        <v>1725903</v>
      </c>
      <c r="C752" s="15">
        <v>3</v>
      </c>
      <c r="D752" s="7">
        <f t="shared" si="67"/>
        <v>5177709</v>
      </c>
      <c r="E752" s="7">
        <f t="shared" si="68"/>
        <v>2978741165409</v>
      </c>
      <c r="F752" s="7">
        <f t="shared" si="68"/>
        <v>9</v>
      </c>
      <c r="G752" s="7">
        <f t="shared" si="69"/>
        <v>-66.210499999999996</v>
      </c>
      <c r="H752" s="7">
        <f t="shared" si="70"/>
        <v>-69.210499999999996</v>
      </c>
      <c r="I752" s="7">
        <f t="shared" si="71"/>
        <v>4790.0933102499994</v>
      </c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4">
      <c r="A753" s="6"/>
      <c r="B753" s="15">
        <v>1745225</v>
      </c>
      <c r="C753" s="15">
        <v>1</v>
      </c>
      <c r="D753" s="7">
        <f t="shared" si="67"/>
        <v>1745225</v>
      </c>
      <c r="E753" s="7">
        <f t="shared" si="68"/>
        <v>3045810300625</v>
      </c>
      <c r="F753" s="7">
        <f t="shared" si="68"/>
        <v>1</v>
      </c>
      <c r="G753" s="7">
        <f t="shared" si="69"/>
        <v>-68.142700000000005</v>
      </c>
      <c r="H753" s="7">
        <f t="shared" si="70"/>
        <v>-69.142700000000005</v>
      </c>
      <c r="I753" s="7">
        <f t="shared" si="71"/>
        <v>4780.7129632900005</v>
      </c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4">
      <c r="A754" s="6"/>
      <c r="B754" s="15">
        <v>1788676</v>
      </c>
      <c r="C754" s="15">
        <v>0</v>
      </c>
      <c r="D754" s="7">
        <f t="shared" si="67"/>
        <v>0</v>
      </c>
      <c r="E754" s="7">
        <f t="shared" si="68"/>
        <v>3199361832976</v>
      </c>
      <c r="F754" s="7">
        <f t="shared" si="68"/>
        <v>0</v>
      </c>
      <c r="G754" s="7">
        <f t="shared" si="69"/>
        <v>-72.487799999999993</v>
      </c>
      <c r="H754" s="7">
        <f t="shared" si="70"/>
        <v>-72.487799999999993</v>
      </c>
      <c r="I754" s="7">
        <f t="shared" si="71"/>
        <v>5254.4811488399992</v>
      </c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4">
      <c r="A755" s="6"/>
      <c r="B755" s="15">
        <v>1845836</v>
      </c>
      <c r="C755" s="15">
        <v>1</v>
      </c>
      <c r="D755" s="7">
        <f t="shared" si="67"/>
        <v>1845836</v>
      </c>
      <c r="E755" s="7">
        <f t="shared" si="68"/>
        <v>3407110538896</v>
      </c>
      <c r="F755" s="7">
        <f t="shared" si="68"/>
        <v>1</v>
      </c>
      <c r="G755" s="7">
        <f t="shared" si="69"/>
        <v>-78.203800000000001</v>
      </c>
      <c r="H755" s="7">
        <f t="shared" si="70"/>
        <v>-79.203800000000001</v>
      </c>
      <c r="I755" s="7">
        <f t="shared" si="71"/>
        <v>6273.2419344400005</v>
      </c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4">
      <c r="A756" s="6"/>
      <c r="B756" s="15">
        <v>1910212</v>
      </c>
      <c r="C756" s="15">
        <v>0</v>
      </c>
      <c r="D756" s="7">
        <f t="shared" si="67"/>
        <v>0</v>
      </c>
      <c r="E756" s="7">
        <f t="shared" si="68"/>
        <v>3648909884944</v>
      </c>
      <c r="F756" s="7">
        <f t="shared" si="68"/>
        <v>0</v>
      </c>
      <c r="G756" s="7">
        <f t="shared" si="69"/>
        <v>-84.641400000000004</v>
      </c>
      <c r="H756" s="7">
        <f t="shared" si="70"/>
        <v>-84.641400000000004</v>
      </c>
      <c r="I756" s="7">
        <f t="shared" si="71"/>
        <v>7164.1665939600007</v>
      </c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4">
      <c r="A757" s="6"/>
      <c r="B757" s="15">
        <v>1949349</v>
      </c>
      <c r="C757" s="15">
        <v>0</v>
      </c>
      <c r="D757" s="7">
        <f t="shared" si="67"/>
        <v>0</v>
      </c>
      <c r="E757" s="7">
        <f t="shared" si="68"/>
        <v>3799961523801</v>
      </c>
      <c r="F757" s="7">
        <f t="shared" si="68"/>
        <v>0</v>
      </c>
      <c r="G757" s="7">
        <f t="shared" si="69"/>
        <v>-88.555099999999996</v>
      </c>
      <c r="H757" s="7">
        <f t="shared" si="70"/>
        <v>-88.555099999999996</v>
      </c>
      <c r="I757" s="7">
        <f t="shared" si="71"/>
        <v>7842.0057360099991</v>
      </c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4">
      <c r="A758" s="6"/>
      <c r="B758" s="15">
        <v>2054154</v>
      </c>
      <c r="C758" s="15">
        <v>2</v>
      </c>
      <c r="D758" s="4">
        <f t="shared" si="67"/>
        <v>4108308</v>
      </c>
      <c r="E758" s="7">
        <f t="shared" si="68"/>
        <v>4219548655716</v>
      </c>
      <c r="F758" s="7">
        <f t="shared" si="68"/>
        <v>4</v>
      </c>
      <c r="G758" s="7">
        <f t="shared" si="69"/>
        <v>-99.035600000000002</v>
      </c>
      <c r="H758" s="7">
        <f t="shared" si="70"/>
        <v>-101.0356</v>
      </c>
      <c r="I758" s="7">
        <f t="shared" si="71"/>
        <v>10208.192467360001</v>
      </c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4">
      <c r="A759" s="4" t="s">
        <v>18</v>
      </c>
      <c r="B759" s="4">
        <f t="shared" ref="B759" si="72">SUM(B639:B758)</f>
        <v>82225828</v>
      </c>
      <c r="C759" s="4">
        <f t="shared" ref="C759:I759" si="73">SUM(C639:C758)</f>
        <v>4543</v>
      </c>
      <c r="D759" s="4">
        <f t="shared" si="73"/>
        <v>930148005</v>
      </c>
      <c r="E759" s="4">
        <f t="shared" si="73"/>
        <v>85439162458898</v>
      </c>
      <c r="F759" s="4">
        <f t="shared" si="73"/>
        <v>696425</v>
      </c>
      <c r="G759" s="4">
        <f t="shared" si="73"/>
        <v>4542.993199999999</v>
      </c>
      <c r="H759" s="4">
        <f>SUM(H639:H758)</f>
        <v>-6.80000000028258E-3</v>
      </c>
      <c r="I759" s="4">
        <f t="shared" si="73"/>
        <v>378845.35705889994</v>
      </c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4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</row>
    <row r="761" spans="1:24">
      <c r="A761" s="6"/>
      <c r="B761" s="6"/>
      <c r="C761" s="6"/>
      <c r="D761" s="6"/>
      <c r="E761" s="6"/>
      <c r="F761" s="6"/>
      <c r="G761" s="15"/>
      <c r="H761" s="15"/>
      <c r="I761" s="1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4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</row>
    <row r="763" spans="1:24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</row>
    <row r="764" spans="1:24">
      <c r="A764" s="68"/>
      <c r="B764" s="68"/>
      <c r="C764" s="78" t="s">
        <v>137</v>
      </c>
      <c r="D764" s="78" t="s">
        <v>137</v>
      </c>
      <c r="E764" s="78" t="s">
        <v>137</v>
      </c>
      <c r="F764" s="79" t="s">
        <v>138</v>
      </c>
      <c r="G764" s="78" t="s">
        <v>137</v>
      </c>
      <c r="H764" s="78" t="s">
        <v>137</v>
      </c>
      <c r="I764" s="68"/>
      <c r="J764" s="78" t="s">
        <v>137</v>
      </c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</row>
    <row r="765" spans="1:24">
      <c r="A765" s="68"/>
      <c r="B765" s="4" t="s">
        <v>30</v>
      </c>
      <c r="C765" s="4">
        <f>ROUND(N40,4)</f>
        <v>-0.57840000000000003</v>
      </c>
      <c r="D765" s="4">
        <f>ROUND(N167,4)</f>
        <v>0.9153</v>
      </c>
      <c r="E765" s="4">
        <f>ROUND(N294,4)</f>
        <v>0.9738</v>
      </c>
      <c r="F765" s="4">
        <f>ROUND(N421,4)</f>
        <v>-4.9000000000000002E-2</v>
      </c>
      <c r="G765" s="4">
        <f>ROUND(N548,4)</f>
        <v>0.99239999999999995</v>
      </c>
      <c r="H765" s="4">
        <f>ROUND(N675,4)</f>
        <v>-0.55879999999999996</v>
      </c>
      <c r="I765" s="12"/>
      <c r="J765" s="79" t="s">
        <v>138</v>
      </c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68"/>
      <c r="X765" s="68"/>
    </row>
    <row r="766" spans="1:24">
      <c r="A766" s="68"/>
      <c r="B766" s="4" t="s">
        <v>39</v>
      </c>
      <c r="C766" s="4">
        <f>ROUND(C765^2,4)</f>
        <v>0.33450000000000002</v>
      </c>
      <c r="D766" s="4">
        <f t="shared" ref="D766:H766" si="74">ROUND(D765^2,4)</f>
        <v>0.83779999999999999</v>
      </c>
      <c r="E766" s="4">
        <f t="shared" si="74"/>
        <v>0.94830000000000003</v>
      </c>
      <c r="F766" s="4">
        <f t="shared" si="74"/>
        <v>2.3999999999999998E-3</v>
      </c>
      <c r="G766" s="4">
        <f t="shared" si="74"/>
        <v>0.9849</v>
      </c>
      <c r="H766" s="4">
        <f t="shared" si="74"/>
        <v>0.31230000000000002</v>
      </c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</row>
    <row r="767" spans="1:24">
      <c r="A767" s="68"/>
      <c r="B767" s="80" t="s">
        <v>31</v>
      </c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68"/>
      <c r="Q767" s="68"/>
      <c r="R767" s="68"/>
      <c r="S767" s="68"/>
      <c r="T767" s="68"/>
      <c r="U767" s="68"/>
      <c r="V767" s="68"/>
      <c r="W767" s="68"/>
      <c r="X767" s="68"/>
    </row>
    <row r="768" spans="1:24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</row>
    <row r="769" spans="1:24">
      <c r="A769" s="68"/>
      <c r="B769" s="35" t="s">
        <v>32</v>
      </c>
      <c r="C769" s="33">
        <f>MAX(C765:H765)</f>
        <v>0.99239999999999995</v>
      </c>
      <c r="D769" s="66" t="s">
        <v>20</v>
      </c>
      <c r="E769" s="33">
        <f>L533</f>
        <v>3.5799999999999998E-2</v>
      </c>
      <c r="F769" s="81" t="s">
        <v>53</v>
      </c>
      <c r="G769" s="81"/>
      <c r="H769" s="34" t="s">
        <v>41</v>
      </c>
      <c r="I769" s="33">
        <f>ROUND(E773-K769*E771,4)</f>
        <v>7934.6749</v>
      </c>
      <c r="J769" s="38"/>
      <c r="K769" s="33">
        <f>M556</f>
        <v>1422.6401000000001</v>
      </c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</row>
    <row r="770" spans="1:24">
      <c r="A770" s="68"/>
      <c r="B770" s="30" t="s">
        <v>40</v>
      </c>
      <c r="C770" s="26">
        <f>MAX(C766:H766)</f>
        <v>0.9849</v>
      </c>
      <c r="D770" s="67" t="s">
        <v>21</v>
      </c>
      <c r="E770" s="26">
        <f>L534</f>
        <v>37.8583</v>
      </c>
      <c r="F770" s="82" t="s">
        <v>54</v>
      </c>
      <c r="G770" s="82"/>
      <c r="H770" s="68" t="s">
        <v>42</v>
      </c>
      <c r="I770" s="26">
        <f>ROUND((E771^2)/E772,4)</f>
        <v>516500.20370000001</v>
      </c>
      <c r="J770" s="68"/>
      <c r="K770" s="26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</row>
    <row r="771" spans="1:24">
      <c r="A771" s="68"/>
      <c r="B771" s="30" t="s">
        <v>19</v>
      </c>
      <c r="C771" s="14">
        <v>120</v>
      </c>
      <c r="D771" s="30" t="s">
        <v>63</v>
      </c>
      <c r="E771" s="26">
        <f>O537</f>
        <v>363.0575432000004</v>
      </c>
      <c r="F771" s="82" t="s">
        <v>52</v>
      </c>
      <c r="G771" s="82"/>
      <c r="H771" s="68" t="s">
        <v>43</v>
      </c>
      <c r="I771" s="26">
        <f>E773</f>
        <v>524434.89450000005</v>
      </c>
      <c r="J771" s="68"/>
      <c r="K771" s="26">
        <f>M559</f>
        <v>-13.0722</v>
      </c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</row>
    <row r="772" spans="1:24">
      <c r="A772" s="68"/>
      <c r="B772" s="36"/>
      <c r="C772" s="14"/>
      <c r="D772" s="30" t="s">
        <v>64</v>
      </c>
      <c r="E772" s="26">
        <f>O541</f>
        <v>0.25519985999999972</v>
      </c>
      <c r="F772" s="68"/>
      <c r="G772" s="68"/>
      <c r="H772" s="68" t="s">
        <v>59</v>
      </c>
      <c r="I772" s="26">
        <f>ROUND(SQRT(I769/(C771-2)),4)</f>
        <v>8.2002000000000006</v>
      </c>
      <c r="J772" s="68"/>
      <c r="K772" s="26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</row>
    <row r="773" spans="1:24" ht="13.5" thickBot="1">
      <c r="A773" s="68"/>
      <c r="B773" s="37"/>
      <c r="C773" s="28"/>
      <c r="D773" s="30" t="s">
        <v>65</v>
      </c>
      <c r="E773" s="27">
        <f>O544</f>
        <v>524434.89450000005</v>
      </c>
      <c r="F773" s="68"/>
      <c r="G773" s="68"/>
      <c r="H773" s="28"/>
      <c r="I773" s="27"/>
      <c r="J773" s="37"/>
      <c r="K773" s="27">
        <f>ROUND(K769*SQRT(E772/E773),4)</f>
        <v>0.99239999999999995</v>
      </c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</row>
    <row r="774" spans="1:24">
      <c r="A774" s="20"/>
      <c r="B774" s="20" t="s">
        <v>55</v>
      </c>
      <c r="C774" s="20" t="s">
        <v>48</v>
      </c>
      <c r="D774" s="20" t="s">
        <v>49</v>
      </c>
      <c r="E774" s="20" t="s">
        <v>50</v>
      </c>
      <c r="F774" s="20" t="s">
        <v>51</v>
      </c>
      <c r="G774" s="22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</row>
    <row r="775" spans="1:24">
      <c r="A775" s="67" t="s">
        <v>56</v>
      </c>
      <c r="B775" s="18" t="s">
        <v>45</v>
      </c>
      <c r="C775" s="18">
        <v>1</v>
      </c>
      <c r="D775" s="18">
        <f>I770</f>
        <v>516500.20370000001</v>
      </c>
      <c r="E775" s="18">
        <f>D775/C775</f>
        <v>516500.20370000001</v>
      </c>
      <c r="F775" s="18">
        <f>E775/E776</f>
        <v>7681.0990752248717</v>
      </c>
      <c r="G775" s="1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</row>
    <row r="776" spans="1:24">
      <c r="A776" s="67" t="s">
        <v>57</v>
      </c>
      <c r="B776" s="18" t="s">
        <v>46</v>
      </c>
      <c r="C776" s="18">
        <f>C771-2</f>
        <v>118</v>
      </c>
      <c r="D776" s="18">
        <f>I769</f>
        <v>7934.6749</v>
      </c>
      <c r="E776" s="18">
        <f>D776/C776</f>
        <v>67.243007627118644</v>
      </c>
      <c r="F776" s="18"/>
      <c r="G776" s="1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</row>
    <row r="777" spans="1:24" ht="13.5" thickBot="1">
      <c r="A777" s="24" t="s">
        <v>58</v>
      </c>
      <c r="B777" s="19" t="s">
        <v>47</v>
      </c>
      <c r="C777" s="19">
        <f>C771-1</f>
        <v>119</v>
      </c>
      <c r="D777" s="19">
        <f>I771</f>
        <v>524434.89450000005</v>
      </c>
      <c r="E777" s="19"/>
      <c r="F777" s="19"/>
      <c r="G777" s="19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</row>
    <row r="778" spans="1:24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</row>
    <row r="779" spans="1:24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</row>
    <row r="780" spans="1:24">
      <c r="A780" s="72"/>
      <c r="B780" s="72"/>
      <c r="C780" s="72"/>
      <c r="D780" s="72"/>
      <c r="E780" s="72"/>
      <c r="F780" s="72"/>
      <c r="G780" s="50"/>
      <c r="H780" s="50"/>
      <c r="I780" s="50"/>
      <c r="J780" s="50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</row>
    <row r="781" spans="1:24">
      <c r="A781" s="14"/>
      <c r="B781" s="18"/>
      <c r="C781" s="18"/>
      <c r="D781" s="18"/>
      <c r="E781" s="18"/>
      <c r="F781" s="18"/>
      <c r="G781" s="18"/>
      <c r="H781" s="18"/>
      <c r="I781" s="18"/>
      <c r="J781" s="1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</row>
    <row r="782" spans="1:24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</row>
    <row r="783" spans="1:24" ht="13.5" thickBot="1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</row>
    <row r="784" spans="1:24">
      <c r="A784" s="68"/>
      <c r="B784" s="39"/>
      <c r="C784" s="40" t="s">
        <v>61</v>
      </c>
      <c r="D784" s="41">
        <v>0.95</v>
      </c>
      <c r="E784" s="41"/>
      <c r="F784" s="41"/>
      <c r="G784" s="41"/>
      <c r="H784" s="41"/>
      <c r="I784" s="41"/>
      <c r="J784" s="42"/>
      <c r="K784" s="77"/>
      <c r="L784" s="39"/>
      <c r="M784" s="40" t="s">
        <v>61</v>
      </c>
      <c r="N784" s="41">
        <v>0.9</v>
      </c>
      <c r="O784" s="41"/>
      <c r="P784" s="41"/>
      <c r="Q784" s="41"/>
      <c r="R784" s="41"/>
      <c r="S784" s="41"/>
      <c r="T784" s="42"/>
      <c r="U784" s="77"/>
      <c r="V784" s="77"/>
      <c r="W784" s="77"/>
      <c r="X784" s="77"/>
    </row>
    <row r="785" spans="1:24">
      <c r="A785" s="21" t="s">
        <v>78</v>
      </c>
      <c r="B785" s="43"/>
      <c r="C785" s="44" t="s">
        <v>62</v>
      </c>
      <c r="D785" s="14">
        <f>1-D784</f>
        <v>5.0000000000000044E-2</v>
      </c>
      <c r="E785" s="14"/>
      <c r="F785" s="14"/>
      <c r="G785" s="14">
        <f>ROUND(SQRT(1/C771+(E769^2/E772)),4)</f>
        <v>0.11559999999999999</v>
      </c>
      <c r="H785" s="14"/>
      <c r="I785" s="29" t="s">
        <v>66</v>
      </c>
      <c r="J785" s="45">
        <f>ROUND(SQRT((I769)/(C771-2)),4)</f>
        <v>8.2002000000000006</v>
      </c>
      <c r="K785" s="77"/>
      <c r="L785" s="43"/>
      <c r="M785" s="44" t="s">
        <v>62</v>
      </c>
      <c r="N785" s="14">
        <f>1-N784</f>
        <v>9.9999999999999978E-2</v>
      </c>
      <c r="O785" s="14"/>
      <c r="P785" s="14"/>
      <c r="Q785" s="14">
        <f>ROUND(SQRT(1/C771+(E769^2/E772)),4)</f>
        <v>0.11559999999999999</v>
      </c>
      <c r="R785" s="14"/>
      <c r="S785" s="29" t="s">
        <v>66</v>
      </c>
      <c r="T785" s="45">
        <f>ROUND(SQRT((I769)/(C771-2)),4)</f>
        <v>8.2002000000000006</v>
      </c>
      <c r="U785" s="77"/>
      <c r="V785" s="77"/>
      <c r="W785" s="77"/>
      <c r="X785" s="77"/>
    </row>
    <row r="786" spans="1:24">
      <c r="A786" s="68" t="s">
        <v>69</v>
      </c>
      <c r="B786" s="43"/>
      <c r="C786" s="14"/>
      <c r="D786" s="14">
        <f>ROUND(_xlfn.T.INV(1-D785/2,C771-2),2)</f>
        <v>1.98</v>
      </c>
      <c r="E786" s="14"/>
      <c r="F786" s="14"/>
      <c r="G786" s="14"/>
      <c r="H786" s="14"/>
      <c r="I786" s="14"/>
      <c r="J786" s="45"/>
      <c r="K786" s="77"/>
      <c r="L786" s="43"/>
      <c r="M786" s="14"/>
      <c r="N786" s="14">
        <f>ROUND(_xlfn.T.INV(1-N785/2,C771-2),2)</f>
        <v>1.66</v>
      </c>
      <c r="O786" s="14"/>
      <c r="P786" s="14"/>
      <c r="Q786" s="14"/>
      <c r="R786" s="14"/>
      <c r="S786" s="14"/>
      <c r="T786" s="45"/>
      <c r="U786" s="77"/>
      <c r="V786" s="77"/>
      <c r="W786" s="77"/>
      <c r="X786" s="77"/>
    </row>
    <row r="787" spans="1:24">
      <c r="A787" s="21" t="s">
        <v>70</v>
      </c>
      <c r="B787" s="46"/>
      <c r="C787" s="14"/>
      <c r="D787" s="14"/>
      <c r="E787" s="14"/>
      <c r="F787" s="14"/>
      <c r="G787" s="14"/>
      <c r="H787" s="14"/>
      <c r="I787" s="14"/>
      <c r="J787" s="45"/>
      <c r="K787" s="77"/>
      <c r="L787" s="46"/>
      <c r="M787" s="14"/>
      <c r="N787" s="14"/>
      <c r="O787" s="14"/>
      <c r="P787" s="14"/>
      <c r="Q787" s="14"/>
      <c r="R787" s="14"/>
      <c r="S787" s="14"/>
      <c r="T787" s="45"/>
      <c r="U787" s="77"/>
      <c r="V787" s="77"/>
      <c r="W787" s="77"/>
      <c r="X787" s="77"/>
    </row>
    <row r="788" spans="1:24">
      <c r="A788" s="68"/>
      <c r="B788" s="46" t="s">
        <v>60</v>
      </c>
      <c r="C788" s="14">
        <f>ROUND(D786*G785*J785,4)</f>
        <v>1.8769</v>
      </c>
      <c r="D788" s="14"/>
      <c r="E788" s="29" t="s">
        <v>67</v>
      </c>
      <c r="F788" s="14">
        <f>K771-C788</f>
        <v>-14.949100000000001</v>
      </c>
      <c r="G788" s="14"/>
      <c r="H788" s="14"/>
      <c r="I788" s="14"/>
      <c r="J788" s="45"/>
      <c r="K788" s="77"/>
      <c r="L788" s="46" t="s">
        <v>60</v>
      </c>
      <c r="M788" s="14">
        <f>ROUND(N786*Q785*T785,4)</f>
        <v>1.5736000000000001</v>
      </c>
      <c r="N788" s="14"/>
      <c r="O788" s="29" t="s">
        <v>67</v>
      </c>
      <c r="P788" s="14">
        <f>K771-M788</f>
        <v>-14.645800000000001</v>
      </c>
      <c r="Q788" s="14"/>
      <c r="R788" s="14"/>
      <c r="S788" s="14"/>
      <c r="T788" s="45"/>
      <c r="U788" s="77"/>
      <c r="V788" s="77"/>
      <c r="W788" s="77"/>
      <c r="X788" s="77"/>
    </row>
    <row r="789" spans="1:24" ht="13.5" thickBot="1">
      <c r="A789" s="68"/>
      <c r="B789" s="47"/>
      <c r="C789" s="28"/>
      <c r="D789" s="28"/>
      <c r="E789" s="48" t="s">
        <v>68</v>
      </c>
      <c r="F789" s="28">
        <f>K771+C788</f>
        <v>-11.1953</v>
      </c>
      <c r="G789" s="28"/>
      <c r="H789" s="28"/>
      <c r="I789" s="28"/>
      <c r="J789" s="49"/>
      <c r="K789" s="77"/>
      <c r="L789" s="47"/>
      <c r="M789" s="28"/>
      <c r="N789" s="28"/>
      <c r="O789" s="48" t="s">
        <v>68</v>
      </c>
      <c r="P789" s="28">
        <f>K771+M788</f>
        <v>-11.4986</v>
      </c>
      <c r="Q789" s="28"/>
      <c r="R789" s="28"/>
      <c r="S789" s="28"/>
      <c r="T789" s="49"/>
      <c r="U789" s="77"/>
      <c r="V789" s="77"/>
      <c r="W789" s="77"/>
      <c r="X789" s="77"/>
    </row>
    <row r="790" spans="1:24" ht="13.5" thickBot="1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</row>
    <row r="791" spans="1:24">
      <c r="A791" s="68"/>
      <c r="B791" s="39"/>
      <c r="C791" s="40" t="s">
        <v>61</v>
      </c>
      <c r="D791" s="41">
        <v>0.95</v>
      </c>
      <c r="E791" s="41"/>
      <c r="F791" s="41"/>
      <c r="G791" s="41"/>
      <c r="H791" s="41"/>
      <c r="I791" s="41"/>
      <c r="J791" s="42"/>
      <c r="K791" s="77"/>
      <c r="L791" s="39"/>
      <c r="M791" s="40" t="s">
        <v>61</v>
      </c>
      <c r="N791" s="41">
        <v>0.9</v>
      </c>
      <c r="O791" s="41"/>
      <c r="P791" s="41"/>
      <c r="Q791" s="41"/>
      <c r="R791" s="41"/>
      <c r="S791" s="41"/>
      <c r="T791" s="42"/>
      <c r="U791" s="77"/>
      <c r="V791" s="77"/>
      <c r="W791" s="77"/>
      <c r="X791" s="77"/>
    </row>
    <row r="792" spans="1:24">
      <c r="A792" s="21" t="s">
        <v>78</v>
      </c>
      <c r="B792" s="43"/>
      <c r="C792" s="44" t="s">
        <v>62</v>
      </c>
      <c r="D792" s="14">
        <f>1-D791</f>
        <v>5.0000000000000044E-2</v>
      </c>
      <c r="E792" s="14"/>
      <c r="F792" s="14"/>
      <c r="G792" s="14">
        <f>ROUND(SQRT(1/E772),4)</f>
        <v>1.9795</v>
      </c>
      <c r="H792" s="14"/>
      <c r="I792" s="29" t="s">
        <v>66</v>
      </c>
      <c r="J792" s="45">
        <f>ROUND(SQRT((I769)/(C771-2)),4)</f>
        <v>8.2002000000000006</v>
      </c>
      <c r="K792" s="77"/>
      <c r="L792" s="43"/>
      <c r="M792" s="44" t="s">
        <v>62</v>
      </c>
      <c r="N792" s="14">
        <f>1-N791</f>
        <v>9.9999999999999978E-2</v>
      </c>
      <c r="O792" s="14"/>
      <c r="P792" s="14"/>
      <c r="Q792" s="14">
        <f>ROUND(SQRT(1/E772),4)</f>
        <v>1.9795</v>
      </c>
      <c r="R792" s="14"/>
      <c r="S792" s="29" t="s">
        <v>66</v>
      </c>
      <c r="T792" s="45">
        <f>ROUND(SQRT((I769)/(C771-2)),4)</f>
        <v>8.2002000000000006</v>
      </c>
      <c r="U792" s="77"/>
      <c r="V792" s="77"/>
      <c r="W792" s="77"/>
      <c r="X792" s="77"/>
    </row>
    <row r="793" spans="1:24">
      <c r="A793" s="68" t="s">
        <v>69</v>
      </c>
      <c r="B793" s="43"/>
      <c r="C793" s="14"/>
      <c r="D793" s="14">
        <f>ROUND(_xlfn.T.INV(1-D792/2,C771-2),2)</f>
        <v>1.98</v>
      </c>
      <c r="E793" s="14"/>
      <c r="F793" s="14"/>
      <c r="G793" s="14"/>
      <c r="H793" s="14"/>
      <c r="I793" s="14"/>
      <c r="J793" s="45"/>
      <c r="K793" s="77"/>
      <c r="L793" s="43"/>
      <c r="M793" s="14"/>
      <c r="N793" s="14">
        <f>ROUND(_xlfn.T.INV(1-N785/2,C771-2),2)</f>
        <v>1.66</v>
      </c>
      <c r="O793" s="14"/>
      <c r="P793" s="14"/>
      <c r="Q793" s="14"/>
      <c r="R793" s="14"/>
      <c r="S793" s="14"/>
      <c r="T793" s="45"/>
      <c r="U793" s="77"/>
      <c r="V793" s="77"/>
      <c r="W793" s="77"/>
      <c r="X793" s="77"/>
    </row>
    <row r="794" spans="1:24">
      <c r="A794" s="21" t="s">
        <v>71</v>
      </c>
      <c r="B794" s="46"/>
      <c r="C794" s="14"/>
      <c r="D794" s="14"/>
      <c r="E794" s="14"/>
      <c r="F794" s="14"/>
      <c r="G794" s="14"/>
      <c r="H794" s="14"/>
      <c r="I794" s="14"/>
      <c r="J794" s="45"/>
      <c r="K794" s="77"/>
      <c r="L794" s="46"/>
      <c r="M794" s="14"/>
      <c r="N794" s="14"/>
      <c r="O794" s="14"/>
      <c r="P794" s="14"/>
      <c r="Q794" s="14"/>
      <c r="R794" s="14"/>
      <c r="S794" s="14"/>
      <c r="T794" s="45"/>
      <c r="U794" s="77"/>
      <c r="V794" s="77"/>
      <c r="W794" s="77"/>
      <c r="X794" s="77"/>
    </row>
    <row r="795" spans="1:24">
      <c r="A795" s="68"/>
      <c r="B795" s="46" t="s">
        <v>60</v>
      </c>
      <c r="C795" s="14">
        <f>D793*G792*J792</f>
        <v>32.139945882000006</v>
      </c>
      <c r="D795" s="14"/>
      <c r="E795" s="29" t="s">
        <v>67</v>
      </c>
      <c r="F795" s="14">
        <f>K769-C795</f>
        <v>1390.500154118</v>
      </c>
      <c r="G795" s="14"/>
      <c r="H795" s="14"/>
      <c r="I795" s="14"/>
      <c r="J795" s="45"/>
      <c r="K795" s="77"/>
      <c r="L795" s="46" t="s">
        <v>60</v>
      </c>
      <c r="M795" s="14">
        <f>N793*Q792*T792</f>
        <v>26.945611194000001</v>
      </c>
      <c r="N795" s="14"/>
      <c r="O795" s="29" t="s">
        <v>67</v>
      </c>
      <c r="P795" s="14">
        <f>K769-M795</f>
        <v>1395.694488806</v>
      </c>
      <c r="Q795" s="14"/>
      <c r="R795" s="14"/>
      <c r="S795" s="14"/>
      <c r="T795" s="45"/>
      <c r="U795" s="77"/>
      <c r="V795" s="77"/>
      <c r="W795" s="77"/>
      <c r="X795" s="77"/>
    </row>
    <row r="796" spans="1:24" ht="13.5" thickBot="1">
      <c r="A796" s="68"/>
      <c r="B796" s="47"/>
      <c r="C796" s="28"/>
      <c r="D796" s="28"/>
      <c r="E796" s="48" t="s">
        <v>68</v>
      </c>
      <c r="F796" s="28">
        <f>K769+C795</f>
        <v>1454.7800458820002</v>
      </c>
      <c r="G796" s="28"/>
      <c r="H796" s="28"/>
      <c r="I796" s="28"/>
      <c r="J796" s="49"/>
      <c r="K796" s="77"/>
      <c r="L796" s="47"/>
      <c r="M796" s="28"/>
      <c r="N796" s="28"/>
      <c r="O796" s="48" t="s">
        <v>68</v>
      </c>
      <c r="P796" s="28">
        <f>K769+M795</f>
        <v>1449.5857111940002</v>
      </c>
      <c r="Q796" s="28"/>
      <c r="R796" s="28"/>
      <c r="S796" s="28"/>
      <c r="T796" s="49"/>
      <c r="U796" s="77"/>
      <c r="V796" s="77"/>
      <c r="W796" s="77"/>
      <c r="X796" s="77"/>
    </row>
    <row r="797" spans="1:24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</row>
    <row r="798" spans="1:24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</row>
    <row r="799" spans="1:24" ht="13.5" thickBot="1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</row>
    <row r="800" spans="1:24">
      <c r="A800" s="21" t="s">
        <v>78</v>
      </c>
      <c r="B800" s="39"/>
      <c r="C800" s="40" t="s">
        <v>61</v>
      </c>
      <c r="D800" s="41">
        <v>0.95</v>
      </c>
      <c r="E800" s="41"/>
      <c r="F800" s="41"/>
      <c r="G800" s="41"/>
      <c r="H800" s="41"/>
      <c r="I800" s="41"/>
      <c r="J800" s="42"/>
      <c r="K800" s="77"/>
      <c r="L800" s="39"/>
      <c r="M800" s="40" t="s">
        <v>61</v>
      </c>
      <c r="N800" s="41">
        <v>0.9</v>
      </c>
      <c r="O800" s="41"/>
      <c r="P800" s="41"/>
      <c r="Q800" s="41"/>
      <c r="R800" s="41"/>
      <c r="S800" s="41"/>
      <c r="T800" s="42"/>
      <c r="U800" s="77"/>
      <c r="V800" s="77"/>
      <c r="W800" s="77"/>
      <c r="X800" s="77"/>
    </row>
    <row r="801" spans="1:24">
      <c r="A801" s="21" t="s">
        <v>91</v>
      </c>
      <c r="B801" s="43"/>
      <c r="C801" s="44" t="s">
        <v>62</v>
      </c>
      <c r="D801" s="14">
        <f>1-D800</f>
        <v>5.0000000000000044E-2</v>
      </c>
      <c r="E801" s="14"/>
      <c r="F801" s="14"/>
      <c r="G801" s="14">
        <f>ROUND(SQRT(1/C771+((I803-E769)^2/E772)),4)</f>
        <v>0.34449999999999997</v>
      </c>
      <c r="H801" s="14"/>
      <c r="I801" s="29" t="s">
        <v>66</v>
      </c>
      <c r="J801" s="45">
        <f>ROUND(SQRT((I769)/(C771-2)),4)</f>
        <v>8.2002000000000006</v>
      </c>
      <c r="K801" s="77"/>
      <c r="L801" s="43"/>
      <c r="M801" s="44" t="s">
        <v>62</v>
      </c>
      <c r="N801" s="14">
        <f>1-N800</f>
        <v>9.9999999999999978E-2</v>
      </c>
      <c r="O801" s="14"/>
      <c r="P801" s="14"/>
      <c r="Q801" s="14">
        <f>ROUND(SQRT(1/C771+((I803-E769)^2/E772)),4)</f>
        <v>0.34449999999999997</v>
      </c>
      <c r="R801" s="14"/>
      <c r="S801" s="29" t="s">
        <v>66</v>
      </c>
      <c r="T801" s="45">
        <f>ROUND(SQRT((I769)/(C771-2)),4)</f>
        <v>8.2002000000000006</v>
      </c>
      <c r="U801" s="77"/>
      <c r="V801" s="77"/>
      <c r="W801" s="77"/>
      <c r="X801" s="77"/>
    </row>
    <row r="802" spans="1:24">
      <c r="A802" s="21" t="s">
        <v>92</v>
      </c>
      <c r="B802" s="43"/>
      <c r="C802" s="14"/>
      <c r="D802" s="14">
        <f>ROUND(_xlfn.T.INV(1-D801/2,120-2),2)</f>
        <v>1.98</v>
      </c>
      <c r="E802" s="14"/>
      <c r="F802" s="14"/>
      <c r="G802" s="14"/>
      <c r="H802" s="14"/>
      <c r="I802" s="14"/>
      <c r="J802" s="45"/>
      <c r="K802" s="77"/>
      <c r="L802" s="43"/>
      <c r="M802" s="14"/>
      <c r="N802" s="14">
        <f>ROUND(_xlfn.T.INV(1-N801/2,120-2),2)</f>
        <v>1.66</v>
      </c>
      <c r="O802" s="14"/>
      <c r="P802" s="14"/>
      <c r="Q802" s="14"/>
      <c r="R802" s="14"/>
      <c r="S802" s="14"/>
      <c r="T802" s="45"/>
      <c r="U802" s="77"/>
      <c r="V802" s="77"/>
      <c r="W802" s="77"/>
      <c r="X802" s="77"/>
    </row>
    <row r="803" spans="1:24">
      <c r="A803" s="21" t="s">
        <v>93</v>
      </c>
      <c r="B803" s="46"/>
      <c r="C803" s="14"/>
      <c r="D803" s="14"/>
      <c r="E803" s="14"/>
      <c r="F803" s="14"/>
      <c r="G803" s="14"/>
      <c r="H803" s="14" t="s">
        <v>127</v>
      </c>
      <c r="I803" s="14">
        <f>B512</f>
        <v>0.2036</v>
      </c>
      <c r="J803" s="45"/>
      <c r="K803" s="77"/>
      <c r="L803" s="46"/>
      <c r="M803" s="14"/>
      <c r="N803" s="14"/>
      <c r="O803" s="14"/>
      <c r="P803" s="14"/>
      <c r="Q803" s="14"/>
      <c r="R803" s="14" t="s">
        <v>127</v>
      </c>
      <c r="S803" s="14">
        <f>B512</f>
        <v>0.2036</v>
      </c>
      <c r="T803" s="45"/>
      <c r="U803" s="77"/>
      <c r="V803" s="77"/>
      <c r="W803" s="77"/>
      <c r="X803" s="77"/>
    </row>
    <row r="804" spans="1:24">
      <c r="A804" s="21" t="s">
        <v>94</v>
      </c>
      <c r="B804" s="46" t="s">
        <v>60</v>
      </c>
      <c r="C804" s="14">
        <f>ROUND(D802*G801*J801,4)</f>
        <v>5.5933999999999999</v>
      </c>
      <c r="D804" s="14"/>
      <c r="E804" s="29" t="s">
        <v>67</v>
      </c>
      <c r="F804" s="14">
        <f>I804-C804</f>
        <v>270.98390000000001</v>
      </c>
      <c r="G804" s="14"/>
      <c r="H804" s="14" t="str">
        <f>"y("&amp;B512&amp;")="</f>
        <v>y(0,2036)=</v>
      </c>
      <c r="I804" s="14">
        <f>ROUND(K771+K769*I803,4)</f>
        <v>276.57729999999998</v>
      </c>
      <c r="J804" s="45"/>
      <c r="K804" s="77"/>
      <c r="L804" s="46" t="s">
        <v>60</v>
      </c>
      <c r="M804" s="14">
        <f>ROUND(N802*Q801*T801,4)</f>
        <v>4.6894</v>
      </c>
      <c r="N804" s="14"/>
      <c r="O804" s="29" t="s">
        <v>67</v>
      </c>
      <c r="P804" s="14">
        <f>S804-M804</f>
        <v>271.8879</v>
      </c>
      <c r="Q804" s="14"/>
      <c r="R804" s="14" t="str">
        <f>"y("&amp;L512&amp;")="</f>
        <v>y()=</v>
      </c>
      <c r="S804" s="14">
        <f>ROUND(K771+K769*I803,4)</f>
        <v>276.57729999999998</v>
      </c>
      <c r="T804" s="45"/>
      <c r="U804" s="77"/>
      <c r="V804" s="77"/>
      <c r="W804" s="77"/>
      <c r="X804" s="77"/>
    </row>
    <row r="805" spans="1:24">
      <c r="A805" s="68"/>
      <c r="B805" s="43"/>
      <c r="C805" s="14"/>
      <c r="D805" s="14"/>
      <c r="E805" s="29" t="s">
        <v>68</v>
      </c>
      <c r="F805" s="14">
        <f>I804+C804</f>
        <v>282.17069999999995</v>
      </c>
      <c r="G805" s="14"/>
      <c r="H805" s="14"/>
      <c r="I805" s="14"/>
      <c r="J805" s="45"/>
      <c r="K805" s="77"/>
      <c r="L805" s="43"/>
      <c r="M805" s="14"/>
      <c r="N805" s="14"/>
      <c r="O805" s="29" t="s">
        <v>68</v>
      </c>
      <c r="P805" s="14">
        <f>S804+M804</f>
        <v>281.26669999999996</v>
      </c>
      <c r="Q805" s="14"/>
      <c r="R805" s="14"/>
      <c r="S805" s="14"/>
      <c r="T805" s="45"/>
      <c r="U805" s="77"/>
      <c r="V805" s="77"/>
      <c r="W805" s="77"/>
      <c r="X805" s="77"/>
    </row>
    <row r="806" spans="1:24">
      <c r="A806" s="68"/>
      <c r="B806" s="43"/>
      <c r="C806" s="14"/>
      <c r="D806" s="14"/>
      <c r="E806" s="14"/>
      <c r="F806" s="14"/>
      <c r="G806" s="14"/>
      <c r="H806" s="14"/>
      <c r="I806" s="14"/>
      <c r="J806" s="45"/>
      <c r="K806" s="77"/>
      <c r="L806" s="43"/>
      <c r="M806" s="14"/>
      <c r="N806" s="14"/>
      <c r="O806" s="14"/>
      <c r="P806" s="14"/>
      <c r="Q806" s="14"/>
      <c r="R806" s="14"/>
      <c r="S806" s="14"/>
      <c r="T806" s="45"/>
      <c r="U806" s="77"/>
      <c r="V806" s="77"/>
      <c r="W806" s="77"/>
      <c r="X806" s="77"/>
    </row>
    <row r="807" spans="1:24" ht="16.5" thickBot="1">
      <c r="A807" s="68"/>
      <c r="B807" s="47"/>
      <c r="C807" s="28"/>
      <c r="D807" s="28"/>
      <c r="E807" s="28" t="s">
        <v>98</v>
      </c>
      <c r="F807" s="28" t="str">
        <f>"]"&amp;F804&amp;";"&amp;F805&amp;"["</f>
        <v>]270,9839;282,1707[</v>
      </c>
      <c r="G807" s="28"/>
      <c r="H807" s="28"/>
      <c r="I807" s="28"/>
      <c r="J807" s="49"/>
      <c r="K807" s="77"/>
      <c r="L807" s="47"/>
      <c r="M807" s="28"/>
      <c r="N807" s="28"/>
      <c r="O807" s="28" t="s">
        <v>139</v>
      </c>
      <c r="P807" s="28" t="str">
        <f>"]"&amp;P804&amp;";"&amp;P805&amp;"["</f>
        <v>]271,8879;281,2667[</v>
      </c>
      <c r="Q807" s="28"/>
      <c r="R807" s="28"/>
      <c r="S807" s="28"/>
      <c r="T807" s="49"/>
      <c r="U807" s="77"/>
      <c r="V807" s="77"/>
      <c r="W807" s="77"/>
      <c r="X807" s="77"/>
    </row>
    <row r="808" spans="1:24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</row>
    <row r="809" spans="1:24" ht="13.5" thickBot="1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</row>
    <row r="810" spans="1:24">
      <c r="A810" s="21" t="s">
        <v>78</v>
      </c>
      <c r="B810" s="39"/>
      <c r="C810" s="40" t="s">
        <v>61</v>
      </c>
      <c r="D810" s="41">
        <v>0.95</v>
      </c>
      <c r="E810" s="41"/>
      <c r="F810" s="41"/>
      <c r="G810" s="41"/>
      <c r="H810" s="41"/>
      <c r="I810" s="41"/>
      <c r="J810" s="42"/>
      <c r="K810" s="77"/>
      <c r="L810" s="39"/>
      <c r="M810" s="40" t="s">
        <v>61</v>
      </c>
      <c r="N810" s="41">
        <v>0.9</v>
      </c>
      <c r="O810" s="41"/>
      <c r="P810" s="41"/>
      <c r="Q810" s="41"/>
      <c r="R810" s="41"/>
      <c r="S810" s="41"/>
      <c r="T810" s="42"/>
      <c r="U810" s="77"/>
      <c r="V810" s="77"/>
      <c r="W810" s="77"/>
      <c r="X810" s="77"/>
    </row>
    <row r="811" spans="1:24">
      <c r="A811" s="21" t="s">
        <v>99</v>
      </c>
      <c r="B811" s="43"/>
      <c r="C811" s="44" t="s">
        <v>62</v>
      </c>
      <c r="D811" s="14">
        <f>1-D810</f>
        <v>5.0000000000000044E-2</v>
      </c>
      <c r="E811" s="14"/>
      <c r="F811" s="14"/>
      <c r="G811" s="14">
        <f>ROUND(SQRT(1+1/C771+((I803-E769)^2/E772)),4)</f>
        <v>1.0577000000000001</v>
      </c>
      <c r="H811" s="14"/>
      <c r="I811" s="29" t="s">
        <v>66</v>
      </c>
      <c r="J811" s="45">
        <f>ROUND(SQRT((I769)/(C771-2)),4)</f>
        <v>8.2002000000000006</v>
      </c>
      <c r="K811" s="77"/>
      <c r="L811" s="43"/>
      <c r="M811" s="44" t="s">
        <v>62</v>
      </c>
      <c r="N811" s="14">
        <f>1-N810</f>
        <v>9.9999999999999978E-2</v>
      </c>
      <c r="O811" s="14"/>
      <c r="P811" s="14"/>
      <c r="Q811" s="14">
        <f>ROUND(SQRT(1+1/C771+((I803-E769)^2/E772)),4)</f>
        <v>1.0577000000000001</v>
      </c>
      <c r="R811" s="14"/>
      <c r="S811" s="29" t="s">
        <v>66</v>
      </c>
      <c r="T811" s="45">
        <f>ROUND(SQRT((I769)/(C771-2)),4)</f>
        <v>8.2002000000000006</v>
      </c>
      <c r="U811" s="77"/>
      <c r="V811" s="77"/>
      <c r="W811" s="77"/>
      <c r="X811" s="77"/>
    </row>
    <row r="812" spans="1:24">
      <c r="A812" s="21" t="s">
        <v>100</v>
      </c>
      <c r="B812" s="43"/>
      <c r="C812" s="14"/>
      <c r="D812" s="14">
        <f>ROUND(_xlfn.T.INV(1-D811/2,120-2),2)</f>
        <v>1.98</v>
      </c>
      <c r="E812" s="14"/>
      <c r="F812" s="14"/>
      <c r="G812" s="14"/>
      <c r="H812" s="14"/>
      <c r="I812" s="14"/>
      <c r="J812" s="45"/>
      <c r="K812" s="77"/>
      <c r="L812" s="43"/>
      <c r="M812" s="14"/>
      <c r="N812" s="14">
        <f>ROUND(_xlfn.T.INV(1-N811/2,120-2),2)</f>
        <v>1.66</v>
      </c>
      <c r="O812" s="14"/>
      <c r="P812" s="14"/>
      <c r="Q812" s="14"/>
      <c r="R812" s="14"/>
      <c r="S812" s="14"/>
      <c r="T812" s="45"/>
      <c r="U812" s="77"/>
      <c r="V812" s="77"/>
      <c r="W812" s="77"/>
      <c r="X812" s="77"/>
    </row>
    <row r="813" spans="1:24">
      <c r="A813" s="21" t="s">
        <v>101</v>
      </c>
      <c r="B813" s="46"/>
      <c r="C813" s="14"/>
      <c r="D813" s="14"/>
      <c r="E813" s="14"/>
      <c r="F813" s="14"/>
      <c r="G813" s="14"/>
      <c r="H813" s="14" t="s">
        <v>127</v>
      </c>
      <c r="I813" s="14">
        <f>B512</f>
        <v>0.2036</v>
      </c>
      <c r="J813" s="45"/>
      <c r="K813" s="77"/>
      <c r="L813" s="46"/>
      <c r="M813" s="14"/>
      <c r="N813" s="14"/>
      <c r="O813" s="14"/>
      <c r="P813" s="14"/>
      <c r="Q813" s="14"/>
      <c r="R813" s="14" t="s">
        <v>127</v>
      </c>
      <c r="S813" s="14">
        <f>B512</f>
        <v>0.2036</v>
      </c>
      <c r="T813" s="45"/>
      <c r="U813" s="77"/>
      <c r="V813" s="77"/>
      <c r="W813" s="77"/>
      <c r="X813" s="77"/>
    </row>
    <row r="814" spans="1:24">
      <c r="A814" s="21" t="s">
        <v>102</v>
      </c>
      <c r="B814" s="46" t="s">
        <v>60</v>
      </c>
      <c r="C814" s="14">
        <f>ROUND(D812*G811*J811,4)</f>
        <v>17.173200000000001</v>
      </c>
      <c r="D814" s="14"/>
      <c r="E814" s="29" t="s">
        <v>67</v>
      </c>
      <c r="F814" s="14">
        <f>I814-C814</f>
        <v>259.40409999999997</v>
      </c>
      <c r="G814" s="14"/>
      <c r="H814" s="14" t="str">
        <f>"y("&amp;B522&amp;")="</f>
        <v>y(0,1211)=</v>
      </c>
      <c r="I814" s="14">
        <f>ROUND(K771+K769*I803,4)</f>
        <v>276.57729999999998</v>
      </c>
      <c r="J814" s="45"/>
      <c r="K814" s="77"/>
      <c r="L814" s="46" t="s">
        <v>60</v>
      </c>
      <c r="M814" s="14">
        <f>ROUND(N812*Q811*T811,4)</f>
        <v>14.3978</v>
      </c>
      <c r="N814" s="14"/>
      <c r="O814" s="29" t="s">
        <v>67</v>
      </c>
      <c r="P814" s="14">
        <f>S814-M814</f>
        <v>262.17949999999996</v>
      </c>
      <c r="Q814" s="14"/>
      <c r="R814" s="14" t="str">
        <f>"y("&amp;L522&amp;")="</f>
        <v>y()=</v>
      </c>
      <c r="S814" s="14">
        <f>ROUND(K771+K769*I803,4)</f>
        <v>276.57729999999998</v>
      </c>
      <c r="T814" s="45"/>
      <c r="U814" s="77"/>
      <c r="V814" s="77"/>
      <c r="W814" s="77"/>
      <c r="X814" s="77"/>
    </row>
    <row r="815" spans="1:24">
      <c r="A815" s="21" t="s">
        <v>94</v>
      </c>
      <c r="B815" s="43"/>
      <c r="C815" s="14"/>
      <c r="D815" s="14"/>
      <c r="E815" s="29" t="s">
        <v>68</v>
      </c>
      <c r="F815" s="14">
        <f>I814+C814</f>
        <v>293.75049999999999</v>
      </c>
      <c r="G815" s="14"/>
      <c r="H815" s="14"/>
      <c r="I815" s="14"/>
      <c r="J815" s="45"/>
      <c r="K815" s="77"/>
      <c r="L815" s="43"/>
      <c r="M815" s="14"/>
      <c r="N815" s="14"/>
      <c r="O815" s="29" t="s">
        <v>68</v>
      </c>
      <c r="P815" s="14">
        <f>S814+M814</f>
        <v>290.9751</v>
      </c>
      <c r="Q815" s="14"/>
      <c r="R815" s="14"/>
      <c r="S815" s="14"/>
      <c r="T815" s="45"/>
      <c r="U815" s="77"/>
      <c r="V815" s="77"/>
      <c r="W815" s="77"/>
      <c r="X815" s="77"/>
    </row>
    <row r="816" spans="1:24">
      <c r="A816" s="68"/>
      <c r="B816" s="43"/>
      <c r="C816" s="14"/>
      <c r="D816" s="14"/>
      <c r="E816" s="14"/>
      <c r="F816" s="14"/>
      <c r="G816" s="14"/>
      <c r="H816" s="14"/>
      <c r="I816" s="14"/>
      <c r="J816" s="45"/>
      <c r="K816" s="77"/>
      <c r="L816" s="43"/>
      <c r="M816" s="14"/>
      <c r="N816" s="14"/>
      <c r="O816" s="14"/>
      <c r="P816" s="14"/>
      <c r="Q816" s="14"/>
      <c r="R816" s="14"/>
      <c r="S816" s="14"/>
      <c r="T816" s="45"/>
      <c r="U816" s="77"/>
      <c r="V816" s="77"/>
      <c r="W816" s="77"/>
      <c r="X816" s="77"/>
    </row>
    <row r="817" spans="1:24" ht="16.5" thickBot="1">
      <c r="A817" s="68"/>
      <c r="B817" s="47"/>
      <c r="C817" s="28"/>
      <c r="D817" s="28"/>
      <c r="E817" s="28" t="s">
        <v>98</v>
      </c>
      <c r="F817" s="28" t="str">
        <f>"]"&amp;F814&amp;";"&amp;F815&amp;"["</f>
        <v>]259,4041;293,7505[</v>
      </c>
      <c r="G817" s="28"/>
      <c r="H817" s="28"/>
      <c r="I817" s="28"/>
      <c r="J817" s="49"/>
      <c r="K817" s="77"/>
      <c r="L817" s="47"/>
      <c r="M817" s="28"/>
      <c r="N817" s="28"/>
      <c r="O817" s="28" t="s">
        <v>139</v>
      </c>
      <c r="P817" s="28" t="str">
        <f>"]"&amp;P814&amp;";"&amp;P815&amp;"["</f>
        <v>]262,1795;290,9751[</v>
      </c>
      <c r="Q817" s="28"/>
      <c r="R817" s="28"/>
      <c r="S817" s="28"/>
      <c r="T817" s="49"/>
      <c r="U817" s="77"/>
      <c r="V817" s="77"/>
      <c r="W817" s="77"/>
      <c r="X817" s="77"/>
    </row>
    <row r="818" spans="1:24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</row>
    <row r="819" spans="1:24" ht="13.5" thickBot="1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</row>
    <row r="820" spans="1:24">
      <c r="A820" s="68"/>
      <c r="B820" s="39"/>
      <c r="C820" s="41"/>
      <c r="D820" s="41"/>
      <c r="E820" s="41"/>
      <c r="F820" s="41"/>
      <c r="G820" s="41"/>
      <c r="H820" s="41"/>
      <c r="I820" s="41"/>
      <c r="J820" s="41"/>
      <c r="K820" s="41"/>
      <c r="L820" s="42"/>
      <c r="M820" s="77"/>
      <c r="N820" s="39"/>
      <c r="O820" s="41"/>
      <c r="P820" s="41"/>
      <c r="Q820" s="41"/>
      <c r="R820" s="41"/>
      <c r="S820" s="41"/>
      <c r="T820" s="41"/>
      <c r="U820" s="41"/>
      <c r="V820" s="41"/>
      <c r="W820" s="41"/>
      <c r="X820" s="42"/>
    </row>
    <row r="821" spans="1:24">
      <c r="A821" s="21" t="s">
        <v>103</v>
      </c>
      <c r="B821" s="43"/>
      <c r="C821" s="14"/>
      <c r="D821" s="14"/>
      <c r="E821" s="14"/>
      <c r="F821" s="14"/>
      <c r="G821" s="29" t="str">
        <f>A824&amp;"0="</f>
        <v>a0=</v>
      </c>
      <c r="H821" s="14">
        <v>0</v>
      </c>
      <c r="I821" s="14"/>
      <c r="J821" s="14"/>
      <c r="K821" s="14"/>
      <c r="L821" s="45"/>
      <c r="M821" s="77"/>
      <c r="N821" s="43"/>
      <c r="O821" s="14"/>
      <c r="P821" s="14"/>
      <c r="Q821" s="14"/>
      <c r="R821" s="14"/>
      <c r="S821" s="29" t="str">
        <f>M824&amp;"0="</f>
        <v>0=</v>
      </c>
      <c r="T821" s="14">
        <v>0</v>
      </c>
      <c r="U821" s="14"/>
      <c r="V821" s="14"/>
      <c r="W821" s="14"/>
      <c r="X821" s="45"/>
    </row>
    <row r="822" spans="1:24">
      <c r="A822" s="21" t="s">
        <v>83</v>
      </c>
      <c r="B822" s="43"/>
      <c r="C822" s="14"/>
      <c r="D822" s="14"/>
      <c r="E822" s="14"/>
      <c r="F822" s="14"/>
      <c r="G822" s="14"/>
      <c r="H822" s="14"/>
      <c r="I822" s="14"/>
      <c r="J822" s="14"/>
      <c r="K822" s="14"/>
      <c r="L822" s="45"/>
      <c r="M822" s="77"/>
      <c r="N822" s="43"/>
      <c r="O822" s="14"/>
      <c r="P822" s="14"/>
      <c r="Q822" s="14"/>
      <c r="R822" s="14"/>
      <c r="S822" s="14"/>
      <c r="T822" s="14"/>
      <c r="U822" s="14"/>
      <c r="V822" s="14"/>
      <c r="W822" s="14"/>
      <c r="X822" s="45"/>
    </row>
    <row r="823" spans="1:24">
      <c r="A823" s="21" t="s">
        <v>104</v>
      </c>
      <c r="B823" s="43"/>
      <c r="C823" s="14"/>
      <c r="D823" s="14"/>
      <c r="E823" s="14"/>
      <c r="F823" s="14"/>
      <c r="G823" s="14"/>
      <c r="H823" s="14">
        <f>M559</f>
        <v>-13.0722</v>
      </c>
      <c r="I823" s="14"/>
      <c r="J823" s="14"/>
      <c r="K823" s="14"/>
      <c r="L823" s="45"/>
      <c r="M823" s="77"/>
      <c r="N823" s="43"/>
      <c r="O823" s="14"/>
      <c r="P823" s="14"/>
      <c r="Q823" s="14"/>
      <c r="R823" s="14"/>
      <c r="S823" s="14"/>
      <c r="T823" s="14">
        <f>M559</f>
        <v>-13.0722</v>
      </c>
      <c r="U823" s="14"/>
      <c r="V823" s="14"/>
      <c r="W823" s="14"/>
      <c r="X823" s="45"/>
    </row>
    <row r="824" spans="1:24">
      <c r="A824" s="21" t="s">
        <v>70</v>
      </c>
      <c r="B824" s="43"/>
      <c r="C824" s="14"/>
      <c r="D824" s="14"/>
      <c r="E824" s="14"/>
      <c r="F824" s="14"/>
      <c r="G824" s="14"/>
      <c r="H824" s="14"/>
      <c r="I824" s="14"/>
      <c r="J824" s="14"/>
      <c r="K824" s="14"/>
      <c r="L824" s="45"/>
      <c r="M824" s="77"/>
      <c r="N824" s="43"/>
      <c r="O824" s="14"/>
      <c r="P824" s="14"/>
      <c r="Q824" s="14"/>
      <c r="R824" s="14"/>
      <c r="S824" s="14"/>
      <c r="T824" s="14"/>
      <c r="U824" s="14"/>
      <c r="V824" s="14"/>
      <c r="W824" s="14"/>
      <c r="X824" s="45"/>
    </row>
    <row r="825" spans="1:24">
      <c r="A825" s="68"/>
      <c r="B825" s="43"/>
      <c r="C825" s="14"/>
      <c r="D825" s="14">
        <f>SQRT((1/120)/(E769^2/E772))</f>
        <v>1.2881503807841093</v>
      </c>
      <c r="E825" s="14"/>
      <c r="F825" s="14"/>
      <c r="G825" s="29" t="s">
        <v>132</v>
      </c>
      <c r="H825" s="14">
        <f>I772</f>
        <v>8.2002000000000006</v>
      </c>
      <c r="I825" s="14"/>
      <c r="J825" s="14"/>
      <c r="K825" s="14"/>
      <c r="L825" s="45"/>
      <c r="M825" s="77"/>
      <c r="N825" s="43"/>
      <c r="O825" s="14"/>
      <c r="P825" s="14">
        <f>SQRT((1/120)/(E769^2/E772))</f>
        <v>1.2881503807841093</v>
      </c>
      <c r="Q825" s="14"/>
      <c r="R825" s="14"/>
      <c r="S825" s="29" t="s">
        <v>132</v>
      </c>
      <c r="T825" s="14">
        <f>I772</f>
        <v>8.2002000000000006</v>
      </c>
      <c r="U825" s="14"/>
      <c r="V825" s="14"/>
      <c r="W825" s="14"/>
      <c r="X825" s="45"/>
    </row>
    <row r="826" spans="1:24">
      <c r="A826" s="68"/>
      <c r="B826" s="43"/>
      <c r="C826" s="14"/>
      <c r="D826" s="14"/>
      <c r="E826" s="14"/>
      <c r="F826" s="14"/>
      <c r="G826" s="14"/>
      <c r="H826" s="14"/>
      <c r="I826" s="14"/>
      <c r="J826" s="14"/>
      <c r="K826" s="14"/>
      <c r="L826" s="45"/>
      <c r="M826" s="77"/>
      <c r="N826" s="43"/>
      <c r="O826" s="14"/>
      <c r="P826" s="14"/>
      <c r="Q826" s="14"/>
      <c r="R826" s="14"/>
      <c r="S826" s="14"/>
      <c r="T826" s="14"/>
      <c r="U826" s="14"/>
      <c r="V826" s="14"/>
      <c r="W826" s="14"/>
      <c r="X826" s="45"/>
    </row>
    <row r="827" spans="1:24">
      <c r="A827" s="68"/>
      <c r="B827" s="43"/>
      <c r="C827" s="14"/>
      <c r="D827" s="14"/>
      <c r="E827" s="14"/>
      <c r="F827" s="14"/>
      <c r="G827" s="14"/>
      <c r="H827" s="14"/>
      <c r="I827" s="14"/>
      <c r="J827" s="14"/>
      <c r="K827" s="14"/>
      <c r="L827" s="45"/>
      <c r="M827" s="77"/>
      <c r="N827" s="43"/>
      <c r="O827" s="14"/>
      <c r="P827" s="14"/>
      <c r="Q827" s="14"/>
      <c r="R827" s="14"/>
      <c r="S827" s="14"/>
      <c r="T827" s="14"/>
      <c r="U827" s="14"/>
      <c r="V827" s="14"/>
      <c r="W827" s="14"/>
      <c r="X827" s="45"/>
    </row>
    <row r="828" spans="1:24">
      <c r="A828" s="68"/>
      <c r="B828" s="43"/>
      <c r="C828" s="44" t="s">
        <v>105</v>
      </c>
      <c r="D828" s="14">
        <v>0.05</v>
      </c>
      <c r="E828" s="14"/>
      <c r="F828" s="14"/>
      <c r="G828" s="29" t="s">
        <v>108</v>
      </c>
      <c r="H828" s="14" t="str">
        <f>"]-∞;-"&amp;ROUND(D830,4)&amp;"[ U ]"&amp;ROUND(D830,4)&amp;";+∞["</f>
        <v>]-∞;-1,98[ U ]1,98;+∞[</v>
      </c>
      <c r="I828" s="14"/>
      <c r="J828" s="14"/>
      <c r="K828" s="14"/>
      <c r="L828" s="45"/>
      <c r="M828" s="77"/>
      <c r="N828" s="43"/>
      <c r="O828" s="44" t="s">
        <v>105</v>
      </c>
      <c r="P828" s="14">
        <v>0.01</v>
      </c>
      <c r="Q828" s="14"/>
      <c r="R828" s="14"/>
      <c r="S828" s="29" t="s">
        <v>108</v>
      </c>
      <c r="T828" s="14" t="str">
        <f>"]-∞;-"&amp;ROUND(P830,4)&amp;"[ U ]"&amp;ROUND(P830,4)&amp;";+∞["</f>
        <v>]-∞;-2,62[ U ]2,62;+∞[</v>
      </c>
      <c r="U828" s="14"/>
      <c r="V828" s="14"/>
      <c r="W828" s="14"/>
      <c r="X828" s="45"/>
    </row>
    <row r="829" spans="1:24">
      <c r="A829" s="68"/>
      <c r="B829" s="43"/>
      <c r="C829" s="44"/>
      <c r="D829" s="14"/>
      <c r="E829" s="14"/>
      <c r="F829" s="14"/>
      <c r="G829" s="14"/>
      <c r="H829" s="14"/>
      <c r="I829" s="14"/>
      <c r="J829" s="14"/>
      <c r="K829" s="14"/>
      <c r="L829" s="45"/>
      <c r="M829" s="77"/>
      <c r="N829" s="43"/>
      <c r="O829" s="44"/>
      <c r="P829" s="14"/>
      <c r="Q829" s="14"/>
      <c r="R829" s="14"/>
      <c r="S829" s="14"/>
      <c r="T829" s="14"/>
      <c r="U829" s="14"/>
      <c r="V829" s="14"/>
      <c r="W829" s="14"/>
      <c r="X829" s="45"/>
    </row>
    <row r="830" spans="1:24">
      <c r="A830" s="68"/>
      <c r="B830" s="43"/>
      <c r="C830" s="14"/>
      <c r="D830" s="14">
        <f>ROUND(_xlfn.T.INV(1-D828/2,120-(6+1)),2)</f>
        <v>1.98</v>
      </c>
      <c r="E830" s="14"/>
      <c r="F830" s="14"/>
      <c r="G830" s="14"/>
      <c r="H830" s="14"/>
      <c r="I830" s="14"/>
      <c r="J830" s="14"/>
      <c r="K830" s="14"/>
      <c r="L830" s="45"/>
      <c r="M830" s="77"/>
      <c r="N830" s="43"/>
      <c r="O830" s="14"/>
      <c r="P830" s="14">
        <f>ROUND(_xlfn.T.INV(1-P828/2,120-(6+1)),2)</f>
        <v>2.62</v>
      </c>
      <c r="Q830" s="14"/>
      <c r="R830" s="14"/>
      <c r="S830" s="14"/>
      <c r="T830" s="14"/>
      <c r="U830" s="14"/>
      <c r="V830" s="14"/>
      <c r="W830" s="14"/>
      <c r="X830" s="45"/>
    </row>
    <row r="831" spans="1:24">
      <c r="A831" s="68"/>
      <c r="B831" s="43"/>
      <c r="C831" s="29"/>
      <c r="D831" s="14"/>
      <c r="E831" s="14"/>
      <c r="F831" s="14"/>
      <c r="G831" s="14"/>
      <c r="H831" s="14"/>
      <c r="I831" s="14"/>
      <c r="J831" s="14"/>
      <c r="K831" s="14"/>
      <c r="L831" s="45"/>
      <c r="M831" s="77"/>
      <c r="N831" s="43"/>
      <c r="O831" s="29"/>
      <c r="P831" s="14"/>
      <c r="Q831" s="14"/>
      <c r="R831" s="14"/>
      <c r="S831" s="14"/>
      <c r="T831" s="14"/>
      <c r="U831" s="14"/>
      <c r="V831" s="14"/>
      <c r="W831" s="14"/>
      <c r="X831" s="45"/>
    </row>
    <row r="832" spans="1:24">
      <c r="A832" s="68"/>
      <c r="B832" s="43"/>
      <c r="C832" s="14"/>
      <c r="D832" s="14"/>
      <c r="E832" s="14"/>
      <c r="F832" s="14"/>
      <c r="G832" s="14"/>
      <c r="H832" s="14"/>
      <c r="I832" s="14"/>
      <c r="J832" s="14"/>
      <c r="K832" s="14"/>
      <c r="L832" s="45"/>
      <c r="M832" s="77"/>
      <c r="N832" s="43"/>
      <c r="O832" s="14"/>
      <c r="P832" s="14"/>
      <c r="Q832" s="14"/>
      <c r="R832" s="14"/>
      <c r="S832" s="14"/>
      <c r="T832" s="14"/>
      <c r="U832" s="14"/>
      <c r="V832" s="14"/>
      <c r="W832" s="14"/>
      <c r="X832" s="45"/>
    </row>
    <row r="833" spans="1:24">
      <c r="A833" s="68"/>
      <c r="B833" s="43"/>
      <c r="C833" s="14"/>
      <c r="D833" s="14"/>
      <c r="E833" s="14"/>
      <c r="F833" s="14"/>
      <c r="G833" s="14"/>
      <c r="H833" s="14"/>
      <c r="I833" s="14"/>
      <c r="J833" s="14"/>
      <c r="K833" s="14"/>
      <c r="L833" s="45"/>
      <c r="M833" s="77"/>
      <c r="N833" s="43"/>
      <c r="O833" s="14"/>
      <c r="P833" s="14"/>
      <c r="Q833" s="14"/>
      <c r="R833" s="14"/>
      <c r="S833" s="14"/>
      <c r="T833" s="14"/>
      <c r="U833" s="14"/>
      <c r="V833" s="14"/>
      <c r="W833" s="14"/>
      <c r="X833" s="45"/>
    </row>
    <row r="834" spans="1:24">
      <c r="A834" s="68"/>
      <c r="B834" s="43"/>
      <c r="C834" s="29" t="s">
        <v>106</v>
      </c>
      <c r="D834" s="14">
        <f>ROUND((H823-H821)/(H825*D825),4)</f>
        <v>-1.2375</v>
      </c>
      <c r="E834" s="14"/>
      <c r="F834" s="14"/>
      <c r="G834" s="14"/>
      <c r="H834" s="14"/>
      <c r="I834" s="14"/>
      <c r="J834" s="14"/>
      <c r="K834" s="14"/>
      <c r="L834" s="45"/>
      <c r="M834" s="77"/>
      <c r="N834" s="43"/>
      <c r="O834" s="29" t="s">
        <v>106</v>
      </c>
      <c r="P834" s="14">
        <f>ROUND((T823-T821)/(T825*P825),4)</f>
        <v>-1.2375</v>
      </c>
      <c r="Q834" s="14"/>
      <c r="R834" s="14"/>
      <c r="S834" s="14"/>
      <c r="T834" s="14"/>
      <c r="U834" s="14"/>
      <c r="V834" s="14"/>
      <c r="W834" s="14"/>
      <c r="X834" s="45"/>
    </row>
    <row r="835" spans="1:24">
      <c r="A835" s="68"/>
      <c r="B835" s="43"/>
      <c r="C835" s="29" t="s">
        <v>107</v>
      </c>
      <c r="D835" s="14">
        <f>ABS(D834)</f>
        <v>1.2375</v>
      </c>
      <c r="E835" s="14"/>
      <c r="F835" s="14"/>
      <c r="G835" s="14"/>
      <c r="H835" s="14"/>
      <c r="I835" s="14"/>
      <c r="J835" s="14"/>
      <c r="K835" s="14"/>
      <c r="L835" s="45"/>
      <c r="M835" s="77"/>
      <c r="N835" s="43"/>
      <c r="O835" s="29" t="s">
        <v>107</v>
      </c>
      <c r="P835" s="14">
        <f>ABS(P834)</f>
        <v>1.2375</v>
      </c>
      <c r="Q835" s="14"/>
      <c r="R835" s="14"/>
      <c r="S835" s="14"/>
      <c r="T835" s="14"/>
      <c r="U835" s="14"/>
      <c r="V835" s="14"/>
      <c r="W835" s="14"/>
      <c r="X835" s="45"/>
    </row>
    <row r="836" spans="1:24" ht="13.5" thickBot="1">
      <c r="A836" s="68"/>
      <c r="B836" s="47" t="str">
        <f>IF(ABS(D834)&gt;ROUND(D830,4), "Como |"&amp;ROUND(D834,2)&amp;"| &gt; "&amp;ROUND(D830,4)&amp;" então rejeita-se H0, logo a um nível de significância de "&amp;D828*100&amp;"% há evidencia estatística suficiente para se concluir que a é não nulo","Como |"&amp;ROUND(D834,2)&amp;"|  ≤ "&amp;ROUND(D830,4)&amp;" então não se rejeita H0, logo a um nível de significância de "&amp;D828*100&amp;"% há evidencia estatística suficiente para se concluir que a é nulo")</f>
        <v>Como |-1,24|  ≤ 1,98 então não se rejeita H0, logo a um nível de significância de 5% há evidencia estatística suficiente para se concluir que a é nulo</v>
      </c>
      <c r="C836" s="28"/>
      <c r="D836" s="28"/>
      <c r="E836" s="28"/>
      <c r="F836" s="28"/>
      <c r="G836" s="28"/>
      <c r="H836" s="28"/>
      <c r="I836" s="28"/>
      <c r="J836" s="28"/>
      <c r="K836" s="49"/>
      <c r="L836" s="49"/>
      <c r="M836" s="77"/>
      <c r="N836" s="47" t="str">
        <f>IF(ABS(P834)&gt;ROUND(P830,4), "Como |"&amp;ROUND(P834,2)&amp;"| &gt; "&amp;ROUND(P830,4)&amp;" então rejeita-se H0, logo a um nível de significância de "&amp;P828*100&amp;"% há evidencia estatística suficiente para se concluir que beta2 é não nulo","Como |"&amp;ROUND(P834,2)&amp;"|  ≤ "&amp;ROUND(P830,4)&amp;" então não se rejeita H0, logo a um nível de significância de "&amp;P828*100&amp;"% há evidencia estatística suficiente para se concluir que a é nulo")</f>
        <v>Como |-1,24|  ≤ 2,62 então não se rejeita H0, logo a um nível de significância de 1% há evidencia estatística suficiente para se concluir que a é nulo</v>
      </c>
      <c r="O836" s="28"/>
      <c r="P836" s="28"/>
      <c r="Q836" s="28"/>
      <c r="R836" s="28"/>
      <c r="S836" s="28"/>
      <c r="T836" s="28"/>
      <c r="U836" s="28"/>
      <c r="V836" s="28"/>
      <c r="W836" s="49"/>
      <c r="X836" s="49"/>
    </row>
    <row r="837" spans="1:24" ht="13.5" thickBot="1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</row>
    <row r="838" spans="1:24">
      <c r="A838" s="68"/>
      <c r="B838" s="39"/>
      <c r="C838" s="41"/>
      <c r="D838" s="41"/>
      <c r="E838" s="41"/>
      <c r="F838" s="41"/>
      <c r="G838" s="41"/>
      <c r="H838" s="41"/>
      <c r="I838" s="41"/>
      <c r="J838" s="41"/>
      <c r="K838" s="41"/>
      <c r="L838" s="42"/>
      <c r="M838" s="77"/>
      <c r="N838" s="39"/>
      <c r="O838" s="41"/>
      <c r="P838" s="41"/>
      <c r="Q838" s="41"/>
      <c r="R838" s="41"/>
      <c r="S838" s="41"/>
      <c r="T838" s="41"/>
      <c r="U838" s="41"/>
      <c r="V838" s="41"/>
      <c r="W838" s="41"/>
      <c r="X838" s="42"/>
    </row>
    <row r="839" spans="1:24">
      <c r="A839" s="21" t="s">
        <v>103</v>
      </c>
      <c r="B839" s="43"/>
      <c r="C839" s="14"/>
      <c r="D839" s="14"/>
      <c r="E839" s="14"/>
      <c r="F839" s="14"/>
      <c r="G839" s="29" t="str">
        <f>A842&amp;"0="</f>
        <v>b0=</v>
      </c>
      <c r="H839" s="14">
        <v>0</v>
      </c>
      <c r="I839" s="14"/>
      <c r="J839" s="14"/>
      <c r="K839" s="14"/>
      <c r="L839" s="45"/>
      <c r="M839" s="77"/>
      <c r="N839" s="43"/>
      <c r="O839" s="14"/>
      <c r="P839" s="14"/>
      <c r="Q839" s="14"/>
      <c r="R839" s="14"/>
      <c r="S839" s="29" t="str">
        <f>M842&amp;"0="</f>
        <v>0=</v>
      </c>
      <c r="T839" s="14">
        <v>0</v>
      </c>
      <c r="U839" s="14"/>
      <c r="V839" s="14"/>
      <c r="W839" s="14"/>
      <c r="X839" s="45"/>
    </row>
    <row r="840" spans="1:24">
      <c r="A840" s="21" t="s">
        <v>83</v>
      </c>
      <c r="B840" s="43"/>
      <c r="C840" s="14"/>
      <c r="D840" s="14"/>
      <c r="E840" s="14"/>
      <c r="F840" s="14"/>
      <c r="G840" s="14"/>
      <c r="H840" s="14"/>
      <c r="I840" s="14"/>
      <c r="J840" s="14"/>
      <c r="K840" s="14"/>
      <c r="L840" s="45"/>
      <c r="M840" s="77"/>
      <c r="N840" s="43"/>
      <c r="O840" s="14"/>
      <c r="P840" s="14"/>
      <c r="Q840" s="14"/>
      <c r="R840" s="14"/>
      <c r="S840" s="14"/>
      <c r="T840" s="14"/>
      <c r="U840" s="14"/>
      <c r="V840" s="14"/>
      <c r="W840" s="14"/>
      <c r="X840" s="45"/>
    </row>
    <row r="841" spans="1:24">
      <c r="A841" s="21" t="s">
        <v>104</v>
      </c>
      <c r="B841" s="43"/>
      <c r="C841" s="14"/>
      <c r="D841" s="14"/>
      <c r="E841" s="14"/>
      <c r="F841" s="14"/>
      <c r="G841" s="14"/>
      <c r="H841" s="14">
        <f>M556</f>
        <v>1422.6401000000001</v>
      </c>
      <c r="I841" s="14"/>
      <c r="J841" s="14"/>
      <c r="K841" s="14"/>
      <c r="L841" s="45"/>
      <c r="M841" s="77"/>
      <c r="N841" s="43"/>
      <c r="O841" s="14"/>
      <c r="P841" s="14"/>
      <c r="Q841" s="14"/>
      <c r="R841" s="14"/>
      <c r="S841" s="14"/>
      <c r="T841" s="14">
        <f>M556</f>
        <v>1422.6401000000001</v>
      </c>
      <c r="U841" s="14"/>
      <c r="V841" s="14"/>
      <c r="W841" s="14"/>
      <c r="X841" s="45"/>
    </row>
    <row r="842" spans="1:24">
      <c r="A842" s="21" t="s">
        <v>71</v>
      </c>
      <c r="B842" s="43"/>
      <c r="C842" s="14"/>
      <c r="D842" s="14"/>
      <c r="E842" s="14"/>
      <c r="F842" s="14"/>
      <c r="G842" s="14"/>
      <c r="H842" s="14"/>
      <c r="I842" s="14"/>
      <c r="J842" s="14"/>
      <c r="K842" s="14"/>
      <c r="L842" s="45"/>
      <c r="M842" s="77"/>
      <c r="N842" s="43"/>
      <c r="O842" s="14"/>
      <c r="P842" s="14"/>
      <c r="Q842" s="14"/>
      <c r="R842" s="14"/>
      <c r="S842" s="14"/>
      <c r="T842" s="14"/>
      <c r="U842" s="14"/>
      <c r="V842" s="14"/>
      <c r="W842" s="14"/>
      <c r="X842" s="45"/>
    </row>
    <row r="843" spans="1:24">
      <c r="A843" s="68"/>
      <c r="B843" s="43"/>
      <c r="C843" s="14"/>
      <c r="D843" s="14">
        <f>SQRT(1/E772)</f>
        <v>1.9795194991339646</v>
      </c>
      <c r="E843" s="14"/>
      <c r="F843" s="14"/>
      <c r="G843" s="29" t="s">
        <v>132</v>
      </c>
      <c r="H843" s="14">
        <f>I772</f>
        <v>8.2002000000000006</v>
      </c>
      <c r="I843" s="14"/>
      <c r="J843" s="14"/>
      <c r="K843" s="14"/>
      <c r="L843" s="45"/>
      <c r="M843" s="77"/>
      <c r="N843" s="43"/>
      <c r="O843" s="14"/>
      <c r="P843" s="14">
        <f>SQRT(1/E772)</f>
        <v>1.9795194991339646</v>
      </c>
      <c r="Q843" s="14"/>
      <c r="R843" s="14"/>
      <c r="S843" s="29" t="s">
        <v>132</v>
      </c>
      <c r="T843" s="14">
        <f>I772</f>
        <v>8.2002000000000006</v>
      </c>
      <c r="U843" s="14"/>
      <c r="V843" s="14"/>
      <c r="W843" s="14"/>
      <c r="X843" s="45"/>
    </row>
    <row r="844" spans="1:24">
      <c r="A844" s="68"/>
      <c r="B844" s="43"/>
      <c r="C844" s="14"/>
      <c r="D844" s="14"/>
      <c r="E844" s="14"/>
      <c r="F844" s="14"/>
      <c r="G844" s="14"/>
      <c r="H844" s="14"/>
      <c r="I844" s="14"/>
      <c r="J844" s="14"/>
      <c r="K844" s="14"/>
      <c r="L844" s="45"/>
      <c r="M844" s="77"/>
      <c r="N844" s="43"/>
      <c r="O844" s="14"/>
      <c r="P844" s="14"/>
      <c r="Q844" s="14"/>
      <c r="R844" s="14"/>
      <c r="S844" s="14"/>
      <c r="T844" s="14"/>
      <c r="U844" s="14"/>
      <c r="V844" s="14"/>
      <c r="W844" s="14"/>
      <c r="X844" s="45"/>
    </row>
    <row r="845" spans="1:24">
      <c r="A845" s="68"/>
      <c r="B845" s="43"/>
      <c r="C845" s="14"/>
      <c r="D845" s="14"/>
      <c r="E845" s="14"/>
      <c r="F845" s="14"/>
      <c r="G845" s="14"/>
      <c r="H845" s="14"/>
      <c r="I845" s="14"/>
      <c r="J845" s="14"/>
      <c r="K845" s="14"/>
      <c r="L845" s="45"/>
      <c r="M845" s="77"/>
      <c r="N845" s="43"/>
      <c r="O845" s="14"/>
      <c r="P845" s="14"/>
      <c r="Q845" s="14"/>
      <c r="R845" s="14"/>
      <c r="S845" s="14"/>
      <c r="T845" s="14"/>
      <c r="U845" s="14"/>
      <c r="V845" s="14"/>
      <c r="W845" s="14"/>
      <c r="X845" s="45"/>
    </row>
    <row r="846" spans="1:24">
      <c r="A846" s="68"/>
      <c r="B846" s="43"/>
      <c r="C846" s="44" t="s">
        <v>105</v>
      </c>
      <c r="D846" s="14">
        <v>0.05</v>
      </c>
      <c r="E846" s="14"/>
      <c r="F846" s="14"/>
      <c r="G846" s="29" t="s">
        <v>108</v>
      </c>
      <c r="H846" s="14" t="str">
        <f>"]-∞;-"&amp;ROUND(D848,4)&amp;"[ U ]"&amp;ROUND(D848,4)&amp;";+∞["</f>
        <v>]-∞;-1,98[ U ]1,98;+∞[</v>
      </c>
      <c r="I846" s="14"/>
      <c r="J846" s="14"/>
      <c r="K846" s="14"/>
      <c r="L846" s="45"/>
      <c r="M846" s="77"/>
      <c r="N846" s="43"/>
      <c r="O846" s="44" t="s">
        <v>105</v>
      </c>
      <c r="P846" s="14">
        <v>0.01</v>
      </c>
      <c r="Q846" s="14"/>
      <c r="R846" s="14"/>
      <c r="S846" s="29" t="s">
        <v>108</v>
      </c>
      <c r="T846" s="14" t="str">
        <f>"]-∞;-"&amp;ROUND(P848,4)&amp;"[ U ]"&amp;ROUND(P848,4)&amp;";+∞["</f>
        <v>]-∞;-2,62[ U ]2,62;+∞[</v>
      </c>
      <c r="U846" s="14"/>
      <c r="V846" s="14"/>
      <c r="W846" s="14"/>
      <c r="X846" s="45"/>
    </row>
    <row r="847" spans="1:24">
      <c r="A847" s="68"/>
      <c r="B847" s="43"/>
      <c r="C847" s="44"/>
      <c r="D847" s="14"/>
      <c r="E847" s="14"/>
      <c r="F847" s="14"/>
      <c r="G847" s="14"/>
      <c r="H847" s="14"/>
      <c r="I847" s="14"/>
      <c r="J847" s="14"/>
      <c r="K847" s="14"/>
      <c r="L847" s="45"/>
      <c r="M847" s="77"/>
      <c r="N847" s="43"/>
      <c r="O847" s="44"/>
      <c r="P847" s="14"/>
      <c r="Q847" s="14"/>
      <c r="R847" s="14"/>
      <c r="S847" s="14"/>
      <c r="T847" s="14"/>
      <c r="U847" s="14"/>
      <c r="V847" s="14"/>
      <c r="W847" s="14"/>
      <c r="X847" s="45"/>
    </row>
    <row r="848" spans="1:24">
      <c r="A848" s="68"/>
      <c r="B848" s="43"/>
      <c r="C848" s="14"/>
      <c r="D848" s="14">
        <f>ROUND(_xlfn.T.INV(1-D846/2,120-(6+1)),2)</f>
        <v>1.98</v>
      </c>
      <c r="E848" s="14"/>
      <c r="F848" s="14"/>
      <c r="G848" s="14"/>
      <c r="H848" s="14"/>
      <c r="I848" s="14"/>
      <c r="J848" s="14"/>
      <c r="K848" s="14"/>
      <c r="L848" s="45"/>
      <c r="M848" s="77"/>
      <c r="N848" s="43"/>
      <c r="O848" s="14"/>
      <c r="P848" s="14">
        <f>ROUND(_xlfn.T.INV(1-P846/2,120-(6+1)),2)</f>
        <v>2.62</v>
      </c>
      <c r="Q848" s="14"/>
      <c r="R848" s="14"/>
      <c r="S848" s="14"/>
      <c r="T848" s="14"/>
      <c r="U848" s="14"/>
      <c r="V848" s="14"/>
      <c r="W848" s="14"/>
      <c r="X848" s="45"/>
    </row>
    <row r="849" spans="1:24">
      <c r="A849" s="68"/>
      <c r="B849" s="43"/>
      <c r="C849" s="29"/>
      <c r="D849" s="14"/>
      <c r="E849" s="14"/>
      <c r="F849" s="14"/>
      <c r="G849" s="14"/>
      <c r="H849" s="14"/>
      <c r="I849" s="14"/>
      <c r="J849" s="14"/>
      <c r="K849" s="14"/>
      <c r="L849" s="45"/>
      <c r="M849" s="77"/>
      <c r="N849" s="43"/>
      <c r="O849" s="29"/>
      <c r="P849" s="14"/>
      <c r="Q849" s="14"/>
      <c r="R849" s="14"/>
      <c r="S849" s="14"/>
      <c r="T849" s="14"/>
      <c r="U849" s="14"/>
      <c r="V849" s="14"/>
      <c r="W849" s="14"/>
      <c r="X849" s="45"/>
    </row>
    <row r="850" spans="1:24">
      <c r="A850" s="68"/>
      <c r="B850" s="43"/>
      <c r="C850" s="14"/>
      <c r="D850" s="14"/>
      <c r="E850" s="14"/>
      <c r="F850" s="14"/>
      <c r="G850" s="14"/>
      <c r="H850" s="14"/>
      <c r="I850" s="14"/>
      <c r="J850" s="14"/>
      <c r="K850" s="14"/>
      <c r="L850" s="45"/>
      <c r="M850" s="77"/>
      <c r="N850" s="43"/>
      <c r="O850" s="14"/>
      <c r="P850" s="14"/>
      <c r="Q850" s="14"/>
      <c r="R850" s="14"/>
      <c r="S850" s="14"/>
      <c r="T850" s="14"/>
      <c r="U850" s="14"/>
      <c r="V850" s="14"/>
      <c r="W850" s="14"/>
      <c r="X850" s="45"/>
    </row>
    <row r="851" spans="1:24">
      <c r="A851" s="68"/>
      <c r="B851" s="43"/>
      <c r="C851" s="14"/>
      <c r="D851" s="14"/>
      <c r="E851" s="14"/>
      <c r="F851" s="14"/>
      <c r="G851" s="14"/>
      <c r="H851" s="14"/>
      <c r="I851" s="14"/>
      <c r="J851" s="14"/>
      <c r="K851" s="14"/>
      <c r="L851" s="45"/>
      <c r="M851" s="77"/>
      <c r="N851" s="43"/>
      <c r="O851" s="14"/>
      <c r="P851" s="14"/>
      <c r="Q851" s="14"/>
      <c r="R851" s="14"/>
      <c r="S851" s="14"/>
      <c r="T851" s="14"/>
      <c r="U851" s="14"/>
      <c r="V851" s="14"/>
      <c r="W851" s="14"/>
      <c r="X851" s="45"/>
    </row>
    <row r="852" spans="1:24">
      <c r="A852" s="68"/>
      <c r="B852" s="43"/>
      <c r="C852" s="29" t="s">
        <v>106</v>
      </c>
      <c r="D852" s="14">
        <f>ROUND((H841-H839)/(H843*D843),4)</f>
        <v>87.6417</v>
      </c>
      <c r="E852" s="14"/>
      <c r="F852" s="14"/>
      <c r="G852" s="14"/>
      <c r="H852" s="14"/>
      <c r="I852" s="14"/>
      <c r="J852" s="14"/>
      <c r="K852" s="14"/>
      <c r="L852" s="45"/>
      <c r="M852" s="77"/>
      <c r="N852" s="43"/>
      <c r="O852" s="29" t="s">
        <v>106</v>
      </c>
      <c r="P852" s="14">
        <f>ROUND((T841-T839)/(T843*P843),4)</f>
        <v>87.6417</v>
      </c>
      <c r="Q852" s="14"/>
      <c r="R852" s="14"/>
      <c r="S852" s="14"/>
      <c r="T852" s="14"/>
      <c r="U852" s="14"/>
      <c r="V852" s="14"/>
      <c r="W852" s="14"/>
      <c r="X852" s="45"/>
    </row>
    <row r="853" spans="1:24">
      <c r="A853" s="68"/>
      <c r="B853" s="43"/>
      <c r="C853" s="29" t="s">
        <v>107</v>
      </c>
      <c r="D853" s="14">
        <f>ABS(D852)</f>
        <v>87.6417</v>
      </c>
      <c r="E853" s="14"/>
      <c r="F853" s="14"/>
      <c r="G853" s="14"/>
      <c r="H853" s="14"/>
      <c r="I853" s="14"/>
      <c r="J853" s="14"/>
      <c r="K853" s="14"/>
      <c r="L853" s="45"/>
      <c r="M853" s="77"/>
      <c r="N853" s="43"/>
      <c r="O853" s="29" t="s">
        <v>107</v>
      </c>
      <c r="P853" s="14">
        <f>ABS(P852)</f>
        <v>87.6417</v>
      </c>
      <c r="Q853" s="14"/>
      <c r="R853" s="14"/>
      <c r="S853" s="14"/>
      <c r="T853" s="14"/>
      <c r="U853" s="14"/>
      <c r="V853" s="14"/>
      <c r="W853" s="14"/>
      <c r="X853" s="45"/>
    </row>
    <row r="854" spans="1:24" ht="13.5" thickBot="1">
      <c r="A854" s="68"/>
      <c r="B854" s="47" t="str">
        <f>IF(ABS(D852)&gt;ROUND(D848,4), "Como |"&amp;ROUND(D852,2)&amp;"| &gt; "&amp;ROUND(D848,4)&amp;" então rejeita-se H0, logo a um nível de significância de "&amp;D846*100&amp;"% há evidencia estatística suficiente para se concluir que b é não nulo","Como |"&amp;ROUND(D852,2)&amp;"|  ≤ "&amp;ROUND(D848,4)&amp;" então não se rejeita H0, logo a um nível de significância de "&amp;D846*100&amp;"% há evidencia estatística suficiente para se concluir que beta2 é nulo")</f>
        <v>Como |87,64| &gt; 1,98 então rejeita-se H0, logo a um nível de significância de 5% há evidencia estatística suficiente para se concluir que b é não nulo</v>
      </c>
      <c r="C854" s="28"/>
      <c r="D854" s="28"/>
      <c r="E854" s="28"/>
      <c r="F854" s="28"/>
      <c r="G854" s="28"/>
      <c r="H854" s="28"/>
      <c r="I854" s="28"/>
      <c r="J854" s="28"/>
      <c r="K854" s="49"/>
      <c r="L854" s="49"/>
      <c r="M854" s="77"/>
      <c r="N854" s="47" t="str">
        <f>IF(ABS(P852)&gt;ROUND(P848,4), "Como |"&amp;ROUND(P852,2)&amp;"| &gt; "&amp;ROUND(P848,4)&amp;" então rejeita-se H0, logo a um nível de significância de "&amp;P846*100&amp;"% há evidencia estatística suficiente para se concluir que b é não nulo","Como |"&amp;ROUND(P852,2)&amp;"|  ≤ "&amp;ROUND(P848,4)&amp;" então não se rejeita H0, logo a um nível de significância de "&amp;P846*100&amp;"% há evidencia estatística suficiente para se concluir que beta2 é nulo")</f>
        <v>Como |87,64| &gt; 2,62 então rejeita-se H0, logo a um nível de significância de 1% há evidencia estatística suficiente para se concluir que b é não nulo</v>
      </c>
      <c r="O854" s="28"/>
      <c r="P854" s="28"/>
      <c r="Q854" s="28"/>
      <c r="R854" s="28"/>
      <c r="S854" s="28"/>
      <c r="T854" s="28"/>
      <c r="U854" s="28"/>
      <c r="V854" s="28"/>
      <c r="W854" s="49"/>
      <c r="X854" s="49"/>
    </row>
    <row r="855" spans="1:24" ht="13.5" thickBot="1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</row>
    <row r="856" spans="1:24">
      <c r="A856" s="68" t="s">
        <v>128</v>
      </c>
      <c r="B856" s="39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2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</row>
    <row r="857" spans="1:24">
      <c r="A857" s="68" t="s">
        <v>129</v>
      </c>
      <c r="B857" s="46" t="s">
        <v>80</v>
      </c>
      <c r="C857" s="14">
        <v>0.05</v>
      </c>
      <c r="D857" s="14"/>
      <c r="E857" s="14"/>
      <c r="F857" s="14"/>
      <c r="G857" s="14"/>
      <c r="H857" s="14"/>
      <c r="I857" s="14"/>
      <c r="J857" s="14"/>
      <c r="K857" s="14"/>
      <c r="L857" s="14"/>
      <c r="M857" s="45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</row>
    <row r="858" spans="1:24">
      <c r="A858" s="68" t="s">
        <v>130</v>
      </c>
      <c r="B858" s="43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45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</row>
    <row r="859" spans="1:24">
      <c r="A859" s="68" t="s">
        <v>129</v>
      </c>
      <c r="B859" s="43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45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</row>
    <row r="860" spans="1:24">
      <c r="A860" s="68" t="s">
        <v>131</v>
      </c>
      <c r="B860" s="43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45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</row>
    <row r="861" spans="1:24">
      <c r="A861" s="68"/>
      <c r="B861" s="46" t="s">
        <v>133</v>
      </c>
      <c r="C861" s="14">
        <f>F775</f>
        <v>7681.0990752248717</v>
      </c>
      <c r="D861" s="14"/>
      <c r="E861" s="14"/>
      <c r="F861" s="14"/>
      <c r="G861" s="14"/>
      <c r="H861" s="14"/>
      <c r="I861" s="14"/>
      <c r="J861" s="14"/>
      <c r="K861" s="14"/>
      <c r="L861" s="14"/>
      <c r="M861" s="45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</row>
    <row r="862" spans="1:24">
      <c r="A862" s="68"/>
      <c r="B862" s="43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45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</row>
    <row r="863" spans="1:24">
      <c r="A863" s="68"/>
      <c r="B863" s="43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45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</row>
    <row r="864" spans="1:24">
      <c r="A864" s="68"/>
      <c r="B864" s="43" t="str">
        <f>"f(0,05);("&amp;C775&amp;","&amp;C776&amp;")="</f>
        <v>f(0,05);(1,118)=</v>
      </c>
      <c r="C864" s="14">
        <f>ROUND(_xlfn.F.INV.RT(C857,C775,C776),4)</f>
        <v>3.9215</v>
      </c>
      <c r="D864" s="14"/>
      <c r="E864" s="14"/>
      <c r="F864" s="14"/>
      <c r="G864" s="14"/>
      <c r="H864" s="14"/>
      <c r="I864" s="14"/>
      <c r="J864" s="14"/>
      <c r="K864" s="14"/>
      <c r="L864" s="14"/>
      <c r="M864" s="45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</row>
    <row r="865" spans="1:24">
      <c r="A865" s="68"/>
      <c r="B865" s="43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45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</row>
    <row r="866" spans="1:24">
      <c r="A866" s="68"/>
      <c r="B866" s="43" t="str">
        <f>IF(C864&lt;=C861, "R: Como  " &amp;ROUND(C864,4) &amp;" &lt; "&amp;ROUND(C861,4)&amp;" o modelo é significativo","R: Como  " &amp;ROUND(C864,4) &amp;" &gt; "&amp;ROUND(C861,4)&amp;" o modelo não é significativo" )</f>
        <v>R: Como  3,9215 &lt; 7681,0991 o modelo é significativo</v>
      </c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45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</row>
    <row r="867" spans="1:24">
      <c r="A867" s="68"/>
      <c r="B867" s="43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45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</row>
    <row r="868" spans="1:24">
      <c r="A868" s="68"/>
      <c r="B868" s="43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45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</row>
    <row r="869" spans="1:24">
      <c r="A869" s="68"/>
      <c r="B869" s="43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45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</row>
    <row r="870" spans="1:24">
      <c r="A870" s="68"/>
      <c r="B870" s="43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45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</row>
    <row r="871" spans="1:24" ht="13.5" thickBot="1">
      <c r="A871" s="68"/>
      <c r="B871" s="47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49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</row>
  </sheetData>
  <mergeCells count="28">
    <mergeCell ref="B767:O767"/>
    <mergeCell ref="F769:G769"/>
    <mergeCell ref="F770:G770"/>
    <mergeCell ref="F771:G771"/>
    <mergeCell ref="K384:L384"/>
    <mergeCell ref="K512:L512"/>
    <mergeCell ref="M512:N512"/>
    <mergeCell ref="K515:L515"/>
    <mergeCell ref="K638:L638"/>
    <mergeCell ref="K639:L639"/>
    <mergeCell ref="M639:N639"/>
    <mergeCell ref="K642:L642"/>
    <mergeCell ref="K3:L3"/>
    <mergeCell ref="K4:L4"/>
    <mergeCell ref="M4:N4"/>
    <mergeCell ref="K7:L7"/>
    <mergeCell ref="K130:L130"/>
    <mergeCell ref="K131:L131"/>
    <mergeCell ref="M131:N131"/>
    <mergeCell ref="K134:L134"/>
    <mergeCell ref="K257:L257"/>
    <mergeCell ref="K258:L258"/>
    <mergeCell ref="M258:N258"/>
    <mergeCell ref="K261:L261"/>
    <mergeCell ref="K385:L385"/>
    <mergeCell ref="M385:N385"/>
    <mergeCell ref="K388:L388"/>
    <mergeCell ref="K511:L5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340E-749B-43D2-A577-F903E8FB8832}">
  <dimension ref="A1:AI295"/>
  <sheetViews>
    <sheetView topLeftCell="E204" zoomScaleNormal="100" workbookViewId="0">
      <selection activeCell="P221" sqref="P221"/>
    </sheetView>
  </sheetViews>
  <sheetFormatPr defaultRowHeight="12.75"/>
  <cols>
    <col min="2" max="2" width="19.140625" customWidth="1"/>
    <col min="3" max="3" width="13.28515625" customWidth="1"/>
    <col min="4" max="4" width="10.85546875" customWidth="1"/>
    <col min="5" max="6" width="11" bestFit="1" customWidth="1"/>
    <col min="7" max="7" width="11.5703125" bestFit="1" customWidth="1"/>
    <col min="8" max="8" width="11.42578125" bestFit="1" customWidth="1"/>
    <col min="9" max="9" width="11" bestFit="1" customWidth="1"/>
    <col min="12" max="12" width="13.140625" bestFit="1" customWidth="1"/>
    <col min="14" max="14" width="12.5703125" bestFit="1" customWidth="1"/>
    <col min="22" max="22" width="12.5703125" bestFit="1" customWidth="1"/>
  </cols>
  <sheetData>
    <row r="1" spans="1:35">
      <c r="A1" s="69"/>
      <c r="B1" s="3"/>
      <c r="C1" s="3"/>
      <c r="D1" s="3"/>
      <c r="E1" s="3"/>
      <c r="F1" s="3"/>
      <c r="G1" s="3"/>
      <c r="H1" s="69"/>
      <c r="I1" s="69"/>
    </row>
    <row r="2" spans="1:35">
      <c r="A2" s="69"/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/>
      <c r="H2" s="4"/>
      <c r="I2" s="4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</row>
    <row r="3" spans="1:35">
      <c r="B3" s="4" t="s">
        <v>3</v>
      </c>
      <c r="C3" s="4" t="s">
        <v>1</v>
      </c>
      <c r="D3" s="4"/>
      <c r="E3" s="4"/>
      <c r="F3" s="4"/>
      <c r="G3" s="4"/>
      <c r="H3" s="4"/>
      <c r="I3" s="4"/>
      <c r="L3" s="80" t="s">
        <v>15</v>
      </c>
      <c r="M3" s="80"/>
      <c r="N3" s="69" t="str">
        <f>C3</f>
        <v>new_cases</v>
      </c>
      <c r="O3" s="69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</row>
    <row r="4" spans="1:35">
      <c r="B4" s="4">
        <v>0.68710000000000004</v>
      </c>
      <c r="C4" s="4">
        <v>44898</v>
      </c>
      <c r="D4" s="4">
        <f>B4*C4</f>
        <v>30849.415800000002</v>
      </c>
      <c r="E4" s="4">
        <f>B4^2</f>
        <v>0.47210641000000009</v>
      </c>
      <c r="F4" s="4">
        <f>C4^2</f>
        <v>2015830404</v>
      </c>
      <c r="G4" s="4">
        <f>ROUND($P$26+$L$26*B4,4)</f>
        <v>10232.518700000001</v>
      </c>
      <c r="H4" s="4">
        <f>ROUND(G4-C4,4)</f>
        <v>-34665.481299999999</v>
      </c>
      <c r="I4" s="4">
        <f>H4^2</f>
        <v>1201695593.7606497</v>
      </c>
      <c r="L4" s="80" t="s">
        <v>14</v>
      </c>
      <c r="M4" s="80"/>
      <c r="N4" s="80" t="str">
        <f>B3</f>
        <v>reproduction_rate</v>
      </c>
      <c r="O4" s="80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</row>
    <row r="5" spans="1:35">
      <c r="B5" s="4">
        <v>0.50429999999999997</v>
      </c>
      <c r="C5" s="4">
        <v>20342</v>
      </c>
      <c r="D5" s="4">
        <f t="shared" ref="D5:D20" si="0">B5*C5</f>
        <v>10258.470599999999</v>
      </c>
      <c r="E5" s="4">
        <f t="shared" ref="E5:E20" si="1">B5^2</f>
        <v>0.25431848999999995</v>
      </c>
      <c r="F5" s="4">
        <f t="shared" ref="F5:F20" si="2">C5^2</f>
        <v>413796964</v>
      </c>
      <c r="G5" s="4">
        <f t="shared" ref="G5:G20" si="3">ROUND($P$26+$L$26*B5,4)</f>
        <v>13838.965</v>
      </c>
      <c r="H5" s="4">
        <f t="shared" ref="H5:H20" si="4">ROUND(G5-C5,4)</f>
        <v>-6503.0349999999999</v>
      </c>
      <c r="I5" s="4">
        <f t="shared" ref="I5:I20" si="5">H5^2</f>
        <v>42289464.211224996</v>
      </c>
      <c r="T5" s="77"/>
      <c r="U5" s="38" t="s">
        <v>41</v>
      </c>
      <c r="V5" s="33">
        <f>ROUND(N23-X5*D23,4)</f>
        <v>1502957005.1070001</v>
      </c>
      <c r="W5" s="38"/>
      <c r="X5" s="33">
        <f>L26</f>
        <v>-19728.918699999998</v>
      </c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</row>
    <row r="6" spans="1:35">
      <c r="B6" s="4">
        <v>0.47710000000000002</v>
      </c>
      <c r="C6" s="4">
        <v>11769</v>
      </c>
      <c r="D6" s="4">
        <f t="shared" si="0"/>
        <v>5614.9899000000005</v>
      </c>
      <c r="E6" s="4">
        <f t="shared" si="1"/>
        <v>0.22762441000000003</v>
      </c>
      <c r="F6" s="4">
        <f t="shared" si="2"/>
        <v>138509361</v>
      </c>
      <c r="G6" s="4">
        <f t="shared" si="3"/>
        <v>14375.5916</v>
      </c>
      <c r="H6" s="4">
        <f t="shared" si="4"/>
        <v>2606.5916000000002</v>
      </c>
      <c r="I6" s="4">
        <f t="shared" si="5"/>
        <v>6794319.769190561</v>
      </c>
      <c r="T6" s="77"/>
      <c r="U6" s="36" t="s">
        <v>42</v>
      </c>
      <c r="V6" s="26">
        <f>ROUND((D23^2)/I23,4)</f>
        <v>313395161.27770001</v>
      </c>
      <c r="W6" s="77"/>
      <c r="X6" s="26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</row>
    <row r="7" spans="1:35">
      <c r="B7" s="4">
        <v>0.50860000000000005</v>
      </c>
      <c r="C7" s="4">
        <v>7037</v>
      </c>
      <c r="D7" s="4">
        <f t="shared" si="0"/>
        <v>3579.0182000000004</v>
      </c>
      <c r="E7" s="4">
        <f t="shared" si="1"/>
        <v>0.25867396000000004</v>
      </c>
      <c r="F7" s="4">
        <f t="shared" si="2"/>
        <v>49519369</v>
      </c>
      <c r="G7" s="4">
        <f t="shared" si="3"/>
        <v>13754.1306</v>
      </c>
      <c r="H7" s="4">
        <f t="shared" si="4"/>
        <v>6717.1306000000004</v>
      </c>
      <c r="I7" s="4">
        <f t="shared" si="5"/>
        <v>45119843.497456364</v>
      </c>
      <c r="T7" s="77"/>
      <c r="U7" s="36" t="s">
        <v>43</v>
      </c>
      <c r="V7" s="26">
        <f>N23</f>
        <v>1816352165.7584941</v>
      </c>
      <c r="W7" s="77"/>
      <c r="X7" s="26">
        <f>P26</f>
        <v>23788.258699999998</v>
      </c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</row>
    <row r="8" spans="1:35">
      <c r="B8" s="4">
        <v>0.61429999999999996</v>
      </c>
      <c r="C8" s="4">
        <v>5532</v>
      </c>
      <c r="D8" s="4">
        <f t="shared" si="0"/>
        <v>3398.3075999999996</v>
      </c>
      <c r="E8" s="4">
        <f t="shared" si="1"/>
        <v>0.37736448999999994</v>
      </c>
      <c r="F8" s="4">
        <f t="shared" si="2"/>
        <v>30603024</v>
      </c>
      <c r="G8" s="4">
        <f t="shared" si="3"/>
        <v>11668.7839</v>
      </c>
      <c r="H8" s="4">
        <f t="shared" si="4"/>
        <v>6136.7839000000004</v>
      </c>
      <c r="I8" s="4">
        <f t="shared" si="5"/>
        <v>37660116.635299213</v>
      </c>
      <c r="T8" s="77"/>
      <c r="U8" s="36" t="s">
        <v>59</v>
      </c>
      <c r="V8" s="26">
        <f>ROUND(SQRT(V5/(L11-2)),4)</f>
        <v>10009.8518</v>
      </c>
      <c r="W8" s="77"/>
      <c r="X8" s="26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</row>
    <row r="9" spans="1:35" ht="13.5" thickBot="1">
      <c r="B9" s="4">
        <v>0.66710000000000003</v>
      </c>
      <c r="C9" s="4">
        <v>4163</v>
      </c>
      <c r="D9" s="4">
        <f t="shared" si="0"/>
        <v>2777.1373000000003</v>
      </c>
      <c r="E9" s="4">
        <f t="shared" si="1"/>
        <v>0.44502241000000003</v>
      </c>
      <c r="F9" s="4">
        <f t="shared" si="2"/>
        <v>17330569</v>
      </c>
      <c r="G9" s="4">
        <f t="shared" si="3"/>
        <v>10627.097</v>
      </c>
      <c r="H9" s="4">
        <f t="shared" si="4"/>
        <v>6464.0969999999998</v>
      </c>
      <c r="I9" s="4">
        <f t="shared" si="5"/>
        <v>41784550.025408998</v>
      </c>
      <c r="T9" s="77"/>
      <c r="U9" s="37"/>
      <c r="V9" s="27"/>
      <c r="W9" s="37"/>
      <c r="X9" s="27">
        <f>ROUND(X5*SQRT(I23/N23),4)</f>
        <v>-0.41539999999999999</v>
      </c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</row>
    <row r="10" spans="1:35">
      <c r="B10" s="4">
        <v>0.67600000000000005</v>
      </c>
      <c r="C10" s="4">
        <v>2565</v>
      </c>
      <c r="D10" s="4">
        <f t="shared" si="0"/>
        <v>1733.94</v>
      </c>
      <c r="E10" s="4">
        <f t="shared" si="1"/>
        <v>0.45697600000000005</v>
      </c>
      <c r="F10" s="4">
        <f t="shared" si="2"/>
        <v>6579225</v>
      </c>
      <c r="G10" s="4">
        <f t="shared" si="3"/>
        <v>10451.509700000001</v>
      </c>
      <c r="H10" s="4">
        <f t="shared" si="4"/>
        <v>7886.5096999999996</v>
      </c>
      <c r="I10" s="4">
        <f t="shared" si="5"/>
        <v>62197035.248194084</v>
      </c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</row>
    <row r="11" spans="1:35" ht="13.5" thickBot="1">
      <c r="B11" s="4">
        <v>0.8357</v>
      </c>
      <c r="C11" s="4">
        <v>2877</v>
      </c>
      <c r="D11" s="4">
        <f t="shared" si="0"/>
        <v>2404.3089</v>
      </c>
      <c r="E11" s="4">
        <f t="shared" si="1"/>
        <v>0.69839448999999998</v>
      </c>
      <c r="F11" s="4">
        <f t="shared" si="2"/>
        <v>8277129</v>
      </c>
      <c r="G11" s="4">
        <f t="shared" si="3"/>
        <v>7300.8013000000001</v>
      </c>
      <c r="H11" s="4">
        <f t="shared" si="4"/>
        <v>4423.8013000000001</v>
      </c>
      <c r="I11" s="4">
        <f t="shared" si="5"/>
        <v>19570017.94188169</v>
      </c>
      <c r="K11" s="69" t="s">
        <v>19</v>
      </c>
      <c r="L11" s="69">
        <f>COUNT(B4,B5:B20)</f>
        <v>17</v>
      </c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</row>
    <row r="12" spans="1:35">
      <c r="B12" s="4">
        <v>0.9657</v>
      </c>
      <c r="C12" s="4">
        <v>2928</v>
      </c>
      <c r="D12" s="4">
        <f t="shared" si="0"/>
        <v>2827.5695999999998</v>
      </c>
      <c r="E12" s="4">
        <f t="shared" si="1"/>
        <v>0.93257648999999998</v>
      </c>
      <c r="F12" s="4">
        <f t="shared" si="2"/>
        <v>8573184</v>
      </c>
      <c r="G12" s="4">
        <f t="shared" si="3"/>
        <v>4736.0419000000002</v>
      </c>
      <c r="H12" s="4">
        <f t="shared" si="4"/>
        <v>1808.0418999999999</v>
      </c>
      <c r="I12" s="4">
        <f t="shared" si="5"/>
        <v>3269015.5121556097</v>
      </c>
      <c r="K12" s="69" t="s">
        <v>20</v>
      </c>
      <c r="L12" s="69">
        <f>ROUND(AVERAGE(B4:B20),4)</f>
        <v>0.82579999999999998</v>
      </c>
      <c r="T12" s="77"/>
      <c r="U12" s="20"/>
      <c r="V12" s="20" t="s">
        <v>55</v>
      </c>
      <c r="W12" s="20" t="s">
        <v>48</v>
      </c>
      <c r="X12" s="20" t="s">
        <v>49</v>
      </c>
      <c r="Y12" s="20" t="s">
        <v>50</v>
      </c>
      <c r="Z12" s="20" t="s">
        <v>51</v>
      </c>
      <c r="AA12" s="77"/>
      <c r="AB12" s="77"/>
      <c r="AC12" s="77"/>
      <c r="AD12" s="77"/>
      <c r="AE12" s="77"/>
      <c r="AF12" s="77"/>
      <c r="AG12" s="77"/>
      <c r="AH12" s="77"/>
      <c r="AI12" s="77"/>
    </row>
    <row r="13" spans="1:35">
      <c r="B13" s="4">
        <v>1.1086</v>
      </c>
      <c r="C13" s="4">
        <v>4159</v>
      </c>
      <c r="D13" s="4">
        <f t="shared" si="0"/>
        <v>4610.6674000000003</v>
      </c>
      <c r="E13" s="4">
        <f t="shared" si="1"/>
        <v>1.2289939600000002</v>
      </c>
      <c r="F13" s="4">
        <f t="shared" si="2"/>
        <v>17297281</v>
      </c>
      <c r="G13" s="4">
        <f t="shared" si="3"/>
        <v>1916.7793999999999</v>
      </c>
      <c r="H13" s="4">
        <f t="shared" si="4"/>
        <v>-2242.2206000000001</v>
      </c>
      <c r="I13" s="4">
        <f t="shared" si="5"/>
        <v>5027553.2190643605</v>
      </c>
      <c r="K13" s="69" t="s">
        <v>21</v>
      </c>
      <c r="L13" s="69">
        <f>ROUND(AVERAGE(C4:C20),4)</f>
        <v>7496.1175999999996</v>
      </c>
      <c r="T13" s="77"/>
      <c r="U13" s="76" t="s">
        <v>56</v>
      </c>
      <c r="V13" s="18" t="s">
        <v>45</v>
      </c>
      <c r="W13" s="18">
        <v>1</v>
      </c>
      <c r="X13" s="18">
        <f>V6</f>
        <v>313395161.27770001</v>
      </c>
      <c r="Y13" s="18">
        <f>X13/W13</f>
        <v>313395161.27770001</v>
      </c>
      <c r="Z13" s="18">
        <f>Y13/Y14</f>
        <v>3.1277856939299649</v>
      </c>
      <c r="AA13" s="77"/>
      <c r="AB13" s="77"/>
      <c r="AC13" s="77"/>
      <c r="AD13" s="77"/>
      <c r="AE13" s="77"/>
      <c r="AF13" s="77"/>
      <c r="AG13" s="77"/>
      <c r="AH13" s="77"/>
      <c r="AI13" s="77"/>
    </row>
    <row r="14" spans="1:35">
      <c r="B14" s="4">
        <v>1.0071000000000001</v>
      </c>
      <c r="C14" s="4">
        <v>3507</v>
      </c>
      <c r="D14" s="4">
        <f t="shared" si="0"/>
        <v>3531.8997000000004</v>
      </c>
      <c r="E14" s="4">
        <f t="shared" si="1"/>
        <v>1.0142504100000003</v>
      </c>
      <c r="F14" s="4">
        <f t="shared" si="2"/>
        <v>12299049</v>
      </c>
      <c r="G14" s="4">
        <f t="shared" si="3"/>
        <v>3919.2647000000002</v>
      </c>
      <c r="H14" s="4">
        <f t="shared" si="4"/>
        <v>412.2647</v>
      </c>
      <c r="I14" s="4">
        <f t="shared" si="5"/>
        <v>169962.18286609001</v>
      </c>
      <c r="T14" s="77"/>
      <c r="U14" s="76" t="s">
        <v>57</v>
      </c>
      <c r="V14" s="18" t="s">
        <v>46</v>
      </c>
      <c r="W14" s="18">
        <f>17-2</f>
        <v>15</v>
      </c>
      <c r="X14" s="18">
        <f>V5</f>
        <v>1502957005.1070001</v>
      </c>
      <c r="Y14" s="18">
        <f>X14/W14</f>
        <v>100197133.67380001</v>
      </c>
      <c r="Z14" s="18"/>
      <c r="AA14" s="77"/>
      <c r="AB14" s="77"/>
      <c r="AC14" s="77"/>
      <c r="AD14" s="77"/>
      <c r="AE14" s="77"/>
      <c r="AF14" s="77"/>
      <c r="AG14" s="77"/>
      <c r="AH14" s="77"/>
      <c r="AI14" s="77"/>
    </row>
    <row r="15" spans="1:35" ht="13.5" thickBot="1">
      <c r="B15" s="4">
        <v>0.96430000000000005</v>
      </c>
      <c r="C15" s="4">
        <v>3441</v>
      </c>
      <c r="D15" s="4">
        <f t="shared" si="0"/>
        <v>3318.1563000000001</v>
      </c>
      <c r="E15" s="4">
        <f t="shared" si="1"/>
        <v>0.92987449000000011</v>
      </c>
      <c r="F15" s="4">
        <f t="shared" si="2"/>
        <v>11840481</v>
      </c>
      <c r="G15" s="4">
        <f t="shared" si="3"/>
        <v>4763.6624000000002</v>
      </c>
      <c r="H15" s="4">
        <f t="shared" si="4"/>
        <v>1322.6623999999999</v>
      </c>
      <c r="I15" s="4">
        <f t="shared" si="5"/>
        <v>1749435.8243737598</v>
      </c>
      <c r="T15" s="77"/>
      <c r="U15" s="24" t="s">
        <v>58</v>
      </c>
      <c r="V15" s="19" t="s">
        <v>47</v>
      </c>
      <c r="W15" s="19">
        <f>17-1</f>
        <v>16</v>
      </c>
      <c r="X15" s="19">
        <f>V7</f>
        <v>1816352165.7584941</v>
      </c>
      <c r="Y15" s="19"/>
      <c r="Z15" s="19"/>
      <c r="AA15" s="77"/>
      <c r="AB15" s="77"/>
      <c r="AC15" s="77"/>
      <c r="AD15" s="77"/>
      <c r="AE15" s="77"/>
      <c r="AF15" s="77"/>
      <c r="AG15" s="77"/>
      <c r="AH15" s="77"/>
      <c r="AI15" s="77"/>
    </row>
    <row r="16" spans="1:35">
      <c r="B16" s="4">
        <v>0.89</v>
      </c>
      <c r="C16" s="4">
        <v>2835</v>
      </c>
      <c r="D16" s="4">
        <f t="shared" si="0"/>
        <v>2523.15</v>
      </c>
      <c r="E16" s="4">
        <f t="shared" si="1"/>
        <v>0.79210000000000003</v>
      </c>
      <c r="F16" s="4">
        <f t="shared" si="2"/>
        <v>8037225</v>
      </c>
      <c r="G16" s="4">
        <f t="shared" si="3"/>
        <v>6229.5210999999999</v>
      </c>
      <c r="H16" s="4">
        <f t="shared" si="4"/>
        <v>3394.5210999999999</v>
      </c>
      <c r="I16" s="4">
        <f t="shared" si="5"/>
        <v>11522773.498345209</v>
      </c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</row>
    <row r="17" spans="1:35">
      <c r="B17" s="4">
        <v>0.88</v>
      </c>
      <c r="C17" s="4">
        <v>2305</v>
      </c>
      <c r="D17" s="4">
        <f t="shared" si="0"/>
        <v>2028.4</v>
      </c>
      <c r="E17" s="4">
        <f t="shared" si="1"/>
        <v>0.77439999999999998</v>
      </c>
      <c r="F17" s="4">
        <f t="shared" si="2"/>
        <v>5313025</v>
      </c>
      <c r="G17" s="4">
        <f t="shared" si="3"/>
        <v>6426.8101999999999</v>
      </c>
      <c r="H17" s="4">
        <f t="shared" si="4"/>
        <v>4121.8101999999999</v>
      </c>
      <c r="I17" s="4">
        <f t="shared" si="5"/>
        <v>16989319.324824039</v>
      </c>
      <c r="T17" s="77"/>
      <c r="U17" s="73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</row>
    <row r="18" spans="1:35">
      <c r="B18" s="4">
        <v>1.0128999999999999</v>
      </c>
      <c r="C18" s="4">
        <v>2600</v>
      </c>
      <c r="D18" s="4">
        <f t="shared" si="0"/>
        <v>2633.54</v>
      </c>
      <c r="E18" s="4">
        <f t="shared" si="1"/>
        <v>1.0259664099999999</v>
      </c>
      <c r="F18" s="4">
        <f t="shared" si="2"/>
        <v>6760000</v>
      </c>
      <c r="G18" s="4">
        <f t="shared" si="3"/>
        <v>3804.8368999999998</v>
      </c>
      <c r="H18" s="4">
        <f t="shared" si="4"/>
        <v>1204.8369</v>
      </c>
      <c r="I18" s="4">
        <f t="shared" si="5"/>
        <v>1451631.95560161</v>
      </c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</row>
    <row r="19" spans="1:35">
      <c r="B19" s="4">
        <v>1.1000000000000001</v>
      </c>
      <c r="C19" s="4">
        <v>3042</v>
      </c>
      <c r="D19" s="4">
        <f t="shared" si="0"/>
        <v>3346.2000000000003</v>
      </c>
      <c r="E19" s="4">
        <f t="shared" si="1"/>
        <v>1.2100000000000002</v>
      </c>
      <c r="F19" s="4">
        <f t="shared" si="2"/>
        <v>9253764</v>
      </c>
      <c r="G19" s="4">
        <f t="shared" si="3"/>
        <v>2086.4481000000001</v>
      </c>
      <c r="H19" s="4">
        <f t="shared" si="4"/>
        <v>-955.55190000000005</v>
      </c>
      <c r="I19" s="4">
        <f t="shared" si="5"/>
        <v>913079.43359361007</v>
      </c>
      <c r="T19" s="77"/>
      <c r="U19" s="14"/>
      <c r="V19" s="14"/>
      <c r="W19" s="14"/>
      <c r="X19" s="14"/>
      <c r="Y19" s="14"/>
      <c r="Z19" s="77"/>
      <c r="AA19" s="77"/>
      <c r="AB19" s="77"/>
      <c r="AC19" s="77"/>
      <c r="AD19" s="77"/>
      <c r="AE19" s="77"/>
      <c r="AF19" s="77"/>
      <c r="AG19" s="77"/>
      <c r="AH19" s="77"/>
      <c r="AI19" s="77"/>
    </row>
    <row r="20" spans="1:35" ht="13.5" customHeight="1">
      <c r="B20" s="7">
        <v>1.1399999999999999</v>
      </c>
      <c r="C20" s="7">
        <v>3434</v>
      </c>
      <c r="D20" s="7">
        <f t="shared" si="0"/>
        <v>3914.7599999999998</v>
      </c>
      <c r="E20" s="7">
        <f t="shared" si="1"/>
        <v>1.2995999999999999</v>
      </c>
      <c r="F20" s="7">
        <f t="shared" si="2"/>
        <v>11792356</v>
      </c>
      <c r="G20" s="4">
        <f t="shared" si="3"/>
        <v>1297.2914000000001</v>
      </c>
      <c r="H20" s="4">
        <f t="shared" si="4"/>
        <v>-2136.7085999999999</v>
      </c>
      <c r="I20" s="4">
        <f t="shared" si="5"/>
        <v>4565523.6413139598</v>
      </c>
      <c r="T20" s="77"/>
      <c r="U20" s="29" t="s">
        <v>80</v>
      </c>
      <c r="V20" s="14">
        <v>0.05</v>
      </c>
      <c r="W20" s="14"/>
      <c r="X20" s="14"/>
      <c r="Y20" s="14"/>
      <c r="Z20" s="77"/>
      <c r="AA20" s="77"/>
      <c r="AB20" s="77"/>
      <c r="AC20" s="77"/>
      <c r="AD20" s="77"/>
      <c r="AE20" s="77"/>
      <c r="AF20" s="77"/>
      <c r="AG20" s="77"/>
      <c r="AH20" s="77"/>
      <c r="AI20" s="77"/>
    </row>
    <row r="21" spans="1:35">
      <c r="A21" s="4" t="s">
        <v>18</v>
      </c>
      <c r="B21" s="4">
        <f t="shared" ref="B21:I21" si="6">SUM(B4:B20)</f>
        <v>14.038800000000002</v>
      </c>
      <c r="C21" s="4">
        <f t="shared" si="6"/>
        <v>127434</v>
      </c>
      <c r="D21" s="4">
        <f t="shared" si="6"/>
        <v>89349.931299999982</v>
      </c>
      <c r="E21" s="4">
        <f t="shared" si="6"/>
        <v>12.398242420000003</v>
      </c>
      <c r="F21" s="4">
        <f t="shared" si="6"/>
        <v>2771612410</v>
      </c>
      <c r="G21" s="4">
        <f t="shared" si="6"/>
        <v>127430.0539</v>
      </c>
      <c r="H21" s="4">
        <f t="shared" si="6"/>
        <v>-3.9461000000032982</v>
      </c>
      <c r="I21" s="4">
        <f t="shared" si="6"/>
        <v>1502769235.6814437</v>
      </c>
      <c r="T21" s="77"/>
      <c r="U21" s="14"/>
      <c r="V21" s="14"/>
      <c r="W21" s="14"/>
      <c r="X21" s="14"/>
      <c r="Y21" s="14"/>
      <c r="Z21" s="77"/>
      <c r="AA21" s="77"/>
      <c r="AB21" s="77"/>
      <c r="AC21" s="77"/>
      <c r="AD21" s="77"/>
      <c r="AE21" s="77"/>
      <c r="AF21" s="77"/>
      <c r="AG21" s="77"/>
      <c r="AH21" s="77"/>
      <c r="AI21" s="77"/>
    </row>
    <row r="22" spans="1:35">
      <c r="K22" s="69"/>
      <c r="L22" s="69"/>
      <c r="M22" s="69"/>
      <c r="N22" s="69"/>
      <c r="O22" s="69"/>
      <c r="P22" s="69"/>
      <c r="Q22" s="69"/>
      <c r="R22" s="69"/>
      <c r="S22" s="69"/>
      <c r="T22" s="77"/>
      <c r="U22" s="14"/>
      <c r="V22" s="14"/>
      <c r="W22" s="14"/>
      <c r="X22" s="14"/>
      <c r="Y22" s="14"/>
      <c r="Z22" s="77"/>
      <c r="AA22" s="77"/>
      <c r="AB22" s="77"/>
      <c r="AC22" s="77"/>
      <c r="AD22" s="77"/>
      <c r="AE22" s="77"/>
      <c r="AF22" s="77"/>
      <c r="AG22" s="77"/>
      <c r="AH22" s="77"/>
      <c r="AI22" s="77"/>
    </row>
    <row r="23" spans="1:35">
      <c r="D23">
        <f>D21-(L11*L12*L13)</f>
        <v>-15885.065239360003</v>
      </c>
      <c r="I23">
        <f>E21-(L11*(L12^2))</f>
        <v>0.80516654000000187</v>
      </c>
      <c r="K23" s="69"/>
      <c r="L23" s="69"/>
      <c r="M23" s="69"/>
      <c r="N23" s="69">
        <f>F21-(L11*(L13^2))</f>
        <v>1816352165.7584941</v>
      </c>
      <c r="O23" s="69"/>
      <c r="P23" s="69"/>
      <c r="Q23" s="69"/>
      <c r="R23" s="69"/>
      <c r="S23" s="69"/>
      <c r="T23" s="77"/>
      <c r="U23" s="14"/>
      <c r="V23" s="14"/>
      <c r="W23" s="14"/>
      <c r="X23" s="14"/>
      <c r="Y23" s="14"/>
      <c r="Z23" s="77"/>
      <c r="AA23" s="77"/>
      <c r="AB23" s="77"/>
      <c r="AC23" s="77"/>
      <c r="AD23" s="77"/>
      <c r="AE23" s="77"/>
      <c r="AF23" s="77"/>
      <c r="AG23" s="77"/>
      <c r="AH23" s="77"/>
      <c r="AI23" s="77"/>
    </row>
    <row r="24" spans="1:35">
      <c r="K24" s="69"/>
      <c r="L24" s="69"/>
      <c r="M24" s="69"/>
      <c r="N24" s="69"/>
      <c r="O24" s="69"/>
      <c r="P24" s="69"/>
      <c r="Q24" s="69"/>
      <c r="R24" s="69"/>
      <c r="S24" s="69"/>
      <c r="T24" s="77"/>
      <c r="U24" s="29" t="s">
        <v>133</v>
      </c>
      <c r="V24" s="14">
        <f>Z13</f>
        <v>3.1277856939299649</v>
      </c>
      <c r="W24" s="14"/>
      <c r="X24" s="14"/>
      <c r="Y24" s="14"/>
      <c r="Z24" s="77"/>
      <c r="AA24" s="77"/>
      <c r="AB24" s="77"/>
      <c r="AC24" s="77"/>
      <c r="AD24" s="77"/>
      <c r="AE24" s="77"/>
      <c r="AF24" s="77"/>
      <c r="AG24" s="77"/>
      <c r="AH24" s="77"/>
      <c r="AI24" s="77"/>
    </row>
    <row r="25" spans="1:35">
      <c r="K25" s="69"/>
      <c r="L25" s="69"/>
      <c r="M25" s="69"/>
      <c r="N25" s="69"/>
      <c r="O25" s="69"/>
      <c r="P25" s="69"/>
      <c r="Q25" s="69"/>
      <c r="R25" s="69"/>
      <c r="S25" s="69"/>
      <c r="T25" s="77"/>
      <c r="U25" s="14"/>
      <c r="V25" s="14"/>
      <c r="W25" s="14"/>
      <c r="X25" s="14"/>
      <c r="Y25" s="14"/>
      <c r="Z25" s="77"/>
      <c r="AA25" s="77"/>
      <c r="AB25" s="77"/>
      <c r="AC25" s="77"/>
      <c r="AD25" s="77"/>
      <c r="AE25" s="77"/>
      <c r="AF25" s="77"/>
      <c r="AG25" s="77"/>
      <c r="AH25" s="77"/>
      <c r="AI25" s="77"/>
    </row>
    <row r="26" spans="1:35">
      <c r="C26">
        <f>D23/(SQRT(I23)*SQRT(N23))</f>
        <v>-0.41538051013868338</v>
      </c>
      <c r="H26">
        <f>C26^2</f>
        <v>0.17254096820307285</v>
      </c>
      <c r="K26" s="69"/>
      <c r="L26" s="69">
        <f>ROUND(D23/I23,4)</f>
        <v>-19728.918699999998</v>
      </c>
      <c r="M26" s="69"/>
      <c r="N26" s="69"/>
      <c r="O26" s="69"/>
      <c r="P26" s="69">
        <f>ROUND((L13-(L26*L12)),4)</f>
        <v>23788.258699999998</v>
      </c>
      <c r="Q26" s="69"/>
      <c r="R26" s="69"/>
      <c r="S26" s="69"/>
      <c r="T26" s="77"/>
      <c r="U26" s="14"/>
      <c r="V26" s="14"/>
      <c r="W26" s="14"/>
      <c r="X26" s="14"/>
      <c r="Y26" s="14"/>
      <c r="Z26" s="77"/>
      <c r="AA26" s="77"/>
      <c r="AB26" s="77"/>
      <c r="AC26" s="77"/>
      <c r="AD26" s="77"/>
      <c r="AE26" s="77"/>
      <c r="AF26" s="77"/>
      <c r="AG26" s="77"/>
      <c r="AH26" s="77"/>
      <c r="AI26" s="77"/>
    </row>
    <row r="27" spans="1:35">
      <c r="C27" s="12"/>
      <c r="D27" s="12"/>
      <c r="K27" s="69"/>
      <c r="L27" s="69"/>
      <c r="M27" s="69"/>
      <c r="N27" s="69"/>
      <c r="O27" s="69"/>
      <c r="P27" s="69"/>
      <c r="Q27" s="69"/>
      <c r="R27" s="69"/>
      <c r="S27" s="69"/>
      <c r="T27" s="77"/>
      <c r="U27" s="14" t="str">
        <f>"f(0,05);("&amp;W13&amp;","&amp;W14&amp;")="</f>
        <v>f(0,05);(1,15)=</v>
      </c>
      <c r="V27" s="14">
        <f>ROUND(_xlfn.F.INV.RT(V20,W13,W14),4)</f>
        <v>4.5430999999999999</v>
      </c>
      <c r="W27" s="14"/>
      <c r="X27" s="14"/>
      <c r="Y27" s="14"/>
      <c r="Z27" s="77"/>
      <c r="AA27" s="77"/>
      <c r="AB27" s="77"/>
      <c r="AC27" s="77"/>
      <c r="AD27" s="77"/>
      <c r="AE27" s="77"/>
      <c r="AF27" s="77"/>
      <c r="AG27" s="77"/>
      <c r="AH27" s="77"/>
      <c r="AI27" s="77"/>
    </row>
    <row r="28" spans="1:35">
      <c r="K28" s="69"/>
      <c r="L28" s="69"/>
      <c r="M28" s="69"/>
      <c r="N28" s="69"/>
      <c r="O28" s="69"/>
      <c r="P28" s="69"/>
      <c r="Q28" s="69"/>
      <c r="R28" s="69"/>
      <c r="S28" s="69"/>
      <c r="T28" s="77"/>
      <c r="U28" s="14"/>
      <c r="V28" s="14"/>
      <c r="W28" s="14"/>
      <c r="X28" s="14"/>
      <c r="Y28" s="14"/>
      <c r="Z28" s="77"/>
      <c r="AA28" s="77"/>
      <c r="AB28" s="77"/>
      <c r="AC28" s="77"/>
      <c r="AD28" s="77"/>
      <c r="AE28" s="77"/>
      <c r="AF28" s="77"/>
      <c r="AG28" s="77"/>
      <c r="AH28" s="77"/>
      <c r="AI28" s="77"/>
    </row>
    <row r="29" spans="1:35">
      <c r="K29" s="69"/>
      <c r="L29" s="69" t="str">
        <f>"𝑦 ̂="&amp;P26&amp;"+"&amp;L26&amp;"x ̂"</f>
        <v>𝑦 ̂=23788,2587+-19728,9187x ̂</v>
      </c>
      <c r="M29" s="69"/>
      <c r="N29" s="69"/>
      <c r="O29" s="69"/>
      <c r="P29" s="69"/>
      <c r="Q29" s="69"/>
      <c r="R29" s="69"/>
      <c r="S29" s="69"/>
      <c r="T29" s="77"/>
      <c r="U29" s="14" t="str">
        <f>IF(V27&lt;=V24, "R: Como  " &amp;ROUND(V27,4) &amp;" &lt; "&amp;ROUND(V24,4)&amp;" o modelo é significativo","R: Como  " &amp;ROUND(V27,4) &amp;" &gt; "&amp;ROUND(V24,4)&amp;" o modelo não é significativo" )</f>
        <v>R: Como  4,5431 &gt; 3,1278 o modelo não é significativo</v>
      </c>
      <c r="V29" s="14"/>
      <c r="W29" s="14"/>
      <c r="X29" s="14"/>
      <c r="Y29" s="14"/>
      <c r="Z29" s="77"/>
      <c r="AA29" s="77"/>
      <c r="AB29" s="77"/>
      <c r="AC29" s="77"/>
      <c r="AD29" s="77"/>
      <c r="AE29" s="77"/>
      <c r="AF29" s="77"/>
      <c r="AG29" s="77"/>
      <c r="AH29" s="77"/>
      <c r="AI29" s="77"/>
    </row>
    <row r="30" spans="1:35">
      <c r="K30" s="69"/>
      <c r="L30" s="69"/>
      <c r="M30" s="69"/>
      <c r="N30" s="69"/>
      <c r="O30" s="69"/>
      <c r="P30" s="69"/>
      <c r="Q30" s="69"/>
      <c r="R30" s="69"/>
      <c r="S30" s="69"/>
    </row>
    <row r="31" spans="1: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</row>
    <row r="32" spans="1:35">
      <c r="A32" s="69"/>
      <c r="B32" s="3"/>
      <c r="C32" s="3"/>
      <c r="D32" s="3"/>
      <c r="E32" s="3"/>
      <c r="F32" s="3"/>
      <c r="G32" s="3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</row>
    <row r="33" spans="1:35">
      <c r="A33" s="69"/>
      <c r="B33" s="2" t="s">
        <v>9</v>
      </c>
      <c r="C33" s="2" t="s">
        <v>10</v>
      </c>
      <c r="D33" s="2" t="s">
        <v>11</v>
      </c>
      <c r="E33" s="2" t="s">
        <v>12</v>
      </c>
      <c r="F33" s="2" t="s">
        <v>13</v>
      </c>
      <c r="G33" s="2"/>
      <c r="H33" s="4"/>
      <c r="I33" s="4"/>
      <c r="J33" s="69"/>
      <c r="K33" s="69"/>
      <c r="L33" s="69"/>
      <c r="M33" s="69"/>
      <c r="N33" s="69"/>
      <c r="O33" s="69"/>
      <c r="P33" s="69"/>
      <c r="Q33" s="69"/>
      <c r="R33" s="69"/>
      <c r="S33" s="69"/>
    </row>
    <row r="34" spans="1:35">
      <c r="A34" s="69"/>
      <c r="B34" s="69" t="s">
        <v>4</v>
      </c>
      <c r="C34" s="4" t="s">
        <v>1</v>
      </c>
      <c r="D34" s="4"/>
      <c r="E34" s="4"/>
      <c r="F34" s="4"/>
      <c r="G34" s="4"/>
      <c r="H34" s="4"/>
      <c r="I34" s="4"/>
      <c r="J34" s="69"/>
      <c r="K34" s="69"/>
      <c r="L34" s="80" t="s">
        <v>15</v>
      </c>
      <c r="M34" s="80"/>
      <c r="N34" s="69" t="str">
        <f>C34</f>
        <v>new_cases</v>
      </c>
      <c r="O34" s="69"/>
      <c r="P34" s="69"/>
      <c r="Q34" s="69"/>
      <c r="R34" s="69"/>
      <c r="S34" s="69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</row>
    <row r="35" spans="1:35">
      <c r="A35" s="69"/>
      <c r="B35" s="69">
        <v>6117</v>
      </c>
      <c r="C35" s="4">
        <v>44898</v>
      </c>
      <c r="D35" s="4">
        <f>B35*C35</f>
        <v>274641066</v>
      </c>
      <c r="E35" s="4">
        <f>B35^2</f>
        <v>37417689</v>
      </c>
      <c r="F35" s="4">
        <f>C35^2</f>
        <v>2015830404</v>
      </c>
      <c r="G35" s="4">
        <f>ROUND($P$57+$L$57*B35,4)</f>
        <v>25653.385999999999</v>
      </c>
      <c r="H35" s="4">
        <f>ROUND(G35-C35,4)</f>
        <v>-19244.614000000001</v>
      </c>
      <c r="I35" s="4">
        <f>H35^2</f>
        <v>370355168.00899607</v>
      </c>
      <c r="J35" s="69"/>
      <c r="K35" s="69"/>
      <c r="L35" s="80" t="s">
        <v>14</v>
      </c>
      <c r="M35" s="80"/>
      <c r="N35" s="80" t="str">
        <f>B34</f>
        <v>icu_patients</v>
      </c>
      <c r="O35" s="80"/>
      <c r="P35" s="69"/>
      <c r="Q35" s="69"/>
      <c r="R35" s="69"/>
      <c r="S35" s="69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</row>
    <row r="36" spans="1:35">
      <c r="A36" s="69"/>
      <c r="B36" s="69">
        <v>5872</v>
      </c>
      <c r="C36" s="4">
        <v>20342</v>
      </c>
      <c r="D36" s="4">
        <f t="shared" ref="D36:D51" si="7">B36*C36</f>
        <v>119448224</v>
      </c>
      <c r="E36" s="4">
        <f t="shared" ref="E36:E51" si="8">B36^2</f>
        <v>34480384</v>
      </c>
      <c r="F36" s="4">
        <f t="shared" ref="F36:F51" si="9">C36^2</f>
        <v>413796964</v>
      </c>
      <c r="G36" s="4">
        <f>ROUND($P$57+$L$57*B36,4)</f>
        <v>24579.624500000002</v>
      </c>
      <c r="H36" s="4">
        <f t="shared" ref="H36:H51" si="10">ROUND(G36-C36,4)</f>
        <v>4237.6244999999999</v>
      </c>
      <c r="I36" s="4">
        <f t="shared" ref="I36:I51" si="11">H36^2</f>
        <v>17957461.40300025</v>
      </c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77"/>
      <c r="U36" s="38" t="s">
        <v>41</v>
      </c>
      <c r="V36" s="33">
        <f>ROUND(N54-X36*D54,4)</f>
        <v>608638013.78100002</v>
      </c>
      <c r="W36" s="38"/>
      <c r="X36" s="33">
        <f>L57</f>
        <v>4.3826999999999998</v>
      </c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</row>
    <row r="37" spans="1:35">
      <c r="A37" s="69"/>
      <c r="B37" s="69">
        <v>4906</v>
      </c>
      <c r="C37" s="4">
        <v>11769</v>
      </c>
      <c r="D37" s="4">
        <f t="shared" si="7"/>
        <v>57738714</v>
      </c>
      <c r="E37" s="4">
        <f t="shared" si="8"/>
        <v>24068836</v>
      </c>
      <c r="F37" s="4">
        <f t="shared" si="9"/>
        <v>138509361</v>
      </c>
      <c r="G37" s="4">
        <f t="shared" ref="G37:G51" si="12">ROUND($P$57+$L$57*B37,4)</f>
        <v>20345.936300000001</v>
      </c>
      <c r="H37" s="4">
        <f t="shared" si="10"/>
        <v>8576.9362999999994</v>
      </c>
      <c r="I37" s="4">
        <f t="shared" si="11"/>
        <v>73563836.294257686</v>
      </c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77"/>
      <c r="U37" s="36" t="s">
        <v>42</v>
      </c>
      <c r="V37" s="26">
        <f>ROUND((D54^2)/I54,4)</f>
        <v>1207710233.3576</v>
      </c>
      <c r="W37" s="77"/>
      <c r="X37" s="26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</row>
    <row r="38" spans="1:35">
      <c r="A38" s="69"/>
      <c r="B38" s="69">
        <v>3825</v>
      </c>
      <c r="C38" s="4">
        <v>7037</v>
      </c>
      <c r="D38" s="4">
        <f t="shared" si="7"/>
        <v>26916525</v>
      </c>
      <c r="E38" s="4">
        <f t="shared" si="8"/>
        <v>14630625</v>
      </c>
      <c r="F38" s="4">
        <f t="shared" si="9"/>
        <v>49519369</v>
      </c>
      <c r="G38" s="4">
        <f t="shared" si="12"/>
        <v>15608.2376</v>
      </c>
      <c r="H38" s="4">
        <f t="shared" si="10"/>
        <v>8571.2376000000004</v>
      </c>
      <c r="I38" s="4">
        <f t="shared" si="11"/>
        <v>73466113.995653763</v>
      </c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77"/>
      <c r="U38" s="36" t="s">
        <v>43</v>
      </c>
      <c r="V38" s="26">
        <f>N54</f>
        <v>1816352165.7584941</v>
      </c>
      <c r="W38" s="77"/>
      <c r="X38" s="26">
        <f>P57</f>
        <v>-1155.5898999999999</v>
      </c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</row>
    <row r="39" spans="1:35">
      <c r="A39" s="69"/>
      <c r="B39" s="69">
        <v>2829</v>
      </c>
      <c r="C39" s="4">
        <v>5532</v>
      </c>
      <c r="D39" s="4">
        <f t="shared" si="7"/>
        <v>15650028</v>
      </c>
      <c r="E39" s="4">
        <f t="shared" si="8"/>
        <v>8003241</v>
      </c>
      <c r="F39" s="4">
        <f t="shared" si="9"/>
        <v>30603024</v>
      </c>
      <c r="G39" s="4">
        <f t="shared" si="12"/>
        <v>11243.0684</v>
      </c>
      <c r="H39" s="4">
        <f t="shared" si="10"/>
        <v>5711.0684000000001</v>
      </c>
      <c r="I39" s="4">
        <f t="shared" si="11"/>
        <v>32616302.269478559</v>
      </c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77"/>
      <c r="U39" s="36" t="s">
        <v>59</v>
      </c>
      <c r="V39" s="26">
        <f>ROUND(SQRT(V36/(L42-2)),4)</f>
        <v>6369.9189999999999</v>
      </c>
      <c r="W39" s="77"/>
      <c r="X39" s="26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</row>
    <row r="40" spans="1:35" ht="13.5" thickBot="1">
      <c r="A40" s="69"/>
      <c r="B40" s="69">
        <v>1971</v>
      </c>
      <c r="C40" s="4">
        <v>4163</v>
      </c>
      <c r="D40" s="4">
        <f t="shared" si="7"/>
        <v>8205273</v>
      </c>
      <c r="E40" s="4">
        <f t="shared" si="8"/>
        <v>3884841</v>
      </c>
      <c r="F40" s="4">
        <f t="shared" si="9"/>
        <v>17330569</v>
      </c>
      <c r="G40" s="4">
        <f t="shared" si="12"/>
        <v>7482.7118</v>
      </c>
      <c r="H40" s="4">
        <f t="shared" si="10"/>
        <v>3319.7118</v>
      </c>
      <c r="I40" s="4">
        <f t="shared" si="11"/>
        <v>11020486.43505924</v>
      </c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77"/>
      <c r="U40" s="37"/>
      <c r="V40" s="27"/>
      <c r="W40" s="37"/>
      <c r="X40" s="27">
        <f>ROUND(X36*SQRT(I54/N54),4)</f>
        <v>0.81540000000000001</v>
      </c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</row>
    <row r="41" spans="1:35">
      <c r="A41" s="69"/>
      <c r="B41" s="69">
        <v>1265</v>
      </c>
      <c r="C41" s="4">
        <v>2565</v>
      </c>
      <c r="D41" s="4">
        <f t="shared" si="7"/>
        <v>3244725</v>
      </c>
      <c r="E41" s="4">
        <f t="shared" si="8"/>
        <v>1600225</v>
      </c>
      <c r="F41" s="4">
        <f t="shared" si="9"/>
        <v>6579225</v>
      </c>
      <c r="G41" s="4">
        <f t="shared" si="12"/>
        <v>4388.5255999999999</v>
      </c>
      <c r="H41" s="4">
        <f t="shared" si="10"/>
        <v>1823.5255999999999</v>
      </c>
      <c r="I41" s="4">
        <f t="shared" si="11"/>
        <v>3325245.6138553596</v>
      </c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</row>
    <row r="42" spans="1:35" ht="13.5" thickBot="1">
      <c r="A42" s="69"/>
      <c r="B42" s="69">
        <v>1078</v>
      </c>
      <c r="C42" s="4">
        <v>2877</v>
      </c>
      <c r="D42" s="4">
        <f t="shared" si="7"/>
        <v>3101406</v>
      </c>
      <c r="E42" s="4">
        <f t="shared" si="8"/>
        <v>1162084</v>
      </c>
      <c r="F42" s="4">
        <f t="shared" si="9"/>
        <v>8277129</v>
      </c>
      <c r="G42" s="4">
        <f t="shared" si="12"/>
        <v>3568.9607000000001</v>
      </c>
      <c r="H42" s="4">
        <f t="shared" si="10"/>
        <v>691.96069999999997</v>
      </c>
      <c r="I42" s="4">
        <f t="shared" si="11"/>
        <v>478809.61034448998</v>
      </c>
      <c r="J42" s="69"/>
      <c r="K42" s="69" t="s">
        <v>19</v>
      </c>
      <c r="L42" s="69">
        <f>COUNT(B35,B36:B51)</f>
        <v>17</v>
      </c>
      <c r="M42" s="69"/>
      <c r="N42" s="69"/>
      <c r="O42" s="69"/>
      <c r="P42" s="69"/>
      <c r="Q42" s="69"/>
      <c r="R42" s="69"/>
      <c r="S42" s="69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</row>
    <row r="43" spans="1:35">
      <c r="A43" s="69"/>
      <c r="B43" s="69">
        <v>895</v>
      </c>
      <c r="C43" s="4">
        <v>2928</v>
      </c>
      <c r="D43" s="4">
        <f t="shared" si="7"/>
        <v>2620560</v>
      </c>
      <c r="E43" s="4">
        <f t="shared" si="8"/>
        <v>801025</v>
      </c>
      <c r="F43" s="4">
        <f t="shared" si="9"/>
        <v>8573184</v>
      </c>
      <c r="G43" s="4">
        <f t="shared" si="12"/>
        <v>2766.9265999999998</v>
      </c>
      <c r="H43" s="4">
        <f t="shared" si="10"/>
        <v>-161.07339999999999</v>
      </c>
      <c r="I43" s="4">
        <f t="shared" si="11"/>
        <v>25944.640187559999</v>
      </c>
      <c r="J43" s="69"/>
      <c r="K43" s="69" t="s">
        <v>20</v>
      </c>
      <c r="L43" s="69">
        <f>ROUND(AVERAGE(B35:B51),4)</f>
        <v>1974.0588</v>
      </c>
      <c r="M43" s="69"/>
      <c r="N43" s="69"/>
      <c r="O43" s="69"/>
      <c r="P43" s="69"/>
      <c r="Q43" s="69"/>
      <c r="R43" s="69"/>
      <c r="S43" s="69"/>
      <c r="T43" s="77"/>
      <c r="U43" s="20"/>
      <c r="V43" s="20" t="s">
        <v>55</v>
      </c>
      <c r="W43" s="20" t="s">
        <v>48</v>
      </c>
      <c r="X43" s="20" t="s">
        <v>49</v>
      </c>
      <c r="Y43" s="20" t="s">
        <v>50</v>
      </c>
      <c r="Z43" s="20" t="s">
        <v>51</v>
      </c>
      <c r="AA43" s="77"/>
      <c r="AB43" s="77"/>
      <c r="AC43" s="77"/>
      <c r="AD43" s="77"/>
      <c r="AE43" s="77"/>
      <c r="AF43" s="77"/>
      <c r="AG43" s="77"/>
      <c r="AH43" s="77"/>
      <c r="AI43" s="77"/>
    </row>
    <row r="44" spans="1:35">
      <c r="A44" s="69"/>
      <c r="B44" s="69">
        <v>823</v>
      </c>
      <c r="C44" s="4">
        <v>4159</v>
      </c>
      <c r="D44" s="4">
        <f t="shared" si="7"/>
        <v>3422857</v>
      </c>
      <c r="E44" s="4">
        <f t="shared" si="8"/>
        <v>677329</v>
      </c>
      <c r="F44" s="4">
        <f t="shared" si="9"/>
        <v>17297281</v>
      </c>
      <c r="G44" s="4">
        <f t="shared" si="12"/>
        <v>2451.3721999999998</v>
      </c>
      <c r="H44" s="4">
        <f t="shared" si="10"/>
        <v>-1707.6278</v>
      </c>
      <c r="I44" s="4">
        <f t="shared" si="11"/>
        <v>2915992.70333284</v>
      </c>
      <c r="J44" s="69"/>
      <c r="K44" s="69" t="s">
        <v>21</v>
      </c>
      <c r="L44" s="69">
        <f>ROUND(AVERAGE(C35:C51),4)</f>
        <v>7496.1175999999996</v>
      </c>
      <c r="M44" s="69"/>
      <c r="N44" s="69"/>
      <c r="O44" s="69"/>
      <c r="P44" s="69"/>
      <c r="Q44" s="69"/>
      <c r="R44" s="69"/>
      <c r="S44" s="69"/>
      <c r="T44" s="77"/>
      <c r="U44" s="76" t="s">
        <v>56</v>
      </c>
      <c r="V44" s="18" t="s">
        <v>45</v>
      </c>
      <c r="W44" s="18">
        <v>1</v>
      </c>
      <c r="X44" s="18">
        <f>V37</f>
        <v>1207710233.3576</v>
      </c>
      <c r="Y44" s="18">
        <f>X44/W44</f>
        <v>1207710233.3576</v>
      </c>
      <c r="Z44" s="18">
        <f>Y44/Y45</f>
        <v>29.764249176329578</v>
      </c>
      <c r="AA44" s="77"/>
      <c r="AB44" s="77"/>
      <c r="AC44" s="77"/>
      <c r="AD44" s="77"/>
      <c r="AE44" s="77"/>
      <c r="AF44" s="77"/>
      <c r="AG44" s="77"/>
      <c r="AH44" s="77"/>
      <c r="AI44" s="77"/>
    </row>
    <row r="45" spans="1:35">
      <c r="A45" s="69"/>
      <c r="B45" s="69">
        <v>775</v>
      </c>
      <c r="C45" s="4">
        <v>3507</v>
      </c>
      <c r="D45" s="4">
        <f t="shared" si="7"/>
        <v>2717925</v>
      </c>
      <c r="E45" s="4">
        <f t="shared" si="8"/>
        <v>600625</v>
      </c>
      <c r="F45" s="4">
        <f t="shared" si="9"/>
        <v>12299049</v>
      </c>
      <c r="G45" s="4">
        <f t="shared" si="12"/>
        <v>2241.0025999999998</v>
      </c>
      <c r="H45" s="4">
        <f t="shared" si="10"/>
        <v>-1265.9974</v>
      </c>
      <c r="I45" s="4">
        <f t="shared" si="11"/>
        <v>1602749.41680676</v>
      </c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77"/>
      <c r="U45" s="76" t="s">
        <v>57</v>
      </c>
      <c r="V45" s="18" t="s">
        <v>46</v>
      </c>
      <c r="W45" s="18">
        <f>17-2</f>
        <v>15</v>
      </c>
      <c r="X45" s="18">
        <f>V36</f>
        <v>608638013.78100002</v>
      </c>
      <c r="Y45" s="18">
        <f>X45/W45</f>
        <v>40575867.5854</v>
      </c>
      <c r="Z45" s="18"/>
      <c r="AA45" s="77"/>
      <c r="AB45" s="77"/>
      <c r="AC45" s="77"/>
      <c r="AD45" s="77"/>
      <c r="AE45" s="77"/>
      <c r="AF45" s="77"/>
      <c r="AG45" s="77"/>
      <c r="AH45" s="77"/>
      <c r="AI45" s="77"/>
    </row>
    <row r="46" spans="1:35" ht="13.5" thickBot="1">
      <c r="A46" s="69"/>
      <c r="B46" s="69">
        <v>733</v>
      </c>
      <c r="C46" s="4">
        <v>3441</v>
      </c>
      <c r="D46" s="4">
        <f t="shared" si="7"/>
        <v>2522253</v>
      </c>
      <c r="E46" s="4">
        <f t="shared" si="8"/>
        <v>537289</v>
      </c>
      <c r="F46" s="4">
        <f t="shared" si="9"/>
        <v>11840481</v>
      </c>
      <c r="G46" s="4">
        <f t="shared" si="12"/>
        <v>2056.9292</v>
      </c>
      <c r="H46" s="4">
        <f t="shared" si="10"/>
        <v>-1384.0708</v>
      </c>
      <c r="I46" s="4">
        <f t="shared" si="11"/>
        <v>1915651.97941264</v>
      </c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77"/>
      <c r="U46" s="24" t="s">
        <v>58</v>
      </c>
      <c r="V46" s="19" t="s">
        <v>47</v>
      </c>
      <c r="W46" s="19">
        <f>17-1</f>
        <v>16</v>
      </c>
      <c r="X46" s="19">
        <f>V38</f>
        <v>1816352165.7584941</v>
      </c>
      <c r="Y46" s="19"/>
      <c r="Z46" s="19"/>
      <c r="AA46" s="77"/>
      <c r="AB46" s="77"/>
      <c r="AC46" s="77"/>
      <c r="AD46" s="77"/>
      <c r="AE46" s="77"/>
      <c r="AF46" s="77"/>
      <c r="AG46" s="77"/>
      <c r="AH46" s="77"/>
      <c r="AI46" s="77"/>
    </row>
    <row r="47" spans="1:35">
      <c r="A47" s="69"/>
      <c r="B47" s="69">
        <v>612</v>
      </c>
      <c r="C47" s="4">
        <v>2835</v>
      </c>
      <c r="D47" s="4">
        <f t="shared" si="7"/>
        <v>1735020</v>
      </c>
      <c r="E47" s="4">
        <f t="shared" si="8"/>
        <v>374544</v>
      </c>
      <c r="F47" s="4">
        <f t="shared" si="9"/>
        <v>8037225</v>
      </c>
      <c r="G47" s="4">
        <f t="shared" si="12"/>
        <v>1526.6224999999999</v>
      </c>
      <c r="H47" s="4">
        <f t="shared" si="10"/>
        <v>-1308.3775000000001</v>
      </c>
      <c r="I47" s="4">
        <f t="shared" si="11"/>
        <v>1711851.6825062502</v>
      </c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</row>
    <row r="48" spans="1:35">
      <c r="A48" s="69"/>
      <c r="B48" s="69">
        <v>560</v>
      </c>
      <c r="C48" s="4">
        <v>2305</v>
      </c>
      <c r="D48" s="4">
        <f t="shared" si="7"/>
        <v>1290800</v>
      </c>
      <c r="E48" s="4">
        <f t="shared" si="8"/>
        <v>313600</v>
      </c>
      <c r="F48" s="4">
        <f t="shared" si="9"/>
        <v>5313025</v>
      </c>
      <c r="G48" s="4">
        <f t="shared" si="12"/>
        <v>1298.7221</v>
      </c>
      <c r="H48" s="4">
        <f t="shared" si="10"/>
        <v>-1006.2779</v>
      </c>
      <c r="I48" s="4">
        <f t="shared" si="11"/>
        <v>1012595.2120284101</v>
      </c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77"/>
      <c r="U48" s="73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</row>
    <row r="49" spans="1:35">
      <c r="A49" s="69"/>
      <c r="B49" s="69">
        <v>504</v>
      </c>
      <c r="C49" s="4">
        <v>2600</v>
      </c>
      <c r="D49" s="4">
        <f t="shared" si="7"/>
        <v>1310400</v>
      </c>
      <c r="E49" s="4">
        <f t="shared" si="8"/>
        <v>254016</v>
      </c>
      <c r="F49" s="4">
        <f t="shared" si="9"/>
        <v>6760000</v>
      </c>
      <c r="G49" s="4">
        <f t="shared" si="12"/>
        <v>1053.2909</v>
      </c>
      <c r="H49" s="4">
        <f t="shared" si="10"/>
        <v>-1546.7091</v>
      </c>
      <c r="I49" s="4">
        <f t="shared" si="11"/>
        <v>2392309.04002281</v>
      </c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</row>
    <row r="50" spans="1:35">
      <c r="A50" s="69"/>
      <c r="B50" s="69">
        <v>424</v>
      </c>
      <c r="C50" s="4">
        <v>3042</v>
      </c>
      <c r="D50" s="4">
        <f t="shared" si="7"/>
        <v>1289808</v>
      </c>
      <c r="E50" s="4">
        <f t="shared" si="8"/>
        <v>179776</v>
      </c>
      <c r="F50" s="4">
        <f t="shared" si="9"/>
        <v>9253764</v>
      </c>
      <c r="G50" s="4">
        <f t="shared" si="12"/>
        <v>702.67489999999998</v>
      </c>
      <c r="H50" s="4">
        <f t="shared" si="10"/>
        <v>-2339.3251</v>
      </c>
      <c r="I50" s="4">
        <f t="shared" si="11"/>
        <v>5472441.9234900102</v>
      </c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77"/>
      <c r="U50" s="14"/>
      <c r="V50" s="14"/>
      <c r="W50" s="14"/>
      <c r="X50" s="14"/>
      <c r="Y50" s="14"/>
      <c r="Z50" s="77"/>
      <c r="AA50" s="77"/>
      <c r="AB50" s="77"/>
      <c r="AC50" s="77"/>
      <c r="AD50" s="77"/>
      <c r="AE50" s="77"/>
      <c r="AF50" s="77"/>
      <c r="AG50" s="77"/>
      <c r="AH50" s="77"/>
      <c r="AI50" s="77"/>
    </row>
    <row r="51" spans="1:35">
      <c r="A51" s="69"/>
      <c r="B51" s="69">
        <v>370</v>
      </c>
      <c r="C51" s="7">
        <v>3434</v>
      </c>
      <c r="D51" s="7">
        <f t="shared" si="7"/>
        <v>1270580</v>
      </c>
      <c r="E51" s="7">
        <f t="shared" si="8"/>
        <v>136900</v>
      </c>
      <c r="F51" s="7">
        <f t="shared" si="9"/>
        <v>11792356</v>
      </c>
      <c r="G51" s="4">
        <f t="shared" si="12"/>
        <v>466.00909999999999</v>
      </c>
      <c r="H51" s="4">
        <f t="shared" si="10"/>
        <v>-2967.9908999999998</v>
      </c>
      <c r="I51" s="4">
        <f t="shared" si="11"/>
        <v>8808969.9824828096</v>
      </c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77"/>
      <c r="U51" s="29" t="s">
        <v>80</v>
      </c>
      <c r="V51" s="14">
        <v>0.05</v>
      </c>
      <c r="W51" s="14"/>
      <c r="X51" s="14"/>
      <c r="Y51" s="14"/>
      <c r="Z51" s="77"/>
      <c r="AA51" s="77"/>
      <c r="AB51" s="77"/>
      <c r="AC51" s="77"/>
      <c r="AD51" s="77"/>
      <c r="AE51" s="77"/>
      <c r="AF51" s="77"/>
      <c r="AG51" s="77"/>
      <c r="AH51" s="77"/>
      <c r="AI51" s="77"/>
    </row>
    <row r="52" spans="1:35">
      <c r="A52" s="4" t="s">
        <v>18</v>
      </c>
      <c r="B52" s="4">
        <f t="shared" ref="B52:I52" si="13">SUM(B35:B51)</f>
        <v>33559</v>
      </c>
      <c r="C52" s="4">
        <f t="shared" si="13"/>
        <v>127434</v>
      </c>
      <c r="D52" s="4">
        <f t="shared" si="13"/>
        <v>527126164</v>
      </c>
      <c r="E52" s="4">
        <f t="shared" si="13"/>
        <v>129123029</v>
      </c>
      <c r="F52" s="4">
        <f t="shared" si="13"/>
        <v>2771612410</v>
      </c>
      <c r="G52" s="4">
        <f t="shared" si="13"/>
        <v>127434.00099999997</v>
      </c>
      <c r="H52" s="4">
        <f t="shared" si="13"/>
        <v>1.0000000002037268E-3</v>
      </c>
      <c r="I52" s="4">
        <f t="shared" si="13"/>
        <v>608641930.21091545</v>
      </c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77"/>
      <c r="U52" s="14"/>
      <c r="V52" s="14"/>
      <c r="W52" s="14"/>
      <c r="X52" s="14"/>
      <c r="Y52" s="14"/>
      <c r="Z52" s="77"/>
      <c r="AA52" s="77"/>
      <c r="AB52" s="77"/>
      <c r="AC52" s="77"/>
      <c r="AD52" s="77"/>
      <c r="AE52" s="77"/>
      <c r="AF52" s="77"/>
      <c r="AG52" s="77"/>
      <c r="AH52" s="77"/>
      <c r="AI52" s="77"/>
    </row>
    <row r="53" spans="1:35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77"/>
      <c r="U53" s="14"/>
      <c r="V53" s="14"/>
      <c r="W53" s="14"/>
      <c r="X53" s="14"/>
      <c r="Y53" s="14"/>
      <c r="Z53" s="77"/>
      <c r="AA53" s="77"/>
      <c r="AB53" s="77"/>
      <c r="AC53" s="77"/>
      <c r="AD53" s="77"/>
      <c r="AE53" s="77"/>
      <c r="AF53" s="77"/>
      <c r="AG53" s="77"/>
      <c r="AH53" s="77"/>
      <c r="AI53" s="77"/>
    </row>
    <row r="54" spans="1:35">
      <c r="A54" s="69"/>
      <c r="B54" s="69"/>
      <c r="C54" s="69"/>
      <c r="D54" s="69">
        <f>D52-(L42*L43*L44)</f>
        <v>275563956.46004701</v>
      </c>
      <c r="E54" s="69"/>
      <c r="F54" s="69"/>
      <c r="G54" s="69"/>
      <c r="H54" s="69"/>
      <c r="I54" s="69">
        <f>E52-(L42*(L43^2))</f>
        <v>62875590.520423517</v>
      </c>
      <c r="J54" s="69"/>
      <c r="K54" s="69"/>
      <c r="L54" s="69"/>
      <c r="M54" s="69"/>
      <c r="N54" s="69">
        <f>F52-(L42*(L44^2))</f>
        <v>1816352165.7584941</v>
      </c>
      <c r="O54" s="69"/>
      <c r="P54" s="69"/>
      <c r="Q54" s="69"/>
      <c r="R54" s="69"/>
      <c r="S54" s="69"/>
      <c r="T54" s="77"/>
      <c r="U54" s="14"/>
      <c r="V54" s="14"/>
      <c r="W54" s="14"/>
      <c r="X54" s="14"/>
      <c r="Y54" s="14"/>
      <c r="Z54" s="77"/>
      <c r="AA54" s="77"/>
      <c r="AB54" s="77"/>
      <c r="AC54" s="77"/>
      <c r="AD54" s="77"/>
      <c r="AE54" s="77"/>
      <c r="AF54" s="77"/>
      <c r="AG54" s="77"/>
      <c r="AH54" s="77"/>
      <c r="AI54" s="77"/>
    </row>
    <row r="55" spans="1:35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77"/>
      <c r="U55" s="29" t="s">
        <v>133</v>
      </c>
      <c r="V55" s="14">
        <f>Z44</f>
        <v>29.764249176329578</v>
      </c>
      <c r="W55" s="14"/>
      <c r="X55" s="14"/>
      <c r="Y55" s="14"/>
      <c r="Z55" s="77"/>
      <c r="AA55" s="77"/>
      <c r="AB55" s="77"/>
      <c r="AC55" s="77"/>
      <c r="AD55" s="77"/>
      <c r="AE55" s="77"/>
      <c r="AF55" s="77"/>
      <c r="AG55" s="77"/>
      <c r="AH55" s="77"/>
      <c r="AI55" s="77"/>
    </row>
    <row r="56" spans="1:35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77"/>
      <c r="U56" s="14"/>
      <c r="V56" s="14"/>
      <c r="W56" s="14"/>
      <c r="X56" s="14"/>
      <c r="Y56" s="14"/>
      <c r="Z56" s="77"/>
      <c r="AA56" s="77"/>
      <c r="AB56" s="77"/>
      <c r="AC56" s="77"/>
      <c r="AD56" s="77"/>
      <c r="AE56" s="77"/>
      <c r="AF56" s="77"/>
      <c r="AG56" s="77"/>
      <c r="AH56" s="77"/>
      <c r="AI56" s="77"/>
    </row>
    <row r="57" spans="1:35">
      <c r="A57" s="69"/>
      <c r="B57" s="69"/>
      <c r="C57" s="69">
        <f>D54/(SQRT(I54)*SQRT(N54))</f>
        <v>0.81541997331674998</v>
      </c>
      <c r="D57" s="69"/>
      <c r="E57" s="69"/>
      <c r="F57" s="69"/>
      <c r="G57" s="69"/>
      <c r="H57" s="69">
        <f>C57^2</f>
        <v>0.66490973288388922</v>
      </c>
      <c r="I57" s="69"/>
      <c r="J57" s="69"/>
      <c r="K57" s="69"/>
      <c r="L57" s="69">
        <f>ROUND(D54/I54,4)</f>
        <v>4.3826999999999998</v>
      </c>
      <c r="M57" s="69"/>
      <c r="N57" s="69"/>
      <c r="O57" s="69"/>
      <c r="P57" s="69">
        <f>ROUND((L44-(L57*L43)),4)</f>
        <v>-1155.5898999999999</v>
      </c>
      <c r="Q57" s="69"/>
      <c r="R57" s="69"/>
      <c r="S57" s="69"/>
      <c r="T57" s="77"/>
      <c r="U57" s="14"/>
      <c r="V57" s="14"/>
      <c r="W57" s="14"/>
      <c r="X57" s="14"/>
      <c r="Y57" s="14"/>
      <c r="Z57" s="77"/>
      <c r="AA57" s="77"/>
      <c r="AB57" s="77"/>
      <c r="AC57" s="77"/>
      <c r="AD57" s="77"/>
      <c r="AE57" s="77"/>
      <c r="AF57" s="77"/>
      <c r="AG57" s="77"/>
      <c r="AH57" s="77"/>
      <c r="AI57" s="77"/>
    </row>
    <row r="58" spans="1:35">
      <c r="A58" s="69"/>
      <c r="B58" s="69"/>
      <c r="C58" s="12"/>
      <c r="D58" s="12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77"/>
      <c r="U58" s="14" t="str">
        <f>"f(0,05);("&amp;W44&amp;","&amp;W45&amp;")="</f>
        <v>f(0,05);(1,15)=</v>
      </c>
      <c r="V58" s="14">
        <f>ROUND(_xlfn.F.INV.RT(V51,W44,W45),4)</f>
        <v>4.5430999999999999</v>
      </c>
      <c r="W58" s="14"/>
      <c r="X58" s="14"/>
      <c r="Y58" s="14"/>
      <c r="Z58" s="77"/>
      <c r="AA58" s="77"/>
      <c r="AB58" s="77"/>
      <c r="AC58" s="77"/>
      <c r="AD58" s="77"/>
      <c r="AE58" s="77"/>
      <c r="AF58" s="77"/>
      <c r="AG58" s="77"/>
      <c r="AH58" s="77"/>
      <c r="AI58" s="77"/>
    </row>
    <row r="59" spans="1:35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77"/>
      <c r="U59" s="14"/>
      <c r="V59" s="14"/>
      <c r="W59" s="14"/>
      <c r="X59" s="14"/>
      <c r="Y59" s="14"/>
      <c r="Z59" s="77"/>
      <c r="AA59" s="77"/>
      <c r="AB59" s="77"/>
      <c r="AC59" s="77"/>
      <c r="AD59" s="77"/>
      <c r="AE59" s="77"/>
      <c r="AF59" s="77"/>
      <c r="AG59" s="77"/>
      <c r="AH59" s="77"/>
      <c r="AI59" s="77"/>
    </row>
    <row r="60" spans="1:35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 t="str">
        <f>"𝑦 ̂="&amp;P57&amp;"+"&amp;L57&amp;"x ̂"</f>
        <v>𝑦 ̂=-1155,5899+4,3827x ̂</v>
      </c>
      <c r="M60" s="69"/>
      <c r="N60" s="69"/>
      <c r="O60" s="69"/>
      <c r="P60" s="69"/>
      <c r="Q60" s="69"/>
      <c r="R60" s="69"/>
      <c r="S60" s="69"/>
      <c r="T60" s="77"/>
      <c r="U60" s="14" t="str">
        <f>IF(V58&lt;=V55, "R: Como  " &amp;ROUND(V58,4) &amp;" &lt; "&amp;ROUND(V55,4)&amp;" o modelo é significativo","R: Como  " &amp;ROUND(V58,4) &amp;" &gt; "&amp;ROUND(V55,4)&amp;" o modelo não é significativo" )</f>
        <v>R: Como  4,5431 &lt; 29,7642 o modelo é significativo</v>
      </c>
      <c r="V60" s="14"/>
      <c r="W60" s="14"/>
      <c r="X60" s="14"/>
      <c r="Y60" s="14"/>
      <c r="Z60" s="77"/>
      <c r="AA60" s="77"/>
      <c r="AB60" s="77"/>
      <c r="AC60" s="77"/>
      <c r="AD60" s="77"/>
      <c r="AE60" s="77"/>
      <c r="AF60" s="77"/>
      <c r="AG60" s="77"/>
      <c r="AH60" s="77"/>
      <c r="AI60" s="77"/>
    </row>
    <row r="61" spans="1:35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</row>
    <row r="62" spans="1:3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</row>
    <row r="63" spans="1:35">
      <c r="A63" s="69"/>
      <c r="B63" s="3"/>
      <c r="C63" s="3"/>
      <c r="D63" s="3"/>
      <c r="E63" s="3"/>
      <c r="F63" s="3"/>
      <c r="G63" s="3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</row>
    <row r="64" spans="1:35">
      <c r="A64" s="69"/>
      <c r="B64" s="2" t="s">
        <v>9</v>
      </c>
      <c r="C64" s="2" t="s">
        <v>10</v>
      </c>
      <c r="D64" s="2" t="s">
        <v>11</v>
      </c>
      <c r="E64" s="2" t="s">
        <v>12</v>
      </c>
      <c r="F64" s="2" t="s">
        <v>13</v>
      </c>
      <c r="G64" s="2"/>
      <c r="H64" s="4"/>
      <c r="I64" s="4"/>
      <c r="J64" s="69"/>
      <c r="K64" s="69"/>
      <c r="L64" s="69"/>
      <c r="M64" s="69"/>
      <c r="N64" s="69"/>
      <c r="O64" s="69"/>
      <c r="P64" s="69"/>
      <c r="Q64" s="69"/>
      <c r="R64" s="69"/>
      <c r="S64" s="69"/>
    </row>
    <row r="65" spans="1:35">
      <c r="A65" s="69"/>
      <c r="B65" s="69" t="s">
        <v>5</v>
      </c>
      <c r="C65" s="4" t="s">
        <v>1</v>
      </c>
      <c r="D65" s="4"/>
      <c r="E65" s="4"/>
      <c r="F65" s="4"/>
      <c r="G65" s="4"/>
      <c r="H65" s="4"/>
      <c r="I65" s="4"/>
      <c r="J65" s="69"/>
      <c r="K65" s="69"/>
      <c r="L65" s="80" t="s">
        <v>15</v>
      </c>
      <c r="M65" s="80"/>
      <c r="N65" s="69" t="str">
        <f>C65</f>
        <v>new_cases</v>
      </c>
      <c r="O65" s="69"/>
      <c r="P65" s="69"/>
      <c r="Q65" s="69"/>
      <c r="R65" s="69"/>
      <c r="S65" s="69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</row>
    <row r="66" spans="1:35">
      <c r="A66" s="69"/>
      <c r="B66" s="69">
        <v>45642</v>
      </c>
      <c r="C66" s="4">
        <v>44898</v>
      </c>
      <c r="D66" s="4">
        <f>B66*C66</f>
        <v>2049234516</v>
      </c>
      <c r="E66" s="4">
        <f>B66^2</f>
        <v>2083192164</v>
      </c>
      <c r="F66" s="4">
        <f>C66^2</f>
        <v>2015830404</v>
      </c>
      <c r="G66" s="4">
        <f>ROUND($P$88+$L$88*B66,4)</f>
        <v>31869.823100000001</v>
      </c>
      <c r="H66" s="4">
        <f>ROUND(G66-C66,4)</f>
        <v>-13028.1769</v>
      </c>
      <c r="I66" s="4">
        <f>H66^2</f>
        <v>169733393.33769363</v>
      </c>
      <c r="J66" s="69"/>
      <c r="K66" s="69"/>
      <c r="L66" s="80" t="s">
        <v>14</v>
      </c>
      <c r="M66" s="80"/>
      <c r="N66" s="80" t="str">
        <f>B65</f>
        <v>hosp_patients</v>
      </c>
      <c r="O66" s="80"/>
      <c r="P66" s="69"/>
      <c r="Q66" s="69"/>
      <c r="R66" s="69"/>
      <c r="S66" s="69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</row>
    <row r="67" spans="1:35">
      <c r="A67" s="69"/>
      <c r="B67" s="69">
        <v>38719</v>
      </c>
      <c r="C67" s="4">
        <v>20342</v>
      </c>
      <c r="D67" s="4">
        <f t="shared" ref="D67:D82" si="14">B67*C67</f>
        <v>787621898</v>
      </c>
      <c r="E67" s="4">
        <f t="shared" ref="E67:E82" si="15">B67^2</f>
        <v>1499160961</v>
      </c>
      <c r="F67" s="4">
        <f t="shared" ref="F67:F82" si="16">C67^2</f>
        <v>413796964</v>
      </c>
      <c r="G67" s="4">
        <f t="shared" ref="G67:G82" si="17">ROUND($P$88+$L$88*B67,4)</f>
        <v>27034.107599999999</v>
      </c>
      <c r="H67" s="4">
        <f t="shared" ref="H67:H82" si="18">ROUND(G67-C67,4)</f>
        <v>6692.1076000000003</v>
      </c>
      <c r="I67" s="4">
        <f t="shared" ref="I67:I82" si="19">H67^2</f>
        <v>44784304.129977763</v>
      </c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77"/>
      <c r="U67" s="38" t="s">
        <v>41</v>
      </c>
      <c r="V67" s="33">
        <f>ROUND(N85-X67*D85,4)</f>
        <v>335859924.27090001</v>
      </c>
      <c r="W67" s="38"/>
      <c r="X67" s="33">
        <f>L88</f>
        <v>0.69850000000000001</v>
      </c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</row>
    <row r="68" spans="1:35">
      <c r="A68" s="69"/>
      <c r="B68" s="69">
        <v>27454</v>
      </c>
      <c r="C68" s="4">
        <v>11769</v>
      </c>
      <c r="D68" s="4">
        <f t="shared" si="14"/>
        <v>323106126</v>
      </c>
      <c r="E68" s="4">
        <f t="shared" si="15"/>
        <v>753722116</v>
      </c>
      <c r="F68" s="4">
        <f t="shared" si="16"/>
        <v>138509361</v>
      </c>
      <c r="G68" s="4">
        <f t="shared" si="17"/>
        <v>19165.505099999998</v>
      </c>
      <c r="H68" s="4">
        <f t="shared" si="18"/>
        <v>7396.5051000000003</v>
      </c>
      <c r="I68" s="4">
        <f t="shared" si="19"/>
        <v>54708287.694326013</v>
      </c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77"/>
      <c r="U68" s="36" t="s">
        <v>42</v>
      </c>
      <c r="V68" s="26">
        <f>ROUND((D85^2)/I85,4)</f>
        <v>1480480861.4342999</v>
      </c>
      <c r="W68" s="77"/>
      <c r="X68" s="26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</row>
    <row r="69" spans="1:35">
      <c r="A69" s="69"/>
      <c r="B69" s="69">
        <v>18463</v>
      </c>
      <c r="C69" s="4">
        <v>7037</v>
      </c>
      <c r="D69" s="4">
        <f t="shared" si="14"/>
        <v>129924131</v>
      </c>
      <c r="E69" s="4">
        <f t="shared" si="15"/>
        <v>340882369</v>
      </c>
      <c r="F69" s="4">
        <f t="shared" si="16"/>
        <v>49519369</v>
      </c>
      <c r="G69" s="4">
        <f t="shared" si="17"/>
        <v>12885.2916</v>
      </c>
      <c r="H69" s="4">
        <f t="shared" si="18"/>
        <v>5848.2915999999996</v>
      </c>
      <c r="I69" s="4">
        <f t="shared" si="19"/>
        <v>34202514.638630554</v>
      </c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77"/>
      <c r="U69" s="36" t="s">
        <v>43</v>
      </c>
      <c r="V69" s="26">
        <f>N85</f>
        <v>1816352165.7584941</v>
      </c>
      <c r="W69" s="77"/>
      <c r="X69" s="26">
        <f>P88</f>
        <v>-11.113899999999999</v>
      </c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</row>
    <row r="70" spans="1:35">
      <c r="A70" s="69"/>
      <c r="B70" s="69">
        <v>12112</v>
      </c>
      <c r="C70" s="4">
        <v>5532</v>
      </c>
      <c r="D70" s="4">
        <f t="shared" si="14"/>
        <v>67003584</v>
      </c>
      <c r="E70" s="4">
        <f t="shared" si="15"/>
        <v>146700544</v>
      </c>
      <c r="F70" s="4">
        <f t="shared" si="16"/>
        <v>30603024</v>
      </c>
      <c r="G70" s="4">
        <f t="shared" si="17"/>
        <v>8449.1180999999997</v>
      </c>
      <c r="H70" s="4">
        <f t="shared" si="18"/>
        <v>2917.1181000000001</v>
      </c>
      <c r="I70" s="4">
        <f t="shared" si="19"/>
        <v>8509578.0093476102</v>
      </c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77"/>
      <c r="U70" s="36" t="s">
        <v>59</v>
      </c>
      <c r="V70" s="26">
        <f>ROUND(SQRT(V67/(L73-2)),4)</f>
        <v>4731.8771999999999</v>
      </c>
      <c r="W70" s="77"/>
      <c r="X70" s="26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</row>
    <row r="71" spans="1:35" ht="13.5" thickBot="1">
      <c r="A71" s="69"/>
      <c r="B71" s="69">
        <v>7986</v>
      </c>
      <c r="C71" s="4">
        <v>4163</v>
      </c>
      <c r="D71" s="4">
        <f t="shared" si="14"/>
        <v>33245718</v>
      </c>
      <c r="E71" s="4">
        <f t="shared" si="15"/>
        <v>63776196</v>
      </c>
      <c r="F71" s="4">
        <f t="shared" si="16"/>
        <v>17330569</v>
      </c>
      <c r="G71" s="4">
        <f t="shared" si="17"/>
        <v>5567.1071000000002</v>
      </c>
      <c r="H71" s="4">
        <f t="shared" si="18"/>
        <v>1404.1070999999999</v>
      </c>
      <c r="I71" s="4">
        <f t="shared" si="19"/>
        <v>1971516.7482704099</v>
      </c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77"/>
      <c r="U71" s="37"/>
      <c r="V71" s="27"/>
      <c r="W71" s="37"/>
      <c r="X71" s="27">
        <f>ROUND(X67*SQRT(I85/N85),4)</f>
        <v>0.90280000000000005</v>
      </c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</row>
    <row r="72" spans="1:35">
      <c r="A72" s="69"/>
      <c r="B72" s="69">
        <v>5100</v>
      </c>
      <c r="C72" s="4">
        <v>2565</v>
      </c>
      <c r="D72" s="4">
        <f t="shared" si="14"/>
        <v>13081500</v>
      </c>
      <c r="E72" s="4">
        <f t="shared" si="15"/>
        <v>26010000</v>
      </c>
      <c r="F72" s="4">
        <f t="shared" si="16"/>
        <v>6579225</v>
      </c>
      <c r="G72" s="4">
        <f t="shared" si="17"/>
        <v>3551.2361000000001</v>
      </c>
      <c r="H72" s="4">
        <f t="shared" si="18"/>
        <v>986.23609999999996</v>
      </c>
      <c r="I72" s="4">
        <f t="shared" si="19"/>
        <v>972661.64494320995</v>
      </c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</row>
    <row r="73" spans="1:35" ht="13.5" thickBot="1">
      <c r="A73" s="69"/>
      <c r="B73" s="69">
        <v>4841</v>
      </c>
      <c r="C73" s="4">
        <v>2877</v>
      </c>
      <c r="D73" s="4">
        <f t="shared" si="14"/>
        <v>13927557</v>
      </c>
      <c r="E73" s="4">
        <f t="shared" si="15"/>
        <v>23435281</v>
      </c>
      <c r="F73" s="4">
        <f t="shared" si="16"/>
        <v>8277129</v>
      </c>
      <c r="G73" s="4">
        <f t="shared" si="17"/>
        <v>3370.3245999999999</v>
      </c>
      <c r="H73" s="4">
        <f t="shared" si="18"/>
        <v>493.32459999999998</v>
      </c>
      <c r="I73" s="4">
        <f t="shared" si="19"/>
        <v>243369.16096515997</v>
      </c>
      <c r="J73" s="69"/>
      <c r="K73" s="69" t="s">
        <v>19</v>
      </c>
      <c r="L73" s="69">
        <f>COUNT(B66,B67:B82)</f>
        <v>17</v>
      </c>
      <c r="M73" s="69"/>
      <c r="N73" s="69"/>
      <c r="O73" s="69"/>
      <c r="P73" s="69"/>
      <c r="Q73" s="69"/>
      <c r="R73" s="69"/>
      <c r="S73" s="69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</row>
    <row r="74" spans="1:35">
      <c r="A74" s="69"/>
      <c r="B74" s="69">
        <v>3845</v>
      </c>
      <c r="C74" s="4">
        <v>2928</v>
      </c>
      <c r="D74" s="4">
        <f t="shared" si="14"/>
        <v>11258160</v>
      </c>
      <c r="E74" s="4">
        <f t="shared" si="15"/>
        <v>14784025</v>
      </c>
      <c r="F74" s="4">
        <f t="shared" si="16"/>
        <v>8573184</v>
      </c>
      <c r="G74" s="4">
        <f t="shared" si="17"/>
        <v>2674.6185999999998</v>
      </c>
      <c r="H74" s="4">
        <f t="shared" si="18"/>
        <v>-253.38140000000001</v>
      </c>
      <c r="I74" s="4">
        <f t="shared" si="19"/>
        <v>64202.133865960008</v>
      </c>
      <c r="J74" s="69"/>
      <c r="K74" s="69" t="s">
        <v>20</v>
      </c>
      <c r="L74" s="69">
        <f>ROUND(AVERAGE(B66:B82),4)</f>
        <v>10747.6471</v>
      </c>
      <c r="M74" s="69"/>
      <c r="N74" s="69"/>
      <c r="O74" s="69"/>
      <c r="P74" s="69"/>
      <c r="Q74" s="69"/>
      <c r="R74" s="69"/>
      <c r="S74" s="69"/>
      <c r="T74" s="77"/>
      <c r="U74" s="20"/>
      <c r="V74" s="20" t="s">
        <v>55</v>
      </c>
      <c r="W74" s="20" t="s">
        <v>48</v>
      </c>
      <c r="X74" s="20" t="s">
        <v>49</v>
      </c>
      <c r="Y74" s="20" t="s">
        <v>50</v>
      </c>
      <c r="Z74" s="20" t="s">
        <v>51</v>
      </c>
      <c r="AA74" s="77"/>
      <c r="AB74" s="77"/>
      <c r="AC74" s="77"/>
      <c r="AD74" s="77"/>
      <c r="AE74" s="77"/>
      <c r="AF74" s="77"/>
      <c r="AG74" s="77"/>
      <c r="AH74" s="77"/>
      <c r="AI74" s="77"/>
    </row>
    <row r="75" spans="1:35">
      <c r="A75" s="69"/>
      <c r="B75" s="69">
        <v>3441</v>
      </c>
      <c r="C75" s="4">
        <v>4159</v>
      </c>
      <c r="D75" s="4">
        <f t="shared" si="14"/>
        <v>14311119</v>
      </c>
      <c r="E75" s="4">
        <f t="shared" si="15"/>
        <v>11840481</v>
      </c>
      <c r="F75" s="4">
        <f t="shared" si="16"/>
        <v>17297281</v>
      </c>
      <c r="G75" s="4">
        <f t="shared" si="17"/>
        <v>2392.4245999999998</v>
      </c>
      <c r="H75" s="4">
        <f t="shared" si="18"/>
        <v>-1766.5753999999999</v>
      </c>
      <c r="I75" s="4">
        <f t="shared" si="19"/>
        <v>3120788.6438851599</v>
      </c>
      <c r="J75" s="69"/>
      <c r="K75" s="69" t="s">
        <v>21</v>
      </c>
      <c r="L75" s="69">
        <f>ROUND(AVERAGE(C66:C82),4)</f>
        <v>7496.1175999999996</v>
      </c>
      <c r="M75" s="69"/>
      <c r="N75" s="69"/>
      <c r="O75" s="69"/>
      <c r="P75" s="69"/>
      <c r="Q75" s="69"/>
      <c r="R75" s="69"/>
      <c r="S75" s="69"/>
      <c r="T75" s="77"/>
      <c r="U75" s="76" t="s">
        <v>56</v>
      </c>
      <c r="V75" s="18" t="s">
        <v>45</v>
      </c>
      <c r="W75" s="18">
        <v>1</v>
      </c>
      <c r="X75" s="18">
        <f>V68</f>
        <v>1480480861.4342999</v>
      </c>
      <c r="Y75" s="18">
        <f>X75/W75</f>
        <v>1480480861.4342999</v>
      </c>
      <c r="Z75" s="18">
        <f>Y75/Y76</f>
        <v>66.120460694210323</v>
      </c>
      <c r="AA75" s="77"/>
      <c r="AB75" s="77"/>
      <c r="AC75" s="77"/>
      <c r="AD75" s="77"/>
      <c r="AE75" s="77"/>
      <c r="AF75" s="77"/>
      <c r="AG75" s="77"/>
      <c r="AH75" s="77"/>
      <c r="AI75" s="77"/>
    </row>
    <row r="76" spans="1:35">
      <c r="A76" s="69"/>
      <c r="B76" s="69">
        <v>3080</v>
      </c>
      <c r="C76" s="4">
        <v>3507</v>
      </c>
      <c r="D76" s="4">
        <f t="shared" si="14"/>
        <v>10801560</v>
      </c>
      <c r="E76" s="4">
        <f t="shared" si="15"/>
        <v>9486400</v>
      </c>
      <c r="F76" s="4">
        <f t="shared" si="16"/>
        <v>12299049</v>
      </c>
      <c r="G76" s="4">
        <f t="shared" si="17"/>
        <v>2140.2660999999998</v>
      </c>
      <c r="H76" s="4">
        <f t="shared" si="18"/>
        <v>-1366.7338999999999</v>
      </c>
      <c r="I76" s="4">
        <f t="shared" si="19"/>
        <v>1867961.5534092099</v>
      </c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77"/>
      <c r="U76" s="76" t="s">
        <v>57</v>
      </c>
      <c r="V76" s="18" t="s">
        <v>46</v>
      </c>
      <c r="W76" s="18">
        <f>17-2</f>
        <v>15</v>
      </c>
      <c r="X76" s="18">
        <f>V67</f>
        <v>335859924.27090001</v>
      </c>
      <c r="Y76" s="18">
        <f>X76/W76</f>
        <v>22390661.61806</v>
      </c>
      <c r="Z76" s="18"/>
      <c r="AA76" s="77"/>
      <c r="AB76" s="77"/>
      <c r="AC76" s="77"/>
      <c r="AD76" s="77"/>
      <c r="AE76" s="77"/>
      <c r="AF76" s="77"/>
      <c r="AG76" s="77"/>
      <c r="AH76" s="77"/>
      <c r="AI76" s="77"/>
    </row>
    <row r="77" spans="1:35" ht="13.5" thickBot="1">
      <c r="A77" s="69"/>
      <c r="B77" s="69">
        <v>2749</v>
      </c>
      <c r="C77" s="4">
        <v>3441</v>
      </c>
      <c r="D77" s="4">
        <f t="shared" si="14"/>
        <v>9459309</v>
      </c>
      <c r="E77" s="4">
        <f t="shared" si="15"/>
        <v>7557001</v>
      </c>
      <c r="F77" s="4">
        <f t="shared" si="16"/>
        <v>11840481</v>
      </c>
      <c r="G77" s="4">
        <f t="shared" si="17"/>
        <v>1909.0626</v>
      </c>
      <c r="H77" s="4">
        <f t="shared" si="18"/>
        <v>-1531.9374</v>
      </c>
      <c r="I77" s="4">
        <f t="shared" si="19"/>
        <v>2346832.1975187599</v>
      </c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77"/>
      <c r="U77" s="24" t="s">
        <v>58</v>
      </c>
      <c r="V77" s="19" t="s">
        <v>47</v>
      </c>
      <c r="W77" s="19">
        <f>17-1</f>
        <v>16</v>
      </c>
      <c r="X77" s="19">
        <f>V69</f>
        <v>1816352165.7584941</v>
      </c>
      <c r="Y77" s="19"/>
      <c r="Z77" s="19"/>
      <c r="AA77" s="77"/>
      <c r="AB77" s="77"/>
      <c r="AC77" s="77"/>
      <c r="AD77" s="77"/>
      <c r="AE77" s="77"/>
      <c r="AF77" s="77"/>
      <c r="AG77" s="77"/>
      <c r="AH77" s="77"/>
      <c r="AI77" s="77"/>
    </row>
    <row r="78" spans="1:35">
      <c r="A78" s="69"/>
      <c r="B78" s="69">
        <v>2304</v>
      </c>
      <c r="C78" s="4">
        <v>2835</v>
      </c>
      <c r="D78" s="4">
        <f t="shared" si="14"/>
        <v>6531840</v>
      </c>
      <c r="E78" s="4">
        <f t="shared" si="15"/>
        <v>5308416</v>
      </c>
      <c r="F78" s="4">
        <f t="shared" si="16"/>
        <v>8037225</v>
      </c>
      <c r="G78" s="4">
        <f t="shared" si="17"/>
        <v>1598.2301</v>
      </c>
      <c r="H78" s="4">
        <f t="shared" si="18"/>
        <v>-1236.7699</v>
      </c>
      <c r="I78" s="4">
        <f t="shared" si="19"/>
        <v>1529599.7855460101</v>
      </c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</row>
    <row r="79" spans="1:35">
      <c r="A79" s="69"/>
      <c r="B79" s="69">
        <v>2006</v>
      </c>
      <c r="C79" s="4">
        <v>2305</v>
      </c>
      <c r="D79" s="4">
        <f t="shared" si="14"/>
        <v>4623830</v>
      </c>
      <c r="E79" s="4">
        <f t="shared" si="15"/>
        <v>4024036</v>
      </c>
      <c r="F79" s="4">
        <f t="shared" si="16"/>
        <v>5313025</v>
      </c>
      <c r="G79" s="4">
        <f t="shared" si="17"/>
        <v>1390.0771</v>
      </c>
      <c r="H79" s="4">
        <f t="shared" si="18"/>
        <v>-914.92290000000003</v>
      </c>
      <c r="I79" s="4">
        <f t="shared" si="19"/>
        <v>837083.91294441</v>
      </c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77"/>
      <c r="U79" s="73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</row>
    <row r="80" spans="1:35">
      <c r="A80" s="69"/>
      <c r="B80" s="69">
        <v>1730</v>
      </c>
      <c r="C80" s="4">
        <v>2600</v>
      </c>
      <c r="D80" s="4">
        <f t="shared" si="14"/>
        <v>4498000</v>
      </c>
      <c r="E80" s="4">
        <f t="shared" si="15"/>
        <v>2992900</v>
      </c>
      <c r="F80" s="4">
        <f t="shared" si="16"/>
        <v>6760000</v>
      </c>
      <c r="G80" s="4">
        <f t="shared" si="17"/>
        <v>1197.2910999999999</v>
      </c>
      <c r="H80" s="4">
        <f t="shared" si="18"/>
        <v>-1402.7089000000001</v>
      </c>
      <c r="I80" s="4">
        <f t="shared" si="19"/>
        <v>1967592.2581392103</v>
      </c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</row>
    <row r="81" spans="1:35">
      <c r="A81" s="69"/>
      <c r="B81" s="69">
        <v>1535</v>
      </c>
      <c r="C81" s="4">
        <v>3042</v>
      </c>
      <c r="D81" s="4">
        <f t="shared" si="14"/>
        <v>4669470</v>
      </c>
      <c r="E81" s="4">
        <f t="shared" si="15"/>
        <v>2356225</v>
      </c>
      <c r="F81" s="4">
        <f t="shared" si="16"/>
        <v>9253764</v>
      </c>
      <c r="G81" s="4">
        <f t="shared" si="17"/>
        <v>1061.0835999999999</v>
      </c>
      <c r="H81" s="4">
        <f t="shared" si="18"/>
        <v>-1980.9164000000001</v>
      </c>
      <c r="I81" s="4">
        <f t="shared" si="19"/>
        <v>3924029.7837889604</v>
      </c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77"/>
      <c r="U81" s="14"/>
      <c r="V81" s="14"/>
      <c r="W81" s="14"/>
      <c r="X81" s="14"/>
      <c r="Y81" s="14"/>
      <c r="Z81" s="77"/>
      <c r="AA81" s="77"/>
      <c r="AB81" s="77"/>
      <c r="AC81" s="77"/>
      <c r="AD81" s="77"/>
      <c r="AE81" s="77"/>
      <c r="AF81" s="77"/>
      <c r="AG81" s="77"/>
      <c r="AH81" s="77"/>
      <c r="AI81" s="77"/>
    </row>
    <row r="82" spans="1:35">
      <c r="A82" s="69"/>
      <c r="B82" s="69">
        <v>1703</v>
      </c>
      <c r="C82" s="7">
        <v>3434</v>
      </c>
      <c r="D82" s="7">
        <f t="shared" si="14"/>
        <v>5848102</v>
      </c>
      <c r="E82" s="7">
        <f t="shared" si="15"/>
        <v>2900209</v>
      </c>
      <c r="F82" s="7">
        <f t="shared" si="16"/>
        <v>11792356</v>
      </c>
      <c r="G82" s="4">
        <f t="shared" si="17"/>
        <v>1178.4315999999999</v>
      </c>
      <c r="H82" s="4">
        <f t="shared" si="18"/>
        <v>-2255.5684000000001</v>
      </c>
      <c r="I82" s="4">
        <f t="shared" si="19"/>
        <v>5087588.8070785608</v>
      </c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77"/>
      <c r="U82" s="29" t="s">
        <v>80</v>
      </c>
      <c r="V82" s="14">
        <v>0.05</v>
      </c>
      <c r="W82" s="14"/>
      <c r="X82" s="14"/>
      <c r="Y82" s="14"/>
      <c r="Z82" s="77"/>
      <c r="AA82" s="77"/>
      <c r="AB82" s="77"/>
      <c r="AC82" s="77"/>
      <c r="AD82" s="77"/>
      <c r="AE82" s="77"/>
      <c r="AF82" s="77"/>
      <c r="AG82" s="77"/>
      <c r="AH82" s="77"/>
      <c r="AI82" s="77"/>
    </row>
    <row r="83" spans="1:35">
      <c r="A83" s="4" t="s">
        <v>18</v>
      </c>
      <c r="B83" s="4">
        <f t="shared" ref="B83:I83" si="20">SUM(B66:B82)</f>
        <v>182710</v>
      </c>
      <c r="C83" s="4">
        <f t="shared" si="20"/>
        <v>127434</v>
      </c>
      <c r="D83" s="4">
        <f t="shared" si="20"/>
        <v>3489146420</v>
      </c>
      <c r="E83" s="4">
        <f t="shared" si="20"/>
        <v>4998129324</v>
      </c>
      <c r="F83" s="4">
        <f t="shared" si="20"/>
        <v>2771612410</v>
      </c>
      <c r="G83" s="4">
        <f t="shared" si="20"/>
        <v>127433.99869999998</v>
      </c>
      <c r="H83" s="4">
        <f t="shared" si="20"/>
        <v>-1.299999999901047E-3</v>
      </c>
      <c r="I83" s="4">
        <f t="shared" si="20"/>
        <v>335871304.44033062</v>
      </c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77"/>
      <c r="U83" s="14"/>
      <c r="V83" s="14"/>
      <c r="W83" s="14"/>
      <c r="X83" s="14"/>
      <c r="Y83" s="14"/>
      <c r="Z83" s="77"/>
      <c r="AA83" s="77"/>
      <c r="AB83" s="77"/>
      <c r="AC83" s="77"/>
      <c r="AD83" s="77"/>
      <c r="AE83" s="77"/>
      <c r="AF83" s="77"/>
      <c r="AG83" s="77"/>
      <c r="AH83" s="77"/>
      <c r="AI83" s="77"/>
    </row>
    <row r="84" spans="1:35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77"/>
      <c r="U84" s="14"/>
      <c r="V84" s="14"/>
      <c r="W84" s="14"/>
      <c r="X84" s="14"/>
      <c r="Y84" s="14"/>
      <c r="Z84" s="77"/>
      <c r="AA84" s="77"/>
      <c r="AB84" s="77"/>
      <c r="AC84" s="77"/>
      <c r="AD84" s="77"/>
      <c r="AE84" s="77"/>
      <c r="AF84" s="77"/>
      <c r="AG84" s="77"/>
      <c r="AH84" s="77"/>
      <c r="AI84" s="77"/>
    </row>
    <row r="85" spans="1:35">
      <c r="A85" s="69"/>
      <c r="B85" s="69"/>
      <c r="C85" s="69"/>
      <c r="D85" s="69">
        <f>D83-(L73*L74*L75)</f>
        <v>2119530768.0567176</v>
      </c>
      <c r="E85" s="69"/>
      <c r="F85" s="69"/>
      <c r="G85" s="69"/>
      <c r="H85" s="69"/>
      <c r="I85" s="69">
        <f>E83-(L73*(L74^2))</f>
        <v>3034426714.8356471</v>
      </c>
      <c r="J85" s="69"/>
      <c r="K85" s="69"/>
      <c r="L85" s="69"/>
      <c r="M85" s="69"/>
      <c r="N85" s="69">
        <f>F83-(L73*(L75^2))</f>
        <v>1816352165.7584941</v>
      </c>
      <c r="O85" s="69"/>
      <c r="P85" s="69"/>
      <c r="Q85" s="69"/>
      <c r="R85" s="69"/>
      <c r="S85" s="69"/>
      <c r="T85" s="77"/>
      <c r="U85" s="14"/>
      <c r="V85" s="14"/>
      <c r="W85" s="14"/>
      <c r="X85" s="14"/>
      <c r="Y85" s="14"/>
      <c r="Z85" s="77"/>
      <c r="AA85" s="77"/>
      <c r="AB85" s="77"/>
      <c r="AC85" s="77"/>
      <c r="AD85" s="77"/>
      <c r="AE85" s="77"/>
      <c r="AF85" s="77"/>
      <c r="AG85" s="77"/>
      <c r="AH85" s="77"/>
      <c r="AI85" s="77"/>
    </row>
    <row r="86" spans="1:35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77"/>
      <c r="U86" s="29" t="s">
        <v>133</v>
      </c>
      <c r="V86" s="14">
        <f>Z75</f>
        <v>66.120460694210323</v>
      </c>
      <c r="W86" s="14"/>
      <c r="X86" s="14"/>
      <c r="Y86" s="14"/>
      <c r="Z86" s="77"/>
      <c r="AA86" s="77"/>
      <c r="AB86" s="77"/>
      <c r="AC86" s="77"/>
      <c r="AD86" s="77"/>
      <c r="AE86" s="77"/>
      <c r="AF86" s="77"/>
      <c r="AG86" s="77"/>
      <c r="AH86" s="77"/>
      <c r="AI86" s="77"/>
    </row>
    <row r="87" spans="1:35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77"/>
      <c r="U87" s="14"/>
      <c r="V87" s="14"/>
      <c r="W87" s="14"/>
      <c r="X87" s="14"/>
      <c r="Y87" s="14"/>
      <c r="Z87" s="77"/>
      <c r="AA87" s="77"/>
      <c r="AB87" s="77"/>
      <c r="AC87" s="77"/>
      <c r="AD87" s="77"/>
      <c r="AE87" s="77"/>
      <c r="AF87" s="77"/>
      <c r="AG87" s="77"/>
      <c r="AH87" s="77"/>
      <c r="AI87" s="77"/>
    </row>
    <row r="88" spans="1:35">
      <c r="A88" s="69"/>
      <c r="B88" s="69"/>
      <c r="C88" s="69">
        <f>D85/(SQRT(I85)*SQRT(N85))</f>
        <v>0.90282041443617089</v>
      </c>
      <c r="D88" s="69"/>
      <c r="E88" s="69"/>
      <c r="F88" s="69"/>
      <c r="G88" s="69"/>
      <c r="H88" s="69">
        <f>C88^2</f>
        <v>0.81508470072269934</v>
      </c>
      <c r="I88" s="69"/>
      <c r="J88" s="69"/>
      <c r="K88" s="69"/>
      <c r="L88" s="69">
        <f>ROUND(D85/I85,4)</f>
        <v>0.69850000000000001</v>
      </c>
      <c r="M88" s="69"/>
      <c r="N88" s="69"/>
      <c r="O88" s="69"/>
      <c r="P88" s="69">
        <f>ROUND((L75-(L88*L74)),4)</f>
        <v>-11.113899999999999</v>
      </c>
      <c r="Q88" s="69"/>
      <c r="R88" s="69"/>
      <c r="S88" s="69"/>
      <c r="T88" s="77"/>
      <c r="U88" s="14"/>
      <c r="V88" s="14"/>
      <c r="W88" s="14"/>
      <c r="X88" s="14"/>
      <c r="Y88" s="14"/>
      <c r="Z88" s="77"/>
      <c r="AA88" s="77"/>
      <c r="AB88" s="77"/>
      <c r="AC88" s="77"/>
      <c r="AD88" s="77"/>
      <c r="AE88" s="77"/>
      <c r="AF88" s="77"/>
      <c r="AG88" s="77"/>
      <c r="AH88" s="77"/>
      <c r="AI88" s="77"/>
    </row>
    <row r="89" spans="1:35">
      <c r="A89" s="69"/>
      <c r="B89" s="69"/>
      <c r="C89" s="12"/>
      <c r="D89" s="12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77"/>
      <c r="U89" s="14" t="str">
        <f>"f(0,05);("&amp;W75&amp;","&amp;W76&amp;")="</f>
        <v>f(0,05);(1,15)=</v>
      </c>
      <c r="V89" s="14">
        <f>ROUND(_xlfn.F.INV.RT(V82,W75,W76),4)</f>
        <v>4.5430999999999999</v>
      </c>
      <c r="W89" s="14"/>
      <c r="X89" s="14"/>
      <c r="Y89" s="14"/>
      <c r="Z89" s="77"/>
      <c r="AA89" s="77"/>
      <c r="AB89" s="77"/>
      <c r="AC89" s="77"/>
      <c r="AD89" s="77"/>
      <c r="AE89" s="77"/>
      <c r="AF89" s="77"/>
      <c r="AG89" s="77"/>
      <c r="AH89" s="77"/>
      <c r="AI89" s="77"/>
    </row>
    <row r="90" spans="1:35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77"/>
      <c r="U90" s="14"/>
      <c r="V90" s="14"/>
      <c r="W90" s="14"/>
      <c r="X90" s="14"/>
      <c r="Y90" s="14"/>
      <c r="Z90" s="77"/>
      <c r="AA90" s="77"/>
      <c r="AB90" s="77"/>
      <c r="AC90" s="77"/>
      <c r="AD90" s="77"/>
      <c r="AE90" s="77"/>
      <c r="AF90" s="77"/>
      <c r="AG90" s="77"/>
      <c r="AH90" s="77"/>
      <c r="AI90" s="77"/>
    </row>
    <row r="91" spans="1:35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 t="str">
        <f>"𝑦 ̂="&amp;P88&amp;"+"&amp;L88&amp;"x ̂"</f>
        <v>𝑦 ̂=-11,1139+0,6985x ̂</v>
      </c>
      <c r="M91" s="69"/>
      <c r="N91" s="69"/>
      <c r="O91" s="69"/>
      <c r="P91" s="69"/>
      <c r="Q91" s="69"/>
      <c r="R91" s="69"/>
      <c r="S91" s="69"/>
      <c r="T91" s="77"/>
      <c r="U91" s="14" t="str">
        <f>IF(V89&lt;=V86, "R: Como  " &amp;ROUND(V89,4) &amp;" &lt; "&amp;ROUND(V86,4)&amp;" o modelo é significativo","R: Como  " &amp;ROUND(V89,4) &amp;" &gt; "&amp;ROUND(V86,4)&amp;" o modelo não é significativo" )</f>
        <v>R: Como  4,5431 &lt; 66,1205 o modelo é significativo</v>
      </c>
      <c r="V91" s="14"/>
      <c r="W91" s="14"/>
      <c r="X91" s="14"/>
      <c r="Y91" s="14"/>
      <c r="Z91" s="77"/>
      <c r="AA91" s="77"/>
      <c r="AB91" s="77"/>
      <c r="AC91" s="77"/>
      <c r="AD91" s="77"/>
      <c r="AE91" s="77"/>
      <c r="AF91" s="77"/>
      <c r="AG91" s="77"/>
      <c r="AH91" s="77"/>
      <c r="AI91" s="77"/>
    </row>
    <row r="92" spans="1:35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</row>
    <row r="93" spans="1:3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spans="1:35">
      <c r="A94" s="69"/>
      <c r="B94" s="3"/>
      <c r="C94" s="3"/>
      <c r="D94" s="3"/>
      <c r="E94" s="3"/>
      <c r="F94" s="3"/>
      <c r="G94" s="3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</row>
    <row r="95" spans="1:35">
      <c r="A95" s="69"/>
      <c r="B95" s="2" t="s">
        <v>9</v>
      </c>
      <c r="C95" s="2" t="s">
        <v>10</v>
      </c>
      <c r="D95" s="2" t="s">
        <v>11</v>
      </c>
      <c r="E95" s="2" t="s">
        <v>12</v>
      </c>
      <c r="F95" s="2" t="s">
        <v>13</v>
      </c>
      <c r="G95" s="2"/>
      <c r="H95" s="4"/>
      <c r="I95" s="4"/>
      <c r="J95" s="69"/>
      <c r="K95" s="69"/>
      <c r="L95" s="69"/>
      <c r="M95" s="69"/>
      <c r="N95" s="69"/>
      <c r="O95" s="69"/>
      <c r="P95" s="69"/>
      <c r="Q95" s="69"/>
      <c r="R95" s="69"/>
      <c r="S95" s="69"/>
    </row>
    <row r="96" spans="1:35">
      <c r="A96" s="69"/>
      <c r="B96" s="69" t="s">
        <v>6</v>
      </c>
      <c r="C96" s="4" t="s">
        <v>1</v>
      </c>
      <c r="D96" s="4"/>
      <c r="E96" s="4"/>
      <c r="F96" s="4"/>
      <c r="G96" s="4"/>
      <c r="H96" s="4"/>
      <c r="I96" s="4"/>
      <c r="J96" s="69"/>
      <c r="K96" s="69"/>
      <c r="L96" s="80" t="s">
        <v>15</v>
      </c>
      <c r="M96" s="80"/>
      <c r="N96" s="69" t="str">
        <f>C96</f>
        <v>new_cases</v>
      </c>
      <c r="O96" s="69"/>
      <c r="P96" s="69"/>
      <c r="Q96" s="69"/>
      <c r="R96" s="69"/>
      <c r="S96" s="69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</row>
    <row r="97" spans="1:35">
      <c r="A97" s="69"/>
      <c r="B97" s="69">
        <v>304215</v>
      </c>
      <c r="C97" s="4">
        <v>44898</v>
      </c>
      <c r="D97" s="4">
        <f>B97*C97</f>
        <v>13658645070</v>
      </c>
      <c r="E97" s="4">
        <f>B97^2</f>
        <v>92546766225</v>
      </c>
      <c r="F97" s="4">
        <f>C97^2</f>
        <v>2015830404</v>
      </c>
      <c r="G97" s="4">
        <f>ROUND($P$119+$L$119*B97,4)</f>
        <v>7794.8490000000002</v>
      </c>
      <c r="H97" s="4">
        <f>ROUND(G97-C97,4)</f>
        <v>-37103.150999999998</v>
      </c>
      <c r="I97" s="4">
        <f>H97^2</f>
        <v>1376643814.1288009</v>
      </c>
      <c r="J97" s="69"/>
      <c r="K97" s="69"/>
      <c r="L97" s="80" t="s">
        <v>14</v>
      </c>
      <c r="M97" s="80"/>
      <c r="N97" s="80" t="str">
        <f>B96</f>
        <v>new_tests</v>
      </c>
      <c r="O97" s="80"/>
      <c r="P97" s="69"/>
      <c r="Q97" s="69"/>
      <c r="R97" s="69"/>
      <c r="S97" s="69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</row>
    <row r="98" spans="1:35">
      <c r="A98" s="69"/>
      <c r="B98" s="69">
        <v>220920</v>
      </c>
      <c r="C98" s="4">
        <v>20342</v>
      </c>
      <c r="D98" s="4">
        <f t="shared" ref="D98:D113" si="21">B98*C98</f>
        <v>4493954640</v>
      </c>
      <c r="E98" s="4">
        <f t="shared" ref="E98:E113" si="22">B98^2</f>
        <v>48805646400</v>
      </c>
      <c r="F98" s="4">
        <f t="shared" ref="F98:F113" si="23">C98^2</f>
        <v>413796964</v>
      </c>
      <c r="G98" s="4">
        <f t="shared" ref="G98:G113" si="24">ROUND($P$119+$L$119*B98,4)</f>
        <v>7311.7380000000003</v>
      </c>
      <c r="H98" s="4">
        <f t="shared" ref="H98:H113" si="25">ROUND(G98-C98,4)</f>
        <v>-13030.262000000001</v>
      </c>
      <c r="I98" s="4">
        <f t="shared" ref="I98:I113" si="26">H98^2</f>
        <v>169787727.78864402</v>
      </c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77"/>
      <c r="U98" s="38" t="s">
        <v>41</v>
      </c>
      <c r="V98" s="33">
        <f>ROUND(N116-X98*D116,4)</f>
        <v>1811326962.1197</v>
      </c>
      <c r="W98" s="38"/>
      <c r="X98" s="33">
        <f>L119</f>
        <v>5.7999999999999996E-3</v>
      </c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</row>
    <row r="99" spans="1:35">
      <c r="A99" s="69"/>
      <c r="B99" s="69">
        <v>200146</v>
      </c>
      <c r="C99" s="4">
        <v>11769</v>
      </c>
      <c r="D99" s="4">
        <f t="shared" si="21"/>
        <v>2355518274</v>
      </c>
      <c r="E99" s="4">
        <f t="shared" si="22"/>
        <v>40058421316</v>
      </c>
      <c r="F99" s="4">
        <f t="shared" si="23"/>
        <v>138509361</v>
      </c>
      <c r="G99" s="4">
        <f t="shared" si="24"/>
        <v>7191.2488000000003</v>
      </c>
      <c r="H99" s="4">
        <f t="shared" si="25"/>
        <v>-4577.7511999999997</v>
      </c>
      <c r="I99" s="4">
        <f t="shared" si="26"/>
        <v>20955806.049101438</v>
      </c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77"/>
      <c r="U99" s="36" t="s">
        <v>42</v>
      </c>
      <c r="V99" s="26">
        <f>ROUND((D116^2)/I116,4)</f>
        <v>4999643.9632000001</v>
      </c>
      <c r="W99" s="77"/>
      <c r="X99" s="26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</row>
    <row r="100" spans="1:35">
      <c r="A100" s="69"/>
      <c r="B100" s="69">
        <v>189811</v>
      </c>
      <c r="C100" s="4">
        <v>7037</v>
      </c>
      <c r="D100" s="4">
        <f t="shared" si="21"/>
        <v>1335700007</v>
      </c>
      <c r="E100" s="4">
        <f t="shared" si="22"/>
        <v>36028215721</v>
      </c>
      <c r="F100" s="4">
        <f t="shared" si="23"/>
        <v>49519369</v>
      </c>
      <c r="G100" s="4">
        <f t="shared" si="24"/>
        <v>7131.3058000000001</v>
      </c>
      <c r="H100" s="4">
        <f t="shared" si="25"/>
        <v>94.305800000000005</v>
      </c>
      <c r="I100" s="4">
        <f t="shared" si="26"/>
        <v>8893.5839136400009</v>
      </c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77"/>
      <c r="U100" s="36" t="s">
        <v>43</v>
      </c>
      <c r="V100" s="26">
        <f>N116</f>
        <v>1816352165.7584941</v>
      </c>
      <c r="W100" s="77"/>
      <c r="X100" s="26">
        <f>P119</f>
        <v>6030.402</v>
      </c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</row>
    <row r="101" spans="1:35">
      <c r="A101" s="69"/>
      <c r="B101" s="69">
        <v>171766</v>
      </c>
      <c r="C101" s="4">
        <v>5532</v>
      </c>
      <c r="D101" s="4">
        <f t="shared" si="21"/>
        <v>950209512</v>
      </c>
      <c r="E101" s="4">
        <f t="shared" si="22"/>
        <v>29503558756</v>
      </c>
      <c r="F101" s="4">
        <f t="shared" si="23"/>
        <v>30603024</v>
      </c>
      <c r="G101" s="4">
        <f t="shared" si="24"/>
        <v>7026.6448</v>
      </c>
      <c r="H101" s="4">
        <f t="shared" si="25"/>
        <v>1494.6448</v>
      </c>
      <c r="I101" s="4">
        <f t="shared" si="26"/>
        <v>2233963.0781670399</v>
      </c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77"/>
      <c r="U101" s="36" t="s">
        <v>59</v>
      </c>
      <c r="V101" s="26">
        <f>ROUND(SQRT(V98/(L104-2)),4)</f>
        <v>10988.8639</v>
      </c>
      <c r="W101" s="77"/>
      <c r="X101" s="26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</row>
    <row r="102" spans="1:35" ht="13.5" thickBot="1">
      <c r="A102" s="69"/>
      <c r="B102" s="69">
        <v>158762</v>
      </c>
      <c r="C102" s="4">
        <v>4163</v>
      </c>
      <c r="D102" s="4">
        <f t="shared" si="21"/>
        <v>660926206</v>
      </c>
      <c r="E102" s="4">
        <f t="shared" si="22"/>
        <v>25205372644</v>
      </c>
      <c r="F102" s="4">
        <f t="shared" si="23"/>
        <v>17330569</v>
      </c>
      <c r="G102" s="4">
        <f t="shared" si="24"/>
        <v>6951.2215999999999</v>
      </c>
      <c r="H102" s="4">
        <f t="shared" si="25"/>
        <v>2788.2215999999999</v>
      </c>
      <c r="I102" s="4">
        <f t="shared" si="26"/>
        <v>7774179.6907065595</v>
      </c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77"/>
      <c r="U102" s="37"/>
      <c r="V102" s="27"/>
      <c r="W102" s="37"/>
      <c r="X102" s="27">
        <f>ROUND(X98*SQRT(I116/N116),4)</f>
        <v>5.2699999999999997E-2</v>
      </c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</row>
    <row r="103" spans="1:35">
      <c r="A103" s="69"/>
      <c r="B103" s="69">
        <v>108746</v>
      </c>
      <c r="C103" s="4">
        <v>2565</v>
      </c>
      <c r="D103" s="4">
        <f t="shared" si="21"/>
        <v>278933490</v>
      </c>
      <c r="E103" s="4">
        <f t="shared" si="22"/>
        <v>11825692516</v>
      </c>
      <c r="F103" s="4">
        <f t="shared" si="23"/>
        <v>6579225</v>
      </c>
      <c r="G103" s="4">
        <f t="shared" si="24"/>
        <v>6661.1288000000004</v>
      </c>
      <c r="H103" s="4">
        <f t="shared" si="25"/>
        <v>4096.1288000000004</v>
      </c>
      <c r="I103" s="4">
        <f t="shared" si="26"/>
        <v>16778271.146189444</v>
      </c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</row>
    <row r="104" spans="1:35" ht="13.5" thickBot="1">
      <c r="A104" s="69"/>
      <c r="B104" s="69">
        <v>181367</v>
      </c>
      <c r="C104" s="4">
        <v>2877</v>
      </c>
      <c r="D104" s="4">
        <f t="shared" si="21"/>
        <v>521792859</v>
      </c>
      <c r="E104" s="4">
        <f t="shared" si="22"/>
        <v>32893988689</v>
      </c>
      <c r="F104" s="4">
        <f t="shared" si="23"/>
        <v>8277129</v>
      </c>
      <c r="G104" s="4">
        <f t="shared" si="24"/>
        <v>7082.3306000000002</v>
      </c>
      <c r="H104" s="4">
        <f t="shared" si="25"/>
        <v>4205.3306000000002</v>
      </c>
      <c r="I104" s="4">
        <f t="shared" si="26"/>
        <v>17684805.455296364</v>
      </c>
      <c r="J104" s="69"/>
      <c r="K104" s="69" t="s">
        <v>19</v>
      </c>
      <c r="L104" s="69">
        <f>COUNT(B97,B98:B113)</f>
        <v>17</v>
      </c>
      <c r="M104" s="69"/>
      <c r="N104" s="69"/>
      <c r="O104" s="69"/>
      <c r="P104" s="69"/>
      <c r="Q104" s="69"/>
      <c r="R104" s="69"/>
      <c r="S104" s="69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</row>
    <row r="105" spans="1:35">
      <c r="A105" s="69"/>
      <c r="B105" s="69">
        <v>167518</v>
      </c>
      <c r="C105" s="4">
        <v>2928</v>
      </c>
      <c r="D105" s="4">
        <f t="shared" si="21"/>
        <v>490492704</v>
      </c>
      <c r="E105" s="4">
        <f t="shared" si="22"/>
        <v>28062280324</v>
      </c>
      <c r="F105" s="4">
        <f t="shared" si="23"/>
        <v>8573184</v>
      </c>
      <c r="G105" s="4">
        <f t="shared" si="24"/>
        <v>7002.0064000000002</v>
      </c>
      <c r="H105" s="4">
        <f t="shared" si="25"/>
        <v>4074.0064000000002</v>
      </c>
      <c r="I105" s="4">
        <f t="shared" si="26"/>
        <v>16597528.147240961</v>
      </c>
      <c r="J105" s="69"/>
      <c r="K105" s="69" t="s">
        <v>20</v>
      </c>
      <c r="L105" s="69">
        <f>ROUND(AVERAGE(B97:B113),4)</f>
        <v>252709.5882</v>
      </c>
      <c r="M105" s="69"/>
      <c r="N105" s="69"/>
      <c r="O105" s="69"/>
      <c r="P105" s="69"/>
      <c r="Q105" s="69"/>
      <c r="R105" s="69"/>
      <c r="S105" s="69"/>
      <c r="T105" s="77"/>
      <c r="U105" s="20"/>
      <c r="V105" s="20" t="s">
        <v>55</v>
      </c>
      <c r="W105" s="20" t="s">
        <v>48</v>
      </c>
      <c r="X105" s="20" t="s">
        <v>49</v>
      </c>
      <c r="Y105" s="20" t="s">
        <v>50</v>
      </c>
      <c r="Z105" s="20" t="s">
        <v>51</v>
      </c>
      <c r="AA105" s="77"/>
      <c r="AB105" s="77"/>
      <c r="AC105" s="77"/>
      <c r="AD105" s="77"/>
      <c r="AE105" s="77"/>
      <c r="AF105" s="77"/>
      <c r="AG105" s="77"/>
      <c r="AH105" s="77"/>
      <c r="AI105" s="77"/>
    </row>
    <row r="106" spans="1:35">
      <c r="A106" s="69"/>
      <c r="B106" s="69">
        <v>349353</v>
      </c>
      <c r="C106" s="4">
        <v>4159</v>
      </c>
      <c r="D106" s="4">
        <f t="shared" si="21"/>
        <v>1452959127</v>
      </c>
      <c r="E106" s="4">
        <f t="shared" si="22"/>
        <v>122047518609</v>
      </c>
      <c r="F106" s="4">
        <f t="shared" si="23"/>
        <v>17297281</v>
      </c>
      <c r="G106" s="4">
        <f t="shared" si="24"/>
        <v>8056.6494000000002</v>
      </c>
      <c r="H106" s="4">
        <f t="shared" si="25"/>
        <v>3897.6493999999998</v>
      </c>
      <c r="I106" s="4">
        <f t="shared" si="26"/>
        <v>15191670.845320359</v>
      </c>
      <c r="J106" s="69"/>
      <c r="K106" s="69" t="s">
        <v>21</v>
      </c>
      <c r="L106" s="69">
        <f>ROUND(AVERAGE(C97:C113),4)</f>
        <v>7496.1175999999996</v>
      </c>
      <c r="M106" s="69"/>
      <c r="N106" s="69"/>
      <c r="O106" s="69"/>
      <c r="P106" s="69"/>
      <c r="Q106" s="69"/>
      <c r="R106" s="69"/>
      <c r="S106" s="69"/>
      <c r="T106" s="77"/>
      <c r="U106" s="76" t="s">
        <v>56</v>
      </c>
      <c r="V106" s="18" t="s">
        <v>45</v>
      </c>
      <c r="W106" s="18">
        <v>1</v>
      </c>
      <c r="X106" s="18">
        <f>V99</f>
        <v>4999643.9632000001</v>
      </c>
      <c r="Y106" s="18">
        <f>X106/W106</f>
        <v>4999643.9632000001</v>
      </c>
      <c r="Z106" s="18">
        <f>Y106/Y107</f>
        <v>4.1403159681473366E-2</v>
      </c>
      <c r="AA106" s="77"/>
      <c r="AB106" s="77"/>
      <c r="AC106" s="77"/>
      <c r="AD106" s="77"/>
      <c r="AE106" s="77"/>
      <c r="AF106" s="77"/>
      <c r="AG106" s="77"/>
      <c r="AH106" s="77"/>
      <c r="AI106" s="77"/>
    </row>
    <row r="107" spans="1:35">
      <c r="A107" s="69"/>
      <c r="B107" s="69">
        <v>256937</v>
      </c>
      <c r="C107" s="4">
        <v>3507</v>
      </c>
      <c r="D107" s="4">
        <f t="shared" si="21"/>
        <v>901078059</v>
      </c>
      <c r="E107" s="4">
        <f t="shared" si="22"/>
        <v>66016621969</v>
      </c>
      <c r="F107" s="4">
        <f t="shared" si="23"/>
        <v>12299049</v>
      </c>
      <c r="G107" s="4">
        <f t="shared" si="24"/>
        <v>7520.6365999999998</v>
      </c>
      <c r="H107" s="4">
        <f t="shared" si="25"/>
        <v>4013.6365999999998</v>
      </c>
      <c r="I107" s="4">
        <f t="shared" si="26"/>
        <v>16109278.756859558</v>
      </c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77"/>
      <c r="U107" s="76" t="s">
        <v>57</v>
      </c>
      <c r="V107" s="18" t="s">
        <v>46</v>
      </c>
      <c r="W107" s="18">
        <f>17-2</f>
        <v>15</v>
      </c>
      <c r="X107" s="18">
        <f>V98</f>
        <v>1811326962.1197</v>
      </c>
      <c r="Y107" s="18">
        <f>X107/W107</f>
        <v>120755130.80798</v>
      </c>
      <c r="Z107" s="18"/>
      <c r="AA107" s="77"/>
      <c r="AB107" s="77"/>
      <c r="AC107" s="77"/>
      <c r="AD107" s="77"/>
      <c r="AE107" s="77"/>
      <c r="AF107" s="77"/>
      <c r="AG107" s="77"/>
      <c r="AH107" s="77"/>
      <c r="AI107" s="77"/>
    </row>
    <row r="108" spans="1:35" ht="13.5" thickBot="1">
      <c r="A108" s="69"/>
      <c r="B108" s="69">
        <v>516874</v>
      </c>
      <c r="C108" s="4">
        <v>3441</v>
      </c>
      <c r="D108" s="4">
        <f t="shared" si="21"/>
        <v>1778563434</v>
      </c>
      <c r="E108" s="4">
        <f t="shared" si="22"/>
        <v>267158731876</v>
      </c>
      <c r="F108" s="4">
        <f t="shared" si="23"/>
        <v>11840481</v>
      </c>
      <c r="G108" s="4">
        <f t="shared" si="24"/>
        <v>9028.2711999999992</v>
      </c>
      <c r="H108" s="4">
        <f t="shared" si="25"/>
        <v>5587.2712000000001</v>
      </c>
      <c r="I108" s="4">
        <f t="shared" si="26"/>
        <v>31217599.462349441</v>
      </c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77"/>
      <c r="U108" s="24" t="s">
        <v>58</v>
      </c>
      <c r="V108" s="19" t="s">
        <v>47</v>
      </c>
      <c r="W108" s="19">
        <f>17-1</f>
        <v>16</v>
      </c>
      <c r="X108" s="19">
        <f>V100</f>
        <v>1816352165.7584941</v>
      </c>
      <c r="Y108" s="19"/>
      <c r="Z108" s="19"/>
      <c r="AA108" s="77"/>
      <c r="AB108" s="77"/>
      <c r="AC108" s="77"/>
      <c r="AD108" s="77"/>
      <c r="AE108" s="77"/>
      <c r="AF108" s="77"/>
      <c r="AG108" s="77"/>
      <c r="AH108" s="77"/>
      <c r="AI108" s="77"/>
    </row>
    <row r="109" spans="1:35">
      <c r="A109" s="69"/>
      <c r="B109" s="69">
        <v>331125</v>
      </c>
      <c r="C109" s="4">
        <v>2835</v>
      </c>
      <c r="D109" s="4">
        <f t="shared" si="21"/>
        <v>938739375</v>
      </c>
      <c r="E109" s="4">
        <f t="shared" si="22"/>
        <v>109643765625</v>
      </c>
      <c r="F109" s="4">
        <f t="shared" si="23"/>
        <v>8037225</v>
      </c>
      <c r="G109" s="4">
        <f t="shared" si="24"/>
        <v>7950.9269999999997</v>
      </c>
      <c r="H109" s="4">
        <f t="shared" si="25"/>
        <v>5115.9269999999997</v>
      </c>
      <c r="I109" s="4">
        <f t="shared" si="26"/>
        <v>26172709.069328997</v>
      </c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</row>
    <row r="110" spans="1:35">
      <c r="A110" s="69"/>
      <c r="B110" s="69">
        <v>297696</v>
      </c>
      <c r="C110" s="4">
        <v>2305</v>
      </c>
      <c r="D110" s="4">
        <f t="shared" si="21"/>
        <v>686189280</v>
      </c>
      <c r="E110" s="4">
        <f t="shared" si="22"/>
        <v>88622908416</v>
      </c>
      <c r="F110" s="4">
        <f t="shared" si="23"/>
        <v>5313025</v>
      </c>
      <c r="G110" s="4">
        <f t="shared" si="24"/>
        <v>7757.0388000000003</v>
      </c>
      <c r="H110" s="4">
        <f t="shared" si="25"/>
        <v>5452.0388000000003</v>
      </c>
      <c r="I110" s="4">
        <f t="shared" si="26"/>
        <v>29724727.076705445</v>
      </c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77"/>
      <c r="U110" s="73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</row>
    <row r="111" spans="1:35">
      <c r="A111" s="69"/>
      <c r="B111" s="69">
        <v>258409</v>
      </c>
      <c r="C111" s="4">
        <v>2600</v>
      </c>
      <c r="D111" s="4">
        <f t="shared" si="21"/>
        <v>671863400</v>
      </c>
      <c r="E111" s="4">
        <f t="shared" si="22"/>
        <v>66775211281</v>
      </c>
      <c r="F111" s="4">
        <f t="shared" si="23"/>
        <v>6760000</v>
      </c>
      <c r="G111" s="4">
        <f t="shared" si="24"/>
        <v>7529.1742000000004</v>
      </c>
      <c r="H111" s="4">
        <f t="shared" si="25"/>
        <v>4929.1742000000004</v>
      </c>
      <c r="I111" s="4">
        <f t="shared" si="26"/>
        <v>24296758.293945644</v>
      </c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</row>
    <row r="112" spans="1:35">
      <c r="A112" s="69"/>
      <c r="B112" s="69">
        <v>268829</v>
      </c>
      <c r="C112" s="4">
        <v>3042</v>
      </c>
      <c r="D112" s="4">
        <f t="shared" si="21"/>
        <v>817777818</v>
      </c>
      <c r="E112" s="4">
        <f t="shared" si="22"/>
        <v>72269031241</v>
      </c>
      <c r="F112" s="4">
        <f t="shared" si="23"/>
        <v>9253764</v>
      </c>
      <c r="G112" s="4">
        <f t="shared" si="24"/>
        <v>7589.6102000000001</v>
      </c>
      <c r="H112" s="4">
        <f t="shared" si="25"/>
        <v>4547.6102000000001</v>
      </c>
      <c r="I112" s="4">
        <f t="shared" si="26"/>
        <v>20680758.531144042</v>
      </c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77"/>
      <c r="U112" s="14"/>
      <c r="V112" s="14"/>
      <c r="W112" s="14"/>
      <c r="X112" s="14"/>
      <c r="Y112" s="14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</row>
    <row r="113" spans="1:35">
      <c r="A113" s="69"/>
      <c r="B113" s="69">
        <v>313589</v>
      </c>
      <c r="C113" s="7">
        <v>3434</v>
      </c>
      <c r="D113" s="7">
        <f t="shared" si="21"/>
        <v>1076864626</v>
      </c>
      <c r="E113" s="7">
        <f t="shared" si="22"/>
        <v>98338060921</v>
      </c>
      <c r="F113" s="7">
        <f t="shared" si="23"/>
        <v>11792356</v>
      </c>
      <c r="G113" s="4">
        <f t="shared" si="24"/>
        <v>7849.2182000000003</v>
      </c>
      <c r="H113" s="4">
        <f t="shared" si="25"/>
        <v>4415.2182000000003</v>
      </c>
      <c r="I113" s="4">
        <f t="shared" si="26"/>
        <v>19494151.753611241</v>
      </c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77"/>
      <c r="U113" s="29" t="s">
        <v>80</v>
      </c>
      <c r="V113" s="14">
        <v>0.05</v>
      </c>
      <c r="W113" s="14"/>
      <c r="X113" s="14"/>
      <c r="Y113" s="14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</row>
    <row r="114" spans="1:35">
      <c r="A114" s="4" t="s">
        <v>18</v>
      </c>
      <c r="B114" s="4">
        <f t="shared" ref="B114:I114" si="27">SUM(B97:B113)</f>
        <v>4296063</v>
      </c>
      <c r="C114" s="4">
        <f t="shared" si="27"/>
        <v>127434</v>
      </c>
      <c r="D114" s="4">
        <f t="shared" si="27"/>
        <v>33070207881</v>
      </c>
      <c r="E114" s="4">
        <f t="shared" si="27"/>
        <v>1235801792529</v>
      </c>
      <c r="F114" s="4">
        <f t="shared" si="27"/>
        <v>2771612410</v>
      </c>
      <c r="G114" s="4">
        <f t="shared" si="27"/>
        <v>127433.99939999999</v>
      </c>
      <c r="H114" s="4">
        <f t="shared" si="27"/>
        <v>-6.0000000121362973E-4</v>
      </c>
      <c r="I114" s="4">
        <f t="shared" si="27"/>
        <v>1811352642.8573248</v>
      </c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77"/>
      <c r="U114" s="14"/>
      <c r="V114" s="14"/>
      <c r="W114" s="14"/>
      <c r="X114" s="14"/>
      <c r="Y114" s="14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</row>
    <row r="115" spans="1:35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77"/>
      <c r="U115" s="14"/>
      <c r="V115" s="14"/>
      <c r="W115" s="14"/>
      <c r="X115" s="14"/>
      <c r="Y115" s="14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</row>
    <row r="116" spans="1:35">
      <c r="A116" s="69"/>
      <c r="B116" s="69"/>
      <c r="C116" s="69"/>
      <c r="D116" s="69">
        <f>D114-(L104*L105*L106)</f>
        <v>866414420.48887253</v>
      </c>
      <c r="E116" s="69"/>
      <c r="F116" s="69"/>
      <c r="G116" s="69"/>
      <c r="H116" s="69"/>
      <c r="I116" s="69">
        <f>E114-(L104*(L105^2))</f>
        <v>150145481069.36914</v>
      </c>
      <c r="J116" s="69"/>
      <c r="K116" s="69"/>
      <c r="L116" s="69"/>
      <c r="M116" s="69"/>
      <c r="N116" s="69">
        <f>F114-(L104*(L106^2))</f>
        <v>1816352165.7584941</v>
      </c>
      <c r="O116" s="69"/>
      <c r="P116" s="69"/>
      <c r="Q116" s="69"/>
      <c r="R116" s="69"/>
      <c r="S116" s="69"/>
      <c r="T116" s="77"/>
      <c r="U116" s="14"/>
      <c r="V116" s="14"/>
      <c r="W116" s="14"/>
      <c r="X116" s="14"/>
      <c r="Y116" s="14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</row>
    <row r="117" spans="1:35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77"/>
      <c r="U117" s="29" t="s">
        <v>133</v>
      </c>
      <c r="V117" s="14">
        <f>Z106</f>
        <v>4.1403159681473366E-2</v>
      </c>
      <c r="W117" s="14"/>
      <c r="X117" s="14"/>
      <c r="Y117" s="14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</row>
    <row r="118" spans="1:35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77"/>
      <c r="U118" s="14"/>
      <c r="V118" s="14"/>
      <c r="W118" s="14"/>
      <c r="X118" s="14"/>
      <c r="Y118" s="14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</row>
    <row r="119" spans="1:35">
      <c r="A119" s="69"/>
      <c r="B119" s="69"/>
      <c r="C119" s="69">
        <f>D116/(SQRT(I116)*SQRT(N116))</f>
        <v>5.2464979933403648E-2</v>
      </c>
      <c r="D119" s="69"/>
      <c r="E119" s="69"/>
      <c r="F119" s="69"/>
      <c r="G119" s="69"/>
      <c r="H119" s="69">
        <f>C119^2</f>
        <v>2.7525741194124476E-3</v>
      </c>
      <c r="I119" s="69"/>
      <c r="J119" s="69"/>
      <c r="K119" s="69"/>
      <c r="L119" s="69">
        <f>ROUND(D116/I116,4)</f>
        <v>5.7999999999999996E-3</v>
      </c>
      <c r="M119" s="69"/>
      <c r="N119" s="69"/>
      <c r="O119" s="69"/>
      <c r="P119" s="69">
        <f>ROUND((L106-(L119*L105)),4)</f>
        <v>6030.402</v>
      </c>
      <c r="Q119" s="69"/>
      <c r="R119" s="69"/>
      <c r="S119" s="69"/>
      <c r="T119" s="77"/>
      <c r="U119" s="14"/>
      <c r="V119" s="14"/>
      <c r="W119" s="14"/>
      <c r="X119" s="14"/>
      <c r="Y119" s="14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</row>
    <row r="120" spans="1:35">
      <c r="A120" s="69"/>
      <c r="B120" s="69"/>
      <c r="C120" s="12"/>
      <c r="D120" s="12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77"/>
      <c r="U120" s="14" t="str">
        <f>"f(0,05);("&amp;W106&amp;","&amp;W107&amp;")="</f>
        <v>f(0,05);(1,15)=</v>
      </c>
      <c r="V120" s="14">
        <f>ROUND(_xlfn.F.INV.RT(V113,W106,W107),4)</f>
        <v>4.5430999999999999</v>
      </c>
      <c r="W120" s="14"/>
      <c r="X120" s="14"/>
      <c r="Y120" s="14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</row>
    <row r="121" spans="1:35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77"/>
      <c r="U121" s="14"/>
      <c r="V121" s="14"/>
      <c r="W121" s="14"/>
      <c r="X121" s="14"/>
      <c r="Y121" s="14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</row>
    <row r="122" spans="1:35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 t="str">
        <f>"𝑦 ̂="&amp;P119&amp;"+"&amp;L119&amp;"x ̂"</f>
        <v>𝑦 ̂=6030,402+0,0058x ̂</v>
      </c>
      <c r="M122" s="69"/>
      <c r="N122" s="69"/>
      <c r="O122" s="69"/>
      <c r="P122" s="69"/>
      <c r="Q122" s="69"/>
      <c r="R122" s="69"/>
      <c r="S122" s="69"/>
      <c r="T122" s="77"/>
      <c r="U122" s="14" t="str">
        <f>IF(V120&lt;=V117, "R: Como  " &amp;ROUND(V120,4) &amp;" &lt; "&amp;ROUND(V117,4)&amp;" o modelo é significativo","R: Como  " &amp;ROUND(V120,4) &amp;" &gt; "&amp;ROUND(V117,4)&amp;" o modelo não é significativo" )</f>
        <v>R: Como  4,5431 &gt; 0,0414 o modelo não é significativo</v>
      </c>
      <c r="V122" s="14"/>
      <c r="W122" s="14"/>
      <c r="X122" s="14"/>
      <c r="Y122" s="14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</row>
    <row r="123" spans="1:35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</row>
    <row r="124" spans="1: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spans="1:35">
      <c r="A125" s="69"/>
      <c r="B125" s="3"/>
      <c r="C125" s="3"/>
      <c r="D125" s="3"/>
      <c r="E125" s="3"/>
      <c r="F125" s="3"/>
      <c r="G125" s="3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</row>
    <row r="126" spans="1:35">
      <c r="A126" s="69"/>
      <c r="B126" s="2" t="s">
        <v>9</v>
      </c>
      <c r="C126" s="2" t="s">
        <v>10</v>
      </c>
      <c r="D126" s="2" t="s">
        <v>11</v>
      </c>
      <c r="E126" s="2" t="s">
        <v>12</v>
      </c>
      <c r="F126" s="2" t="s">
        <v>13</v>
      </c>
      <c r="G126" s="2"/>
      <c r="H126" s="4"/>
      <c r="I126" s="4"/>
      <c r="J126" s="69"/>
      <c r="K126" s="69"/>
      <c r="L126" s="69"/>
      <c r="M126" s="69"/>
      <c r="N126" s="69"/>
      <c r="O126" s="69"/>
      <c r="P126" s="69"/>
      <c r="Q126" s="69"/>
      <c r="R126" s="69"/>
      <c r="S126" s="69"/>
    </row>
    <row r="127" spans="1:35">
      <c r="A127" s="69"/>
      <c r="B127" s="69" t="s">
        <v>7</v>
      </c>
      <c r="C127" s="4" t="s">
        <v>1</v>
      </c>
      <c r="D127" s="4"/>
      <c r="E127" s="4"/>
      <c r="F127" s="4"/>
      <c r="G127" s="4"/>
      <c r="H127" s="4"/>
      <c r="I127" s="4"/>
      <c r="J127" s="69"/>
      <c r="K127" s="69"/>
      <c r="L127" s="80" t="s">
        <v>15</v>
      </c>
      <c r="M127" s="80"/>
      <c r="N127" s="69" t="str">
        <f>C127</f>
        <v>new_cases</v>
      </c>
      <c r="O127" s="69"/>
      <c r="P127" s="69"/>
      <c r="Q127" s="69"/>
      <c r="R127" s="69"/>
      <c r="S127" s="69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</row>
    <row r="128" spans="1:35">
      <c r="A128" s="69"/>
      <c r="B128" s="69">
        <v>0.17910000000000001</v>
      </c>
      <c r="C128" s="4">
        <v>44898</v>
      </c>
      <c r="D128" s="4">
        <f>B128*C128</f>
        <v>8041.2318000000005</v>
      </c>
      <c r="E128" s="4">
        <f>B128^2</f>
        <v>3.2076810000000004E-2</v>
      </c>
      <c r="F128" s="4">
        <f>C128^2</f>
        <v>2015830404</v>
      </c>
      <c r="G128" s="4">
        <f>ROUND($P$150+$L$150*B128,4)</f>
        <v>38792.629699999998</v>
      </c>
      <c r="H128" s="4">
        <f>ROUND(G128-C128,4)</f>
        <v>-6105.3702999999996</v>
      </c>
      <c r="I128" s="4">
        <f>H128^2</f>
        <v>37275546.500122085</v>
      </c>
      <c r="J128" s="69"/>
      <c r="K128" s="69"/>
      <c r="L128" s="80" t="s">
        <v>14</v>
      </c>
      <c r="M128" s="80"/>
      <c r="N128" s="80" t="str">
        <f>B127</f>
        <v>positive_rate</v>
      </c>
      <c r="O128" s="80"/>
      <c r="P128" s="69"/>
      <c r="Q128" s="69"/>
      <c r="R128" s="69"/>
      <c r="S128" s="69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</row>
    <row r="129" spans="1:35">
      <c r="A129" s="69"/>
      <c r="B129" s="69">
        <v>0.1197</v>
      </c>
      <c r="C129" s="4">
        <v>20342</v>
      </c>
      <c r="D129" s="4">
        <f t="shared" ref="D129:D144" si="28">B129*C129</f>
        <v>2434.9373999999998</v>
      </c>
      <c r="E129" s="4">
        <f t="shared" ref="E129:E144" si="29">B129^2</f>
        <v>1.432809E-2</v>
      </c>
      <c r="F129" s="4">
        <f t="shared" ref="F129:F144" si="30">C129^2</f>
        <v>413796964</v>
      </c>
      <c r="G129" s="4">
        <f t="shared" ref="G129:G144" si="31">ROUND($P$150+$L$150*B129,4)</f>
        <v>25737.7644</v>
      </c>
      <c r="H129" s="4">
        <f t="shared" ref="H129:H144" si="32">ROUND(G129-C129,4)</f>
        <v>5395.7644</v>
      </c>
      <c r="I129" s="4">
        <f t="shared" ref="I129:I144" si="33">H129^2</f>
        <v>29114273.46030736</v>
      </c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77"/>
      <c r="U129" s="38" t="s">
        <v>41</v>
      </c>
      <c r="V129" s="33">
        <f>ROUND(N147-X129*D147,4)</f>
        <v>120168079.8126</v>
      </c>
      <c r="W129" s="38"/>
      <c r="X129" s="33">
        <f>L150</f>
        <v>219778.8774</v>
      </c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</row>
    <row r="130" spans="1:35">
      <c r="A130" s="69"/>
      <c r="B130" s="69">
        <v>7.2300000000000003E-2</v>
      </c>
      <c r="C130" s="4">
        <v>11769</v>
      </c>
      <c r="D130" s="4">
        <f t="shared" si="28"/>
        <v>850.89870000000008</v>
      </c>
      <c r="E130" s="4">
        <f t="shared" si="29"/>
        <v>5.2272900000000008E-3</v>
      </c>
      <c r="F130" s="4">
        <f t="shared" si="30"/>
        <v>138509361</v>
      </c>
      <c r="G130" s="4">
        <f t="shared" si="31"/>
        <v>15320.2456</v>
      </c>
      <c r="H130" s="4">
        <f t="shared" si="32"/>
        <v>3551.2456000000002</v>
      </c>
      <c r="I130" s="4">
        <f t="shared" si="33"/>
        <v>12611345.311519362</v>
      </c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77"/>
      <c r="U130" s="36" t="s">
        <v>42</v>
      </c>
      <c r="V130" s="26">
        <f>ROUND((D147^2)/I147,4)</f>
        <v>1696184085.9068</v>
      </c>
      <c r="W130" s="77"/>
      <c r="X130" s="26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</row>
    <row r="131" spans="1:35">
      <c r="A131" s="69"/>
      <c r="B131" s="69">
        <v>4.6300000000000001E-2</v>
      </c>
      <c r="C131" s="4">
        <v>7037</v>
      </c>
      <c r="D131" s="4">
        <f t="shared" si="28"/>
        <v>325.81310000000002</v>
      </c>
      <c r="E131" s="4">
        <f t="shared" si="29"/>
        <v>2.1436900000000002E-3</v>
      </c>
      <c r="F131" s="4">
        <f t="shared" si="30"/>
        <v>49519369</v>
      </c>
      <c r="G131" s="4">
        <f t="shared" si="31"/>
        <v>9605.9948000000004</v>
      </c>
      <c r="H131" s="4">
        <f t="shared" si="32"/>
        <v>2568.9947999999999</v>
      </c>
      <c r="I131" s="4">
        <f t="shared" si="33"/>
        <v>6599734.2824270399</v>
      </c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77"/>
      <c r="U131" s="36" t="s">
        <v>43</v>
      </c>
      <c r="V131" s="26">
        <f>N147</f>
        <v>1816352165.7584941</v>
      </c>
      <c r="W131" s="77"/>
      <c r="X131" s="26">
        <f>P150</f>
        <v>-569.7672</v>
      </c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</row>
    <row r="132" spans="1:35">
      <c r="A132" s="69"/>
      <c r="B132" s="69">
        <v>3.3500000000000002E-2</v>
      </c>
      <c r="C132" s="4">
        <v>5532</v>
      </c>
      <c r="D132" s="4">
        <f t="shared" si="28"/>
        <v>185.322</v>
      </c>
      <c r="E132" s="4">
        <f t="shared" si="29"/>
        <v>1.1222500000000002E-3</v>
      </c>
      <c r="F132" s="4">
        <f t="shared" si="30"/>
        <v>30603024</v>
      </c>
      <c r="G132" s="4">
        <f t="shared" si="31"/>
        <v>6792.8252000000002</v>
      </c>
      <c r="H132" s="4">
        <f t="shared" si="32"/>
        <v>1260.8252</v>
      </c>
      <c r="I132" s="4">
        <f t="shared" si="33"/>
        <v>1589680.18495504</v>
      </c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77"/>
      <c r="U132" s="36" t="s">
        <v>59</v>
      </c>
      <c r="V132" s="26">
        <f>ROUND(SQRT(V129/(L135-2)),4)</f>
        <v>2830.4072999999999</v>
      </c>
      <c r="W132" s="77"/>
      <c r="X132" s="26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</row>
    <row r="133" spans="1:35" ht="13.5" thickBot="1">
      <c r="A133" s="69"/>
      <c r="B133" s="69">
        <v>3.0800000000000001E-2</v>
      </c>
      <c r="C133" s="4">
        <v>4163</v>
      </c>
      <c r="D133" s="4">
        <f t="shared" si="28"/>
        <v>128.22040000000001</v>
      </c>
      <c r="E133" s="4">
        <f t="shared" si="29"/>
        <v>9.4864000000000005E-4</v>
      </c>
      <c r="F133" s="4">
        <f t="shared" si="30"/>
        <v>17330569</v>
      </c>
      <c r="G133" s="4">
        <f t="shared" si="31"/>
        <v>6199.4222</v>
      </c>
      <c r="H133" s="4">
        <f t="shared" si="32"/>
        <v>2036.4222</v>
      </c>
      <c r="I133" s="4">
        <f t="shared" si="33"/>
        <v>4147015.3766528401</v>
      </c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77"/>
      <c r="U133" s="37"/>
      <c r="V133" s="27"/>
      <c r="W133" s="37"/>
      <c r="X133" s="27">
        <f>ROUND(X129*SQRT(I147/N147),4)</f>
        <v>0.96640000000000004</v>
      </c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</row>
    <row r="134" spans="1:35">
      <c r="A134" s="69"/>
      <c r="B134" s="69">
        <v>2.8299999999999999E-2</v>
      </c>
      <c r="C134" s="4">
        <v>2565</v>
      </c>
      <c r="D134" s="4">
        <f t="shared" si="28"/>
        <v>72.589500000000001</v>
      </c>
      <c r="E134" s="4">
        <f t="shared" si="29"/>
        <v>8.0088999999999996E-4</v>
      </c>
      <c r="F134" s="4">
        <f t="shared" si="30"/>
        <v>6579225</v>
      </c>
      <c r="G134" s="4">
        <f t="shared" si="31"/>
        <v>5649.9750000000004</v>
      </c>
      <c r="H134" s="4">
        <f t="shared" si="32"/>
        <v>3084.9749999999999</v>
      </c>
      <c r="I134" s="4">
        <f t="shared" si="33"/>
        <v>9517070.7506249994</v>
      </c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</row>
    <row r="135" spans="1:35" ht="13.5" thickBot="1">
      <c r="A135" s="69"/>
      <c r="B135" s="69">
        <v>1.4500000000000001E-2</v>
      </c>
      <c r="C135" s="4">
        <v>2877</v>
      </c>
      <c r="D135" s="4">
        <f t="shared" si="28"/>
        <v>41.716500000000003</v>
      </c>
      <c r="E135" s="4">
        <f t="shared" si="29"/>
        <v>2.1025000000000001E-4</v>
      </c>
      <c r="F135" s="4">
        <f t="shared" si="30"/>
        <v>8277129</v>
      </c>
      <c r="G135" s="4">
        <f t="shared" si="31"/>
        <v>2617.0264999999999</v>
      </c>
      <c r="H135" s="4">
        <f t="shared" si="32"/>
        <v>-259.9735</v>
      </c>
      <c r="I135" s="4">
        <f t="shared" si="33"/>
        <v>67586.220702250008</v>
      </c>
      <c r="J135" s="69"/>
      <c r="K135" s="69" t="s">
        <v>19</v>
      </c>
      <c r="L135" s="69">
        <f>COUNT(B128,B129:B144)</f>
        <v>17</v>
      </c>
      <c r="M135" s="69"/>
      <c r="N135" s="69"/>
      <c r="O135" s="69"/>
      <c r="P135" s="69"/>
      <c r="Q135" s="69"/>
      <c r="R135" s="69"/>
      <c r="S135" s="69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</row>
    <row r="136" spans="1:35">
      <c r="A136" s="69"/>
      <c r="B136" s="69">
        <v>1.7299999999999999E-2</v>
      </c>
      <c r="C136" s="4">
        <v>2928</v>
      </c>
      <c r="D136" s="4">
        <f t="shared" si="28"/>
        <v>50.654399999999995</v>
      </c>
      <c r="E136" s="4">
        <f t="shared" si="29"/>
        <v>2.9928999999999996E-4</v>
      </c>
      <c r="F136" s="4">
        <f t="shared" si="30"/>
        <v>8573184</v>
      </c>
      <c r="G136" s="4">
        <f t="shared" si="31"/>
        <v>3232.4074000000001</v>
      </c>
      <c r="H136" s="4">
        <f t="shared" si="32"/>
        <v>304.4074</v>
      </c>
      <c r="I136" s="4">
        <f t="shared" si="33"/>
        <v>92663.865174759994</v>
      </c>
      <c r="J136" s="69"/>
      <c r="K136" s="69" t="s">
        <v>20</v>
      </c>
      <c r="L136" s="69">
        <f>ROUND(AVERAGE(B128:B144),4)</f>
        <v>3.6700000000000003E-2</v>
      </c>
      <c r="M136" s="69"/>
      <c r="N136" s="69"/>
      <c r="O136" s="69"/>
      <c r="P136" s="69"/>
      <c r="Q136" s="69"/>
      <c r="R136" s="69"/>
      <c r="S136" s="69"/>
      <c r="T136" s="77"/>
      <c r="U136" s="20"/>
      <c r="V136" s="20" t="s">
        <v>55</v>
      </c>
      <c r="W136" s="20" t="s">
        <v>48</v>
      </c>
      <c r="X136" s="20" t="s">
        <v>49</v>
      </c>
      <c r="Y136" s="20" t="s">
        <v>50</v>
      </c>
      <c r="Z136" s="20" t="s">
        <v>51</v>
      </c>
      <c r="AA136" s="77"/>
      <c r="AB136" s="77"/>
      <c r="AC136" s="77"/>
      <c r="AD136" s="77"/>
      <c r="AE136" s="77"/>
      <c r="AF136" s="77"/>
      <c r="AG136" s="77"/>
      <c r="AH136" s="77"/>
      <c r="AI136" s="77"/>
    </row>
    <row r="137" spans="1:35">
      <c r="A137" s="69"/>
      <c r="B137" s="69">
        <v>1.21E-2</v>
      </c>
      <c r="C137" s="4">
        <v>4159</v>
      </c>
      <c r="D137" s="4">
        <f t="shared" si="28"/>
        <v>50.323900000000002</v>
      </c>
      <c r="E137" s="4">
        <f t="shared" si="29"/>
        <v>1.4641E-4</v>
      </c>
      <c r="F137" s="4">
        <f t="shared" si="30"/>
        <v>17297281</v>
      </c>
      <c r="G137" s="4">
        <f t="shared" si="31"/>
        <v>2089.5572000000002</v>
      </c>
      <c r="H137" s="4">
        <f t="shared" si="32"/>
        <v>-2069.4427999999998</v>
      </c>
      <c r="I137" s="4">
        <f t="shared" si="33"/>
        <v>4282593.5024718391</v>
      </c>
      <c r="J137" s="69"/>
      <c r="K137" s="69" t="s">
        <v>21</v>
      </c>
      <c r="L137" s="69">
        <f>ROUND(AVERAGE(C128:C144),4)</f>
        <v>7496.1175999999996</v>
      </c>
      <c r="M137" s="69"/>
      <c r="N137" s="69"/>
      <c r="O137" s="69"/>
      <c r="P137" s="69"/>
      <c r="Q137" s="69"/>
      <c r="R137" s="69"/>
      <c r="S137" s="69"/>
      <c r="T137" s="77"/>
      <c r="U137" s="76" t="s">
        <v>56</v>
      </c>
      <c r="V137" s="18" t="s">
        <v>45</v>
      </c>
      <c r="W137" s="18">
        <v>1</v>
      </c>
      <c r="X137" s="18">
        <f>V130</f>
        <v>1696184085.9068</v>
      </c>
      <c r="Y137" s="18">
        <f>X137/W137</f>
        <v>1696184085.9068</v>
      </c>
      <c r="Z137" s="18">
        <f>Y137/Y138</f>
        <v>211.72645288398996</v>
      </c>
      <c r="AA137" s="77"/>
      <c r="AB137" s="77"/>
      <c r="AC137" s="77"/>
      <c r="AD137" s="77"/>
      <c r="AE137" s="77"/>
      <c r="AF137" s="77"/>
      <c r="AG137" s="77"/>
      <c r="AH137" s="77"/>
      <c r="AI137" s="77"/>
    </row>
    <row r="138" spans="1:35">
      <c r="A138" s="69"/>
      <c r="B138" s="69">
        <v>1.35E-2</v>
      </c>
      <c r="C138" s="4">
        <v>3507</v>
      </c>
      <c r="D138" s="4">
        <f t="shared" si="28"/>
        <v>47.344499999999996</v>
      </c>
      <c r="E138" s="4">
        <f t="shared" si="29"/>
        <v>1.8224999999999998E-4</v>
      </c>
      <c r="F138" s="4">
        <f t="shared" si="30"/>
        <v>12299049</v>
      </c>
      <c r="G138" s="4">
        <f t="shared" si="31"/>
        <v>2397.2476000000001</v>
      </c>
      <c r="H138" s="4">
        <f t="shared" si="32"/>
        <v>-1109.7524000000001</v>
      </c>
      <c r="I138" s="4">
        <f t="shared" si="33"/>
        <v>1231550.3893057602</v>
      </c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77"/>
      <c r="U138" s="76" t="s">
        <v>57</v>
      </c>
      <c r="V138" s="18" t="s">
        <v>46</v>
      </c>
      <c r="W138" s="18">
        <f>17-2</f>
        <v>15</v>
      </c>
      <c r="X138" s="18">
        <f>V129</f>
        <v>120168079.8126</v>
      </c>
      <c r="Y138" s="18">
        <f>X138/W138</f>
        <v>8011205.3208400002</v>
      </c>
      <c r="Z138" s="18"/>
      <c r="AA138" s="77"/>
      <c r="AB138" s="77"/>
      <c r="AC138" s="77"/>
      <c r="AD138" s="77"/>
      <c r="AE138" s="77"/>
      <c r="AF138" s="77"/>
      <c r="AG138" s="77"/>
      <c r="AH138" s="77"/>
      <c r="AI138" s="77"/>
    </row>
    <row r="139" spans="1:35" ht="13.5" thickBot="1">
      <c r="A139" s="69"/>
      <c r="B139" s="69">
        <v>8.2000000000000007E-3</v>
      </c>
      <c r="C139" s="4">
        <v>3441</v>
      </c>
      <c r="D139" s="4">
        <f t="shared" si="28"/>
        <v>28.216200000000001</v>
      </c>
      <c r="E139" s="4">
        <f t="shared" si="29"/>
        <v>6.7240000000000014E-5</v>
      </c>
      <c r="F139" s="4">
        <f t="shared" si="30"/>
        <v>11840481</v>
      </c>
      <c r="G139" s="4">
        <f t="shared" si="31"/>
        <v>1232.4195999999999</v>
      </c>
      <c r="H139" s="4">
        <f t="shared" si="32"/>
        <v>-2208.5803999999998</v>
      </c>
      <c r="I139" s="4">
        <f t="shared" si="33"/>
        <v>4877827.3832641589</v>
      </c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77"/>
      <c r="U139" s="24" t="s">
        <v>58</v>
      </c>
      <c r="V139" s="19" t="s">
        <v>47</v>
      </c>
      <c r="W139" s="19">
        <f>17-1</f>
        <v>16</v>
      </c>
      <c r="X139" s="19">
        <f>V131</f>
        <v>1816352165.7584941</v>
      </c>
      <c r="Y139" s="19"/>
      <c r="Z139" s="19"/>
      <c r="AA139" s="77"/>
      <c r="AB139" s="77"/>
      <c r="AC139" s="77"/>
      <c r="AD139" s="77"/>
      <c r="AE139" s="77"/>
      <c r="AF139" s="77"/>
      <c r="AG139" s="77"/>
      <c r="AH139" s="77"/>
      <c r="AI139" s="77"/>
    </row>
    <row r="140" spans="1:35">
      <c r="A140" s="69"/>
      <c r="B140" s="69">
        <v>8.3000000000000001E-3</v>
      </c>
      <c r="C140" s="4">
        <v>2835</v>
      </c>
      <c r="D140" s="4">
        <f t="shared" si="28"/>
        <v>23.5305</v>
      </c>
      <c r="E140" s="4">
        <f t="shared" si="29"/>
        <v>6.8889999999999999E-5</v>
      </c>
      <c r="F140" s="4">
        <f t="shared" si="30"/>
        <v>8037225</v>
      </c>
      <c r="G140" s="4">
        <f t="shared" si="31"/>
        <v>1254.3975</v>
      </c>
      <c r="H140" s="4">
        <f t="shared" si="32"/>
        <v>-1580.6025</v>
      </c>
      <c r="I140" s="4">
        <f t="shared" si="33"/>
        <v>2498304.2630062499</v>
      </c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</row>
    <row r="141" spans="1:35">
      <c r="A141" s="69"/>
      <c r="B141" s="69">
        <v>8.0000000000000002E-3</v>
      </c>
      <c r="C141" s="4">
        <v>2305</v>
      </c>
      <c r="D141" s="4">
        <f t="shared" si="28"/>
        <v>18.440000000000001</v>
      </c>
      <c r="E141" s="4">
        <f t="shared" si="29"/>
        <v>6.3999999999999997E-5</v>
      </c>
      <c r="F141" s="4">
        <f t="shared" si="30"/>
        <v>5313025</v>
      </c>
      <c r="G141" s="4">
        <f t="shared" si="31"/>
        <v>1188.4638</v>
      </c>
      <c r="H141" s="4">
        <f t="shared" si="32"/>
        <v>-1116.5362</v>
      </c>
      <c r="I141" s="4">
        <f t="shared" si="33"/>
        <v>1246653.08591044</v>
      </c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77"/>
      <c r="U141" s="73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</row>
    <row r="142" spans="1:35">
      <c r="A142" s="69"/>
      <c r="B142" s="69">
        <v>9.1999999999999998E-3</v>
      </c>
      <c r="C142" s="4">
        <v>2600</v>
      </c>
      <c r="D142" s="4">
        <f t="shared" si="28"/>
        <v>23.919999999999998</v>
      </c>
      <c r="E142" s="4">
        <f t="shared" si="29"/>
        <v>8.4640000000000003E-5</v>
      </c>
      <c r="F142" s="4">
        <f t="shared" si="30"/>
        <v>6760000</v>
      </c>
      <c r="G142" s="4">
        <f t="shared" si="31"/>
        <v>1452.1985</v>
      </c>
      <c r="H142" s="4">
        <f t="shared" si="32"/>
        <v>-1147.8015</v>
      </c>
      <c r="I142" s="4">
        <f t="shared" si="33"/>
        <v>1317448.2834022501</v>
      </c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</row>
    <row r="143" spans="1:35">
      <c r="A143" s="69"/>
      <c r="B143" s="69">
        <v>1.0699999999999999E-2</v>
      </c>
      <c r="C143" s="4">
        <v>3042</v>
      </c>
      <c r="D143" s="4">
        <f t="shared" si="28"/>
        <v>32.549399999999999</v>
      </c>
      <c r="E143" s="4">
        <f t="shared" si="29"/>
        <v>1.1448999999999998E-4</v>
      </c>
      <c r="F143" s="4">
        <f t="shared" si="30"/>
        <v>9253764</v>
      </c>
      <c r="G143" s="4">
        <f t="shared" si="31"/>
        <v>1781.8668</v>
      </c>
      <c r="H143" s="4">
        <f t="shared" si="32"/>
        <v>-1260.1332</v>
      </c>
      <c r="I143" s="4">
        <f t="shared" si="33"/>
        <v>1587935.68174224</v>
      </c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77"/>
      <c r="U143" s="14"/>
      <c r="V143" s="14"/>
      <c r="W143" s="14"/>
      <c r="X143" s="14"/>
      <c r="Y143" s="14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</row>
    <row r="144" spans="1:35">
      <c r="A144" s="69"/>
      <c r="B144" s="69">
        <v>1.1299999999999999E-2</v>
      </c>
      <c r="C144" s="7">
        <v>3434</v>
      </c>
      <c r="D144" s="7">
        <f t="shared" si="28"/>
        <v>38.804199999999994</v>
      </c>
      <c r="E144" s="7">
        <f t="shared" si="29"/>
        <v>1.2768999999999999E-4</v>
      </c>
      <c r="F144" s="7">
        <f t="shared" si="30"/>
        <v>11792356</v>
      </c>
      <c r="G144" s="4">
        <f t="shared" si="31"/>
        <v>1913.7340999999999</v>
      </c>
      <c r="H144" s="4">
        <f t="shared" si="32"/>
        <v>-1520.2659000000001</v>
      </c>
      <c r="I144" s="4">
        <f t="shared" si="33"/>
        <v>2311208.4067028104</v>
      </c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77"/>
      <c r="U144" s="29" t="s">
        <v>80</v>
      </c>
      <c r="V144" s="14">
        <v>0.05</v>
      </c>
      <c r="W144" s="14"/>
      <c r="X144" s="14"/>
      <c r="Y144" s="14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</row>
    <row r="145" spans="1:35">
      <c r="A145" s="4" t="s">
        <v>18</v>
      </c>
      <c r="B145" s="4">
        <f t="shared" ref="B145:I145" si="34">SUM(B128:B144)</f>
        <v>0.62309999999999988</v>
      </c>
      <c r="C145" s="4">
        <f t="shared" si="34"/>
        <v>127434</v>
      </c>
      <c r="D145" s="4">
        <f t="shared" si="34"/>
        <v>12394.512500000001</v>
      </c>
      <c r="E145" s="4">
        <f t="shared" si="34"/>
        <v>5.8012810000000019E-2</v>
      </c>
      <c r="F145" s="4">
        <f t="shared" si="34"/>
        <v>2771612410</v>
      </c>
      <c r="G145" s="4">
        <f t="shared" si="34"/>
        <v>127258.17590000002</v>
      </c>
      <c r="H145" s="4">
        <f t="shared" si="34"/>
        <v>-175.82409999999754</v>
      </c>
      <c r="I145" s="4">
        <f t="shared" si="34"/>
        <v>120368436.94829148</v>
      </c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77"/>
      <c r="U145" s="14"/>
      <c r="V145" s="14"/>
      <c r="W145" s="14"/>
      <c r="X145" s="14"/>
      <c r="Y145" s="14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</row>
    <row r="146" spans="1:35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77"/>
      <c r="U146" s="14"/>
      <c r="V146" s="14"/>
      <c r="W146" s="14"/>
      <c r="X146" s="14"/>
      <c r="Y146" s="14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</row>
    <row r="147" spans="1:35">
      <c r="A147" s="69"/>
      <c r="B147" s="69"/>
      <c r="C147" s="69"/>
      <c r="D147" s="69">
        <f>D145-(L135*L136*L137)</f>
        <v>7717.6847293600013</v>
      </c>
      <c r="E147" s="69"/>
      <c r="F147" s="69"/>
      <c r="G147" s="69"/>
      <c r="H147" s="69"/>
      <c r="I147" s="69">
        <f>E145-(L135*(L136^2))</f>
        <v>3.511568000000001E-2</v>
      </c>
      <c r="J147" s="69"/>
      <c r="K147" s="69"/>
      <c r="L147" s="69"/>
      <c r="M147" s="69"/>
      <c r="N147" s="69">
        <f>F145-(L135*(L137^2))</f>
        <v>1816352165.7584941</v>
      </c>
      <c r="O147" s="69"/>
      <c r="P147" s="69"/>
      <c r="Q147" s="69"/>
      <c r="R147" s="69"/>
      <c r="S147" s="69"/>
      <c r="T147" s="77"/>
      <c r="U147" s="14"/>
      <c r="V147" s="14"/>
      <c r="W147" s="14"/>
      <c r="X147" s="14"/>
      <c r="Y147" s="14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</row>
    <row r="148" spans="1:35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77"/>
      <c r="U148" s="29" t="s">
        <v>133</v>
      </c>
      <c r="V148" s="14">
        <f>Z137</f>
        <v>211.72645288398996</v>
      </c>
      <c r="W148" s="14"/>
      <c r="X148" s="14"/>
      <c r="Y148" s="14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</row>
    <row r="149" spans="1:35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77"/>
      <c r="U149" s="14"/>
      <c r="V149" s="14"/>
      <c r="W149" s="14"/>
      <c r="X149" s="14"/>
      <c r="Y149" s="14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</row>
    <row r="150" spans="1:35">
      <c r="A150" s="69"/>
      <c r="B150" s="69"/>
      <c r="C150" s="69">
        <f>D147/(SQRT(I147)*SQRT(N147))</f>
        <v>0.96635447930614848</v>
      </c>
      <c r="D150" s="69"/>
      <c r="E150" s="69"/>
      <c r="F150" s="69"/>
      <c r="G150" s="69"/>
      <c r="H150" s="69">
        <f>C150^2</f>
        <v>0.9338409796750573</v>
      </c>
      <c r="I150" s="69"/>
      <c r="J150" s="69"/>
      <c r="K150" s="69"/>
      <c r="L150" s="69">
        <f>ROUND(D147/I147,4)</f>
        <v>219778.8774</v>
      </c>
      <c r="M150" s="69"/>
      <c r="N150" s="69"/>
      <c r="O150" s="69"/>
      <c r="P150" s="69">
        <f>ROUND((L137-(L150*L136)),4)</f>
        <v>-569.7672</v>
      </c>
      <c r="Q150" s="69"/>
      <c r="R150" s="69"/>
      <c r="S150" s="69"/>
      <c r="T150" s="77"/>
      <c r="U150" s="14"/>
      <c r="V150" s="14"/>
      <c r="W150" s="14"/>
      <c r="X150" s="14"/>
      <c r="Y150" s="14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</row>
    <row r="151" spans="1:35">
      <c r="A151" s="69"/>
      <c r="B151" s="69"/>
      <c r="C151" s="12"/>
      <c r="D151" s="12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77"/>
      <c r="U151" s="14" t="str">
        <f>"f(0,05);("&amp;W137&amp;","&amp;W138&amp;")="</f>
        <v>f(0,05);(1,15)=</v>
      </c>
      <c r="V151" s="14">
        <f>ROUND(_xlfn.F.INV.RT(V144,W137,W138),4)</f>
        <v>4.5430999999999999</v>
      </c>
      <c r="W151" s="14"/>
      <c r="X151" s="14"/>
      <c r="Y151" s="14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</row>
    <row r="152" spans="1:35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77"/>
      <c r="U152" s="14"/>
      <c r="V152" s="14"/>
      <c r="W152" s="14"/>
      <c r="X152" s="14"/>
      <c r="Y152" s="14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</row>
    <row r="153" spans="1:35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 t="str">
        <f>"𝑦 ̂="&amp;P150&amp;"+"&amp;L150&amp;"x ̂"</f>
        <v>𝑦 ̂=-569,7672+219778,8774x ̂</v>
      </c>
      <c r="M153" s="69"/>
      <c r="N153" s="69"/>
      <c r="O153" s="69"/>
      <c r="P153" s="69"/>
      <c r="Q153" s="69"/>
      <c r="R153" s="69"/>
      <c r="S153" s="69"/>
      <c r="T153" s="77"/>
      <c r="U153" s="14" t="str">
        <f>IF(V151&lt;=V148, "R: Como  " &amp;ROUND(V151,4) &amp;" &lt; "&amp;ROUND(V148,4)&amp;" o modelo é significativo","R: Como  " &amp;ROUND(V151,4) &amp;" &gt; "&amp;ROUND(V148,4)&amp;" o modelo não é significativo" )</f>
        <v>R: Como  4,5431 &lt; 211,7265 o modelo é significativo</v>
      </c>
      <c r="V153" s="14"/>
      <c r="W153" s="14"/>
      <c r="X153" s="14"/>
      <c r="Y153" s="14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</row>
    <row r="154" spans="1:35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</row>
    <row r="155" spans="1:3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spans="1:35">
      <c r="A156" s="69"/>
      <c r="B156" s="3"/>
      <c r="C156" s="3"/>
      <c r="D156" s="3"/>
      <c r="E156" s="3"/>
      <c r="F156" s="3"/>
      <c r="G156" s="3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</row>
    <row r="157" spans="1:35">
      <c r="A157" s="69"/>
      <c r="B157" s="2" t="s">
        <v>9</v>
      </c>
      <c r="C157" s="2" t="s">
        <v>10</v>
      </c>
      <c r="D157" s="2" t="s">
        <v>11</v>
      </c>
      <c r="E157" s="2" t="s">
        <v>12</v>
      </c>
      <c r="F157" s="2" t="s">
        <v>13</v>
      </c>
      <c r="G157" s="2"/>
      <c r="H157" s="4"/>
      <c r="I157" s="4"/>
      <c r="J157" s="69"/>
      <c r="K157" s="69"/>
      <c r="L157" s="69"/>
      <c r="M157" s="69"/>
      <c r="N157" s="69"/>
      <c r="O157" s="69"/>
      <c r="P157" s="69"/>
      <c r="Q157" s="69"/>
      <c r="R157" s="69"/>
      <c r="S157" s="69"/>
    </row>
    <row r="158" spans="1:35">
      <c r="A158" s="69"/>
      <c r="B158" s="69" t="s">
        <v>8</v>
      </c>
      <c r="C158" s="4" t="s">
        <v>1</v>
      </c>
      <c r="D158" s="4"/>
      <c r="E158" s="4"/>
      <c r="F158" s="4"/>
      <c r="G158" s="4"/>
      <c r="H158" s="4"/>
      <c r="I158" s="4"/>
      <c r="J158" s="69"/>
      <c r="K158" s="69"/>
      <c r="L158" s="80" t="s">
        <v>15</v>
      </c>
      <c r="M158" s="80"/>
      <c r="N158" s="69" t="str">
        <f>C158</f>
        <v>new_cases</v>
      </c>
      <c r="O158" s="69"/>
      <c r="P158" s="69"/>
      <c r="Q158" s="69"/>
      <c r="R158" s="69"/>
      <c r="S158" s="69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</row>
    <row r="159" spans="1:35">
      <c r="A159" s="69"/>
      <c r="B159" s="69">
        <v>116262</v>
      </c>
      <c r="C159" s="4">
        <v>44898</v>
      </c>
      <c r="D159" s="4">
        <f>B159*C159</f>
        <v>5219931276</v>
      </c>
      <c r="E159" s="4">
        <f>B159^2</f>
        <v>13516852644</v>
      </c>
      <c r="F159" s="4">
        <f>C159^2</f>
        <v>2015830404</v>
      </c>
      <c r="G159" s="4">
        <f>ROUND($P$181+$L$181*B159,4)</f>
        <v>13020.818600000001</v>
      </c>
      <c r="H159" s="4">
        <f>ROUND(G159-C159,4)</f>
        <v>-31877.181400000001</v>
      </c>
      <c r="I159" s="4">
        <f>H159^2</f>
        <v>1016154694.0085061</v>
      </c>
      <c r="J159" s="69"/>
      <c r="K159" s="69"/>
      <c r="L159" s="80" t="s">
        <v>14</v>
      </c>
      <c r="M159" s="80"/>
      <c r="N159" s="80" t="str">
        <f>B158</f>
        <v>people_fully_vaccinated</v>
      </c>
      <c r="O159" s="80"/>
      <c r="P159" s="69"/>
      <c r="Q159" s="69"/>
      <c r="R159" s="69"/>
      <c r="S159" s="69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</row>
    <row r="160" spans="1:35">
      <c r="A160" s="69"/>
      <c r="B160" s="69">
        <v>208089</v>
      </c>
      <c r="C160" s="4">
        <v>20342</v>
      </c>
      <c r="D160" s="4">
        <f t="shared" ref="D160:D175" si="35">B160*C160</f>
        <v>4232946438</v>
      </c>
      <c r="E160" s="4">
        <f t="shared" ref="E160:E175" si="36">B160^2</f>
        <v>43301031921</v>
      </c>
      <c r="F160" s="4">
        <f t="shared" ref="F160:F175" si="37">C160^2</f>
        <v>413796964</v>
      </c>
      <c r="G160" s="4">
        <f t="shared" ref="G160:G175" si="38">ROUND($P$181+$L$181*B160,4)</f>
        <v>12185.1929</v>
      </c>
      <c r="H160" s="4">
        <f t="shared" ref="H160:H175" si="39">ROUND(G160-C160,4)</f>
        <v>-8156.8071</v>
      </c>
      <c r="I160" s="4">
        <f t="shared" ref="I160:I175" si="40">H160^2</f>
        <v>66533502.066610411</v>
      </c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77"/>
      <c r="U160" s="38" t="s">
        <v>41</v>
      </c>
      <c r="V160" s="33">
        <f>ROUND(N178-X160*D178,4)</f>
        <v>1439018303.9507999</v>
      </c>
      <c r="W160" s="38"/>
      <c r="X160" s="33">
        <f>L181</f>
        <v>-9.1000000000000004E-3</v>
      </c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</row>
    <row r="161" spans="1:35">
      <c r="A161" s="69"/>
      <c r="B161" s="69">
        <v>266858</v>
      </c>
      <c r="C161" s="4">
        <v>11769</v>
      </c>
      <c r="D161" s="4">
        <f t="shared" si="35"/>
        <v>3140651802</v>
      </c>
      <c r="E161" s="4">
        <f t="shared" si="36"/>
        <v>71213192164</v>
      </c>
      <c r="F161" s="4">
        <f t="shared" si="37"/>
        <v>138509361</v>
      </c>
      <c r="G161" s="4">
        <f t="shared" si="38"/>
        <v>11650.395</v>
      </c>
      <c r="H161" s="4">
        <f t="shared" si="39"/>
        <v>-118.605</v>
      </c>
      <c r="I161" s="4">
        <f t="shared" si="40"/>
        <v>14067.146025000002</v>
      </c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77"/>
      <c r="U161" s="36" t="s">
        <v>42</v>
      </c>
      <c r="V161" s="26">
        <f>ROUND((D178^2)/I178,4)</f>
        <v>377842575.99440002</v>
      </c>
      <c r="W161" s="77"/>
      <c r="X161" s="26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</row>
    <row r="162" spans="1:35">
      <c r="A162" s="69"/>
      <c r="B162" s="69">
        <v>286470</v>
      </c>
      <c r="C162" s="4">
        <v>7037</v>
      </c>
      <c r="D162" s="4">
        <f t="shared" si="35"/>
        <v>2015889390</v>
      </c>
      <c r="E162" s="4">
        <f t="shared" si="36"/>
        <v>82065060900</v>
      </c>
      <c r="F162" s="4">
        <f t="shared" si="37"/>
        <v>49519369</v>
      </c>
      <c r="G162" s="4">
        <f t="shared" si="38"/>
        <v>11471.925800000001</v>
      </c>
      <c r="H162" s="4">
        <f t="shared" si="39"/>
        <v>4434.9258</v>
      </c>
      <c r="I162" s="4">
        <f t="shared" si="40"/>
        <v>19668566.851505641</v>
      </c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77"/>
      <c r="U162" s="36" t="s">
        <v>43</v>
      </c>
      <c r="V162" s="26">
        <f>N178</f>
        <v>1816352165.7584941</v>
      </c>
      <c r="W162" s="77"/>
      <c r="X162" s="26">
        <f>P181</f>
        <v>14078.802799999999</v>
      </c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</row>
    <row r="163" spans="1:35">
      <c r="A163" s="69"/>
      <c r="B163" s="69">
        <v>317254</v>
      </c>
      <c r="C163" s="4">
        <v>5532</v>
      </c>
      <c r="D163" s="4">
        <f t="shared" si="35"/>
        <v>1755049128</v>
      </c>
      <c r="E163" s="4">
        <f t="shared" si="36"/>
        <v>100650100516</v>
      </c>
      <c r="F163" s="4">
        <f t="shared" si="37"/>
        <v>30603024</v>
      </c>
      <c r="G163" s="4">
        <f t="shared" si="38"/>
        <v>11191.7914</v>
      </c>
      <c r="H163" s="4">
        <f t="shared" si="39"/>
        <v>5659.7914000000001</v>
      </c>
      <c r="I163" s="4">
        <f t="shared" si="40"/>
        <v>32033238.691513959</v>
      </c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77"/>
      <c r="U163" s="36" t="s">
        <v>59</v>
      </c>
      <c r="V163" s="26">
        <f>ROUND(SQRT(V160/(L166-2)),4)</f>
        <v>9794.6185999999998</v>
      </c>
      <c r="W163" s="77"/>
      <c r="X163" s="26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</row>
    <row r="164" spans="1:35" ht="13.5" thickBot="1">
      <c r="A164" s="69"/>
      <c r="B164" s="69">
        <v>371084</v>
      </c>
      <c r="C164" s="4">
        <v>4163</v>
      </c>
      <c r="D164" s="4">
        <f t="shared" si="35"/>
        <v>1544822692</v>
      </c>
      <c r="E164" s="4">
        <f t="shared" si="36"/>
        <v>137703335056</v>
      </c>
      <c r="F164" s="4">
        <f t="shared" si="37"/>
        <v>17330569</v>
      </c>
      <c r="G164" s="4">
        <f t="shared" si="38"/>
        <v>10701.938399999999</v>
      </c>
      <c r="H164" s="4">
        <f t="shared" si="39"/>
        <v>6538.9384</v>
      </c>
      <c r="I164" s="4">
        <f t="shared" si="40"/>
        <v>42757715.398994558</v>
      </c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77"/>
      <c r="U164" s="37"/>
      <c r="V164" s="27"/>
      <c r="W164" s="37"/>
      <c r="X164" s="27">
        <f>ROUND(X160*SQRT(I178/N178),4)</f>
        <v>-0.45550000000000002</v>
      </c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</row>
    <row r="165" spans="1:35">
      <c r="A165" s="69"/>
      <c r="B165" s="69">
        <v>377464</v>
      </c>
      <c r="C165" s="4">
        <v>2565</v>
      </c>
      <c r="D165" s="4">
        <f t="shared" si="35"/>
        <v>968195160</v>
      </c>
      <c r="E165" s="4">
        <f t="shared" si="36"/>
        <v>142479071296</v>
      </c>
      <c r="F165" s="4">
        <f t="shared" si="37"/>
        <v>6579225</v>
      </c>
      <c r="G165" s="4">
        <f t="shared" si="38"/>
        <v>10643.8804</v>
      </c>
      <c r="H165" s="4">
        <f t="shared" si="39"/>
        <v>8078.8804</v>
      </c>
      <c r="I165" s="4">
        <f t="shared" si="40"/>
        <v>65268308.517504163</v>
      </c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</row>
    <row r="166" spans="1:35" ht="13.5" thickBot="1">
      <c r="A166" s="69"/>
      <c r="B166" s="69">
        <v>510025</v>
      </c>
      <c r="C166" s="4">
        <v>2877</v>
      </c>
      <c r="D166" s="4">
        <f t="shared" si="35"/>
        <v>1467341925</v>
      </c>
      <c r="E166" s="4">
        <f t="shared" si="36"/>
        <v>260125500625</v>
      </c>
      <c r="F166" s="4">
        <f t="shared" si="37"/>
        <v>8277129</v>
      </c>
      <c r="G166" s="4">
        <f t="shared" si="38"/>
        <v>9437.5753000000004</v>
      </c>
      <c r="H166" s="4">
        <f t="shared" si="39"/>
        <v>6560.5753000000004</v>
      </c>
      <c r="I166" s="4">
        <f t="shared" si="40"/>
        <v>43041148.266970098</v>
      </c>
      <c r="J166" s="69"/>
      <c r="K166" s="69" t="s">
        <v>19</v>
      </c>
      <c r="L166" s="69">
        <f>COUNT(B159,B160:B175)</f>
        <v>17</v>
      </c>
      <c r="M166" s="69"/>
      <c r="N166" s="69"/>
      <c r="O166" s="69"/>
      <c r="P166" s="69"/>
      <c r="Q166" s="69"/>
      <c r="R166" s="69"/>
      <c r="S166" s="69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</row>
    <row r="167" spans="1:35">
      <c r="A167" s="69"/>
      <c r="B167" s="69">
        <v>592953</v>
      </c>
      <c r="C167" s="4">
        <v>2928</v>
      </c>
      <c r="D167" s="4">
        <f t="shared" si="35"/>
        <v>1736166384</v>
      </c>
      <c r="E167" s="4">
        <f t="shared" si="36"/>
        <v>351593260209</v>
      </c>
      <c r="F167" s="4">
        <f t="shared" si="37"/>
        <v>8573184</v>
      </c>
      <c r="G167" s="4">
        <f t="shared" si="38"/>
        <v>8682.9305000000004</v>
      </c>
      <c r="H167" s="4">
        <f t="shared" si="39"/>
        <v>5754.9305000000004</v>
      </c>
      <c r="I167" s="4">
        <f t="shared" si="40"/>
        <v>33119225.059830256</v>
      </c>
      <c r="J167" s="69"/>
      <c r="K167" s="69" t="s">
        <v>20</v>
      </c>
      <c r="L167" s="69">
        <f>ROUND(AVERAGE(B159:B175),4)</f>
        <v>723372</v>
      </c>
      <c r="M167" s="69"/>
      <c r="N167" s="69"/>
      <c r="O167" s="69"/>
      <c r="P167" s="69"/>
      <c r="Q167" s="69"/>
      <c r="R167" s="69"/>
      <c r="S167" s="69"/>
      <c r="T167" s="77"/>
      <c r="U167" s="20"/>
      <c r="V167" s="20" t="s">
        <v>55</v>
      </c>
      <c r="W167" s="20" t="s">
        <v>48</v>
      </c>
      <c r="X167" s="20" t="s">
        <v>49</v>
      </c>
      <c r="Y167" s="20" t="s">
        <v>50</v>
      </c>
      <c r="Z167" s="20" t="s">
        <v>51</v>
      </c>
      <c r="AA167" s="77"/>
      <c r="AB167" s="77"/>
      <c r="AC167" s="77"/>
      <c r="AD167" s="77"/>
      <c r="AE167" s="77"/>
      <c r="AF167" s="77"/>
      <c r="AG167" s="77"/>
      <c r="AH167" s="77"/>
      <c r="AI167" s="77"/>
    </row>
    <row r="168" spans="1:35">
      <c r="A168" s="69"/>
      <c r="B168" s="69">
        <v>645818</v>
      </c>
      <c r="C168" s="4">
        <v>4159</v>
      </c>
      <c r="D168" s="4">
        <f t="shared" si="35"/>
        <v>2685957062</v>
      </c>
      <c r="E168" s="4">
        <f t="shared" si="36"/>
        <v>417080889124</v>
      </c>
      <c r="F168" s="4">
        <f t="shared" si="37"/>
        <v>17297281</v>
      </c>
      <c r="G168" s="4">
        <f t="shared" si="38"/>
        <v>8201.8590000000004</v>
      </c>
      <c r="H168" s="4">
        <f t="shared" si="39"/>
        <v>4042.8589999999999</v>
      </c>
      <c r="I168" s="4">
        <f t="shared" si="40"/>
        <v>16344708.893880999</v>
      </c>
      <c r="J168" s="69"/>
      <c r="K168" s="69" t="s">
        <v>21</v>
      </c>
      <c r="L168" s="69">
        <f>ROUND(AVERAGE(C159:C175),4)</f>
        <v>7496.1175999999996</v>
      </c>
      <c r="M168" s="69"/>
      <c r="N168" s="69"/>
      <c r="O168" s="69"/>
      <c r="P168" s="69"/>
      <c r="Q168" s="69"/>
      <c r="R168" s="69"/>
      <c r="S168" s="69"/>
      <c r="T168" s="77"/>
      <c r="U168" s="76" t="s">
        <v>56</v>
      </c>
      <c r="V168" s="18" t="s">
        <v>45</v>
      </c>
      <c r="W168" s="18">
        <v>1</v>
      </c>
      <c r="X168" s="18">
        <f>V161</f>
        <v>377842575.99440002</v>
      </c>
      <c r="Y168" s="18">
        <f>X168/W168</f>
        <v>377842575.99440002</v>
      </c>
      <c r="Z168" s="18">
        <f>Y168/Y169</f>
        <v>3.9385452042935079</v>
      </c>
      <c r="AA168" s="77"/>
      <c r="AB168" s="77"/>
      <c r="AC168" s="77"/>
      <c r="AD168" s="77"/>
      <c r="AE168" s="77"/>
      <c r="AF168" s="77"/>
      <c r="AG168" s="77"/>
      <c r="AH168" s="77"/>
      <c r="AI168" s="77"/>
    </row>
    <row r="169" spans="1:35">
      <c r="A169" s="69"/>
      <c r="B169" s="69">
        <v>701102</v>
      </c>
      <c r="C169" s="4">
        <v>3507</v>
      </c>
      <c r="D169" s="4">
        <f t="shared" si="35"/>
        <v>2458764714</v>
      </c>
      <c r="E169" s="4">
        <f t="shared" si="36"/>
        <v>491544014404</v>
      </c>
      <c r="F169" s="4">
        <f t="shared" si="37"/>
        <v>12299049</v>
      </c>
      <c r="G169" s="4">
        <f t="shared" si="38"/>
        <v>7698.7745999999997</v>
      </c>
      <c r="H169" s="4">
        <f t="shared" si="39"/>
        <v>4191.7745999999997</v>
      </c>
      <c r="I169" s="4">
        <f t="shared" si="40"/>
        <v>17570974.297205158</v>
      </c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77"/>
      <c r="U169" s="76" t="s">
        <v>57</v>
      </c>
      <c r="V169" s="18" t="s">
        <v>46</v>
      </c>
      <c r="W169" s="18">
        <f>17-2</f>
        <v>15</v>
      </c>
      <c r="X169" s="18">
        <f>V160</f>
        <v>1439018303.9507999</v>
      </c>
      <c r="Y169" s="18">
        <f>X169/W169</f>
        <v>95934553.596719995</v>
      </c>
      <c r="Z169" s="18"/>
      <c r="AA169" s="77"/>
      <c r="AB169" s="77"/>
      <c r="AC169" s="77"/>
      <c r="AD169" s="77"/>
      <c r="AE169" s="77"/>
      <c r="AF169" s="77"/>
      <c r="AG169" s="77"/>
      <c r="AH169" s="77"/>
      <c r="AI169" s="77"/>
    </row>
    <row r="170" spans="1:35" ht="13.5" thickBot="1">
      <c r="A170" s="69"/>
      <c r="B170" s="69">
        <v>840420</v>
      </c>
      <c r="C170" s="4">
        <v>3441</v>
      </c>
      <c r="D170" s="4">
        <f t="shared" si="35"/>
        <v>2891885220</v>
      </c>
      <c r="E170" s="4">
        <f t="shared" si="36"/>
        <v>706305776400</v>
      </c>
      <c r="F170" s="4">
        <f t="shared" si="37"/>
        <v>11840481</v>
      </c>
      <c r="G170" s="4">
        <f t="shared" si="38"/>
        <v>6430.9808000000003</v>
      </c>
      <c r="H170" s="4">
        <f t="shared" si="39"/>
        <v>2989.9807999999998</v>
      </c>
      <c r="I170" s="4">
        <f t="shared" si="40"/>
        <v>8939985.1843686383</v>
      </c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77"/>
      <c r="U170" s="24" t="s">
        <v>58</v>
      </c>
      <c r="V170" s="19" t="s">
        <v>47</v>
      </c>
      <c r="W170" s="19">
        <f>17-1</f>
        <v>16</v>
      </c>
      <c r="X170" s="19">
        <f>V162</f>
        <v>1816352165.7584941</v>
      </c>
      <c r="Y170" s="19"/>
      <c r="Z170" s="19"/>
      <c r="AA170" s="77"/>
      <c r="AB170" s="77"/>
      <c r="AC170" s="77"/>
      <c r="AD170" s="77"/>
      <c r="AE170" s="77"/>
      <c r="AF170" s="77"/>
      <c r="AG170" s="77"/>
      <c r="AH170" s="77"/>
      <c r="AI170" s="77"/>
    </row>
    <row r="171" spans="1:35">
      <c r="A171" s="69"/>
      <c r="B171" s="69">
        <v>930042</v>
      </c>
      <c r="C171" s="4">
        <v>2835</v>
      </c>
      <c r="D171" s="4">
        <f t="shared" si="35"/>
        <v>2636669070</v>
      </c>
      <c r="E171" s="4">
        <f t="shared" si="36"/>
        <v>864978121764</v>
      </c>
      <c r="F171" s="4">
        <f t="shared" si="37"/>
        <v>8037225</v>
      </c>
      <c r="G171" s="4">
        <f t="shared" si="38"/>
        <v>5615.4206000000004</v>
      </c>
      <c r="H171" s="4">
        <f t="shared" si="39"/>
        <v>2780.4205999999999</v>
      </c>
      <c r="I171" s="4">
        <f t="shared" si="40"/>
        <v>7730738.7129043592</v>
      </c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</row>
    <row r="172" spans="1:35">
      <c r="A172" s="69"/>
      <c r="B172" s="69">
        <v>1134005</v>
      </c>
      <c r="C172" s="4">
        <v>2305</v>
      </c>
      <c r="D172" s="4">
        <f t="shared" si="35"/>
        <v>2613881525</v>
      </c>
      <c r="E172" s="4">
        <f t="shared" si="36"/>
        <v>1285967340025</v>
      </c>
      <c r="F172" s="4">
        <f t="shared" si="37"/>
        <v>5313025</v>
      </c>
      <c r="G172" s="4">
        <f t="shared" si="38"/>
        <v>3759.3573000000001</v>
      </c>
      <c r="H172" s="4">
        <f t="shared" si="39"/>
        <v>1454.3572999999999</v>
      </c>
      <c r="I172" s="4">
        <f t="shared" si="40"/>
        <v>2115155.1560632898</v>
      </c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77"/>
      <c r="U172" s="73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</row>
    <row r="173" spans="1:35">
      <c r="A173" s="69"/>
      <c r="B173" s="69">
        <v>1411270</v>
      </c>
      <c r="C173" s="4">
        <v>2600</v>
      </c>
      <c r="D173" s="4">
        <f t="shared" si="35"/>
        <v>3669302000</v>
      </c>
      <c r="E173" s="4">
        <f t="shared" si="36"/>
        <v>1991683012900</v>
      </c>
      <c r="F173" s="4">
        <f t="shared" si="37"/>
        <v>6760000</v>
      </c>
      <c r="G173" s="4">
        <f t="shared" si="38"/>
        <v>1236.2457999999999</v>
      </c>
      <c r="H173" s="4">
        <f t="shared" si="39"/>
        <v>-1363.7542000000001</v>
      </c>
      <c r="I173" s="4">
        <f t="shared" si="40"/>
        <v>1859825.5180176403</v>
      </c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</row>
    <row r="174" spans="1:35">
      <c r="A174" s="69"/>
      <c r="B174" s="69">
        <v>1638859</v>
      </c>
      <c r="C174" s="4">
        <v>3042</v>
      </c>
      <c r="D174" s="4">
        <f t="shared" si="35"/>
        <v>4985409078</v>
      </c>
      <c r="E174" s="4">
        <f t="shared" si="36"/>
        <v>2685858821881</v>
      </c>
      <c r="F174" s="4">
        <f t="shared" si="37"/>
        <v>9253764</v>
      </c>
      <c r="G174" s="4">
        <f t="shared" si="38"/>
        <v>-834.81410000000005</v>
      </c>
      <c r="H174" s="4">
        <f t="shared" si="39"/>
        <v>-3876.8141000000001</v>
      </c>
      <c r="I174" s="4">
        <f t="shared" si="40"/>
        <v>15029687.565958811</v>
      </c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77"/>
      <c r="U174" s="14"/>
      <c r="V174" s="14"/>
      <c r="W174" s="14"/>
      <c r="X174" s="14"/>
      <c r="Y174" s="14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</row>
    <row r="175" spans="1:35">
      <c r="A175" s="69"/>
      <c r="B175" s="69">
        <v>1949349</v>
      </c>
      <c r="C175" s="7">
        <v>3434</v>
      </c>
      <c r="D175" s="7">
        <f t="shared" si="35"/>
        <v>6694064466</v>
      </c>
      <c r="E175" s="7">
        <f t="shared" si="36"/>
        <v>3799961523801</v>
      </c>
      <c r="F175" s="7">
        <f t="shared" si="37"/>
        <v>11792356</v>
      </c>
      <c r="G175" s="4">
        <f t="shared" si="38"/>
        <v>-3660.2730999999999</v>
      </c>
      <c r="H175" s="4">
        <f t="shared" si="39"/>
        <v>-7094.2731000000003</v>
      </c>
      <c r="I175" s="4">
        <f t="shared" si="40"/>
        <v>50328710.817383617</v>
      </c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77"/>
      <c r="U175" s="29" t="s">
        <v>80</v>
      </c>
      <c r="V175" s="14">
        <v>0.05</v>
      </c>
      <c r="W175" s="14"/>
      <c r="X175" s="14"/>
      <c r="Y175" s="14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</row>
    <row r="176" spans="1:35">
      <c r="A176" s="4" t="s">
        <v>18</v>
      </c>
      <c r="B176" s="4">
        <f t="shared" ref="B176:I176" si="41">SUM(B159:B175)</f>
        <v>12297324</v>
      </c>
      <c r="C176" s="4">
        <f t="shared" si="41"/>
        <v>127434</v>
      </c>
      <c r="D176" s="4">
        <f t="shared" si="41"/>
        <v>50716927330</v>
      </c>
      <c r="E176" s="4">
        <f t="shared" si="41"/>
        <v>13446026905630</v>
      </c>
      <c r="F176" s="4">
        <f t="shared" si="41"/>
        <v>2771612410</v>
      </c>
      <c r="G176" s="4">
        <f t="shared" si="41"/>
        <v>127433.99920000001</v>
      </c>
      <c r="H176" s="4">
        <f t="shared" si="41"/>
        <v>-8.0000000525615178E-4</v>
      </c>
      <c r="I176" s="4">
        <f t="shared" si="41"/>
        <v>1438510252.1532426</v>
      </c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77"/>
      <c r="U176" s="14"/>
      <c r="V176" s="14"/>
      <c r="W176" s="14"/>
      <c r="X176" s="14"/>
      <c r="Y176" s="14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</row>
    <row r="177" spans="1:35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77"/>
      <c r="U177" s="14"/>
      <c r="V177" s="14"/>
      <c r="W177" s="14"/>
      <c r="X177" s="14"/>
      <c r="Y177" s="14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</row>
    <row r="178" spans="1:35">
      <c r="A178" s="69"/>
      <c r="B178" s="69"/>
      <c r="C178" s="69"/>
      <c r="D178" s="69">
        <f>D176-(L166*L167*L168)</f>
        <v>-41465259539.302399</v>
      </c>
      <c r="E178" s="69"/>
      <c r="F178" s="69"/>
      <c r="G178" s="69"/>
      <c r="H178" s="69"/>
      <c r="I178" s="69">
        <f>E176-(L166*(L167^2))</f>
        <v>4550487049102</v>
      </c>
      <c r="J178" s="69"/>
      <c r="K178" s="69"/>
      <c r="L178" s="69"/>
      <c r="M178" s="69"/>
      <c r="N178" s="69">
        <f>F176-(L166*(L168^2))</f>
        <v>1816352165.7584941</v>
      </c>
      <c r="O178" s="69"/>
      <c r="P178" s="69"/>
      <c r="Q178" s="69"/>
      <c r="R178" s="69"/>
      <c r="S178" s="69"/>
      <c r="T178" s="77"/>
      <c r="U178" s="14"/>
      <c r="V178" s="14"/>
      <c r="W178" s="14"/>
      <c r="X178" s="14"/>
      <c r="Y178" s="14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</row>
    <row r="179" spans="1:35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77"/>
      <c r="U179" s="29" t="s">
        <v>133</v>
      </c>
      <c r="V179" s="14">
        <f>Z168</f>
        <v>3.9385452042935079</v>
      </c>
      <c r="W179" s="14"/>
      <c r="X179" s="14"/>
      <c r="Y179" s="14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</row>
    <row r="180" spans="1:35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77"/>
      <c r="U180" s="14"/>
      <c r="V180" s="14"/>
      <c r="W180" s="14"/>
      <c r="X180" s="14"/>
      <c r="Y180" s="14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</row>
    <row r="181" spans="1:35">
      <c r="A181" s="69"/>
      <c r="B181" s="69"/>
      <c r="C181" s="69">
        <f>D178/(SQRT(I178)*SQRT(N178))</f>
        <v>-0.45609511281047321</v>
      </c>
      <c r="D181" s="69"/>
      <c r="E181" s="69"/>
      <c r="F181" s="69"/>
      <c r="G181" s="69"/>
      <c r="H181" s="69">
        <f>C181^2</f>
        <v>0.20802275192959829</v>
      </c>
      <c r="I181" s="69"/>
      <c r="J181" s="69"/>
      <c r="K181" s="69"/>
      <c r="L181" s="69">
        <f>ROUND(D178/I178,4)</f>
        <v>-9.1000000000000004E-3</v>
      </c>
      <c r="M181" s="69"/>
      <c r="N181" s="69"/>
      <c r="O181" s="69"/>
      <c r="P181" s="69">
        <f>ROUND((L168-(L181*L167)),4)</f>
        <v>14078.802799999999</v>
      </c>
      <c r="Q181" s="69"/>
      <c r="R181" s="69"/>
      <c r="S181" s="69"/>
      <c r="T181" s="77"/>
      <c r="U181" s="14"/>
      <c r="V181" s="14"/>
      <c r="W181" s="14"/>
      <c r="X181" s="14"/>
      <c r="Y181" s="14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</row>
    <row r="182" spans="1:35">
      <c r="A182" s="69"/>
      <c r="B182" s="69"/>
      <c r="C182" s="12"/>
      <c r="D182" s="12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77"/>
      <c r="U182" s="14" t="str">
        <f>"f(0,05);("&amp;W168&amp;","&amp;W169&amp;")="</f>
        <v>f(0,05);(1,15)=</v>
      </c>
      <c r="V182" s="14">
        <f>ROUND(_xlfn.F.INV.RT(V175,W168,W169),4)</f>
        <v>4.5430999999999999</v>
      </c>
      <c r="W182" s="14"/>
      <c r="X182" s="14"/>
      <c r="Y182" s="14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</row>
    <row r="183" spans="1:35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77"/>
      <c r="U183" s="14"/>
      <c r="V183" s="14"/>
      <c r="W183" s="14"/>
      <c r="X183" s="14"/>
      <c r="Y183" s="14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</row>
    <row r="184" spans="1:35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 t="str">
        <f>"𝑦 ̂="&amp;P181&amp;"+"&amp;L181&amp;"x ̂"</f>
        <v>𝑦 ̂=14078,8028+-0,0091x ̂</v>
      </c>
      <c r="M184" s="69"/>
      <c r="N184" s="69"/>
      <c r="O184" s="69"/>
      <c r="P184" s="69"/>
      <c r="Q184" s="69"/>
      <c r="R184" s="69"/>
      <c r="S184" s="69"/>
      <c r="T184" s="77"/>
      <c r="U184" s="14" t="str">
        <f>IF(V182&lt;=V179, "R: Como  " &amp;ROUND(V182,4) &amp;" &lt; "&amp;ROUND(V179,4)&amp;" o modelo é significativo","R: Como  " &amp;ROUND(V182,4) &amp;" &gt; "&amp;ROUND(V179,4)&amp;" o modelo não é significativo" )</f>
        <v>R: Como  4,5431 &gt; 3,9385 o modelo não é significativo</v>
      </c>
      <c r="V184" s="14"/>
      <c r="W184" s="14"/>
      <c r="X184" s="14"/>
      <c r="Y184" s="14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</row>
    <row r="185" spans="1:35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</row>
    <row r="186" spans="1:3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</row>
    <row r="187" spans="1:35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</row>
    <row r="188" spans="1:35">
      <c r="A188" s="69"/>
      <c r="B188" s="69"/>
      <c r="C188" s="79" t="s">
        <v>138</v>
      </c>
      <c r="D188" s="78" t="s">
        <v>137</v>
      </c>
      <c r="E188" s="78" t="s">
        <v>137</v>
      </c>
      <c r="F188" s="79" t="s">
        <v>138</v>
      </c>
      <c r="G188" s="78" t="s">
        <v>137</v>
      </c>
      <c r="H188" s="79" t="s">
        <v>138</v>
      </c>
      <c r="I188" s="69"/>
      <c r="J188" s="78" t="s">
        <v>137</v>
      </c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</row>
    <row r="189" spans="1:35">
      <c r="A189" s="69"/>
      <c r="B189" s="4" t="s">
        <v>30</v>
      </c>
      <c r="C189" s="4">
        <f>C26</f>
        <v>-0.41538051013868338</v>
      </c>
      <c r="D189" s="4">
        <f>C57</f>
        <v>0.81541997331674998</v>
      </c>
      <c r="E189" s="4">
        <f>C88</f>
        <v>0.90282041443617089</v>
      </c>
      <c r="F189" s="4">
        <f>C119</f>
        <v>5.2464979933403648E-2</v>
      </c>
      <c r="G189" s="4">
        <f>C150</f>
        <v>0.96635447930614848</v>
      </c>
      <c r="H189" s="4">
        <f>C181</f>
        <v>-0.45609511281047321</v>
      </c>
      <c r="I189" s="12"/>
      <c r="J189" s="79" t="s">
        <v>138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69"/>
      <c r="X189" s="69"/>
    </row>
    <row r="190" spans="1:35">
      <c r="A190" s="69"/>
      <c r="B190" s="4" t="s">
        <v>39</v>
      </c>
      <c r="C190" s="4">
        <f t="shared" ref="C190:H190" si="42">C189^2</f>
        <v>0.17254096820307285</v>
      </c>
      <c r="D190" s="4">
        <f t="shared" si="42"/>
        <v>0.66490973288388922</v>
      </c>
      <c r="E190" s="4">
        <f t="shared" si="42"/>
        <v>0.81508470072269934</v>
      </c>
      <c r="F190" s="4">
        <f t="shared" si="42"/>
        <v>2.7525741194124476E-3</v>
      </c>
      <c r="G190" s="4">
        <f t="shared" si="42"/>
        <v>0.9338409796750573</v>
      </c>
      <c r="H190" s="4">
        <f t="shared" si="42"/>
        <v>0.20802275192959829</v>
      </c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</row>
    <row r="191" spans="1:35">
      <c r="A191" s="69"/>
      <c r="B191" s="80" t="s">
        <v>31</v>
      </c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69"/>
      <c r="Q191" s="69"/>
      <c r="R191" s="69"/>
      <c r="S191" s="69"/>
      <c r="T191" s="69"/>
      <c r="U191" s="69"/>
      <c r="V191" s="69"/>
      <c r="W191" s="69"/>
      <c r="X191" s="69"/>
    </row>
    <row r="192" spans="1:35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</row>
    <row r="193" spans="1:24">
      <c r="A193" s="69"/>
      <c r="B193" s="35" t="s">
        <v>32</v>
      </c>
      <c r="C193" s="33">
        <f>G189</f>
        <v>0.96635447930614848</v>
      </c>
      <c r="D193" s="70" t="s">
        <v>20</v>
      </c>
      <c r="E193" s="33">
        <f>L136</f>
        <v>3.6700000000000003E-2</v>
      </c>
      <c r="F193" s="81" t="s">
        <v>53</v>
      </c>
      <c r="G193" s="81"/>
      <c r="H193" s="34" t="s">
        <v>41</v>
      </c>
      <c r="I193" s="33">
        <f>ROUND(E197-K193*E195,4)</f>
        <v>120168079.8126</v>
      </c>
      <c r="J193" s="38"/>
      <c r="K193" s="33">
        <f>L150</f>
        <v>219778.8774</v>
      </c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</row>
    <row r="194" spans="1:24">
      <c r="A194" s="69"/>
      <c r="B194" s="30" t="s">
        <v>40</v>
      </c>
      <c r="C194" s="26">
        <f>G190</f>
        <v>0.9338409796750573</v>
      </c>
      <c r="D194" s="71" t="s">
        <v>21</v>
      </c>
      <c r="E194" s="26">
        <f>L137</f>
        <v>7496.1175999999996</v>
      </c>
      <c r="F194" s="82" t="s">
        <v>54</v>
      </c>
      <c r="G194" s="82"/>
      <c r="H194" s="69" t="s">
        <v>42</v>
      </c>
      <c r="I194" s="26">
        <f>ROUND((E195^2)/E196,4)</f>
        <v>1696184085.9068</v>
      </c>
      <c r="J194" s="69"/>
      <c r="K194" s="26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</row>
    <row r="195" spans="1:24">
      <c r="A195" s="69"/>
      <c r="B195" s="30" t="s">
        <v>19</v>
      </c>
      <c r="C195" s="14">
        <v>17</v>
      </c>
      <c r="D195" s="30" t="s">
        <v>63</v>
      </c>
      <c r="E195" s="26">
        <f>D147</f>
        <v>7717.6847293600013</v>
      </c>
      <c r="F195" s="82" t="s">
        <v>52</v>
      </c>
      <c r="G195" s="82"/>
      <c r="H195" s="69" t="s">
        <v>43</v>
      </c>
      <c r="I195" s="26">
        <f>E197</f>
        <v>1816352165.7584941</v>
      </c>
      <c r="J195" s="69"/>
      <c r="K195" s="26">
        <f>P150</f>
        <v>-569.7672</v>
      </c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</row>
    <row r="196" spans="1:24">
      <c r="A196" s="69"/>
      <c r="B196" s="36"/>
      <c r="C196" s="14"/>
      <c r="D196" s="30" t="s">
        <v>64</v>
      </c>
      <c r="E196" s="26">
        <f>I147</f>
        <v>3.511568000000001E-2</v>
      </c>
      <c r="F196" s="69"/>
      <c r="G196" s="69"/>
      <c r="H196" s="69" t="s">
        <v>59</v>
      </c>
      <c r="I196" s="26">
        <f>ROUND(SQRT(I193/(C195-2)),4)</f>
        <v>2830.4072999999999</v>
      </c>
      <c r="J196" s="69"/>
      <c r="K196" s="26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</row>
    <row r="197" spans="1:24" ht="13.5" thickBot="1">
      <c r="A197" s="69"/>
      <c r="B197" s="37"/>
      <c r="C197" s="28"/>
      <c r="D197" s="30" t="s">
        <v>65</v>
      </c>
      <c r="E197" s="27">
        <f>N147</f>
        <v>1816352165.7584941</v>
      </c>
      <c r="F197" s="69"/>
      <c r="G197" s="69"/>
      <c r="H197" s="28"/>
      <c r="I197" s="27"/>
      <c r="J197" s="37"/>
      <c r="K197" s="27">
        <f>ROUND(K193*SQRT(E196/E197),4)</f>
        <v>0.96640000000000004</v>
      </c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</row>
    <row r="198" spans="1:24">
      <c r="A198" s="20"/>
      <c r="B198" s="20" t="s">
        <v>55</v>
      </c>
      <c r="C198" s="20" t="s">
        <v>48</v>
      </c>
      <c r="D198" s="20" t="s">
        <v>49</v>
      </c>
      <c r="E198" s="20" t="s">
        <v>50</v>
      </c>
      <c r="F198" s="20" t="s">
        <v>51</v>
      </c>
      <c r="G198" s="22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</row>
    <row r="199" spans="1:24">
      <c r="A199" s="71" t="s">
        <v>56</v>
      </c>
      <c r="B199" s="18" t="s">
        <v>45</v>
      </c>
      <c r="C199" s="18">
        <v>1</v>
      </c>
      <c r="D199" s="18">
        <f>I194</f>
        <v>1696184085.9068</v>
      </c>
      <c r="E199" s="18">
        <f>D199/C199</f>
        <v>1696184085.9068</v>
      </c>
      <c r="F199" s="18">
        <f>E199/E200</f>
        <v>211.72645288398996</v>
      </c>
      <c r="G199" s="18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</row>
    <row r="200" spans="1:24">
      <c r="A200" s="71" t="s">
        <v>57</v>
      </c>
      <c r="B200" s="18" t="s">
        <v>46</v>
      </c>
      <c r="C200" s="18">
        <f>C195-2</f>
        <v>15</v>
      </c>
      <c r="D200" s="18">
        <f>I193</f>
        <v>120168079.8126</v>
      </c>
      <c r="E200" s="18">
        <f>D200/C200</f>
        <v>8011205.3208400002</v>
      </c>
      <c r="F200" s="18"/>
      <c r="G200" s="18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</row>
    <row r="201" spans="1:24" ht="13.5" thickBot="1">
      <c r="A201" s="24" t="s">
        <v>58</v>
      </c>
      <c r="B201" s="19" t="s">
        <v>47</v>
      </c>
      <c r="C201" s="19">
        <f>C195-1</f>
        <v>16</v>
      </c>
      <c r="D201" s="19">
        <f>I195</f>
        <v>1816352165.7584941</v>
      </c>
      <c r="E201" s="19"/>
      <c r="F201" s="19"/>
      <c r="G201" s="1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</row>
    <row r="202" spans="1:24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</row>
    <row r="203" spans="1:24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</row>
    <row r="204" spans="1:24">
      <c r="A204" s="72"/>
      <c r="B204" s="72"/>
      <c r="C204" s="72"/>
      <c r="D204" s="72"/>
      <c r="E204" s="72"/>
      <c r="F204" s="72"/>
      <c r="G204" s="50"/>
      <c r="H204" s="50"/>
      <c r="I204" s="50"/>
      <c r="J204" s="50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</row>
    <row r="205" spans="1:24">
      <c r="A205" s="14"/>
      <c r="B205" s="18"/>
      <c r="C205" s="18"/>
      <c r="D205" s="18"/>
      <c r="E205" s="18"/>
      <c r="F205" s="18"/>
      <c r="G205" s="18"/>
      <c r="H205" s="18"/>
      <c r="I205" s="18"/>
      <c r="J205" s="18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</row>
    <row r="206" spans="1:24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</row>
    <row r="207" spans="1:24" ht="13.5" thickBo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</row>
    <row r="208" spans="1:24">
      <c r="A208" s="69"/>
      <c r="B208" s="39"/>
      <c r="C208" s="40" t="s">
        <v>61</v>
      </c>
      <c r="D208" s="41">
        <v>0.95</v>
      </c>
      <c r="E208" s="41"/>
      <c r="F208" s="41"/>
      <c r="G208" s="41"/>
      <c r="H208" s="41"/>
      <c r="I208" s="41"/>
      <c r="J208" s="42"/>
      <c r="K208" s="69"/>
      <c r="L208" s="39"/>
      <c r="M208" s="40" t="s">
        <v>61</v>
      </c>
      <c r="N208" s="41">
        <v>0.9</v>
      </c>
      <c r="O208" s="41"/>
      <c r="P208" s="41"/>
      <c r="Q208" s="41"/>
      <c r="R208" s="41"/>
      <c r="S208" s="41"/>
      <c r="T208" s="42"/>
      <c r="U208" s="69"/>
      <c r="V208" s="69"/>
      <c r="W208" s="69"/>
      <c r="X208" s="69"/>
    </row>
    <row r="209" spans="1:24">
      <c r="A209" s="21" t="s">
        <v>78</v>
      </c>
      <c r="B209" s="43"/>
      <c r="C209" s="44" t="s">
        <v>62</v>
      </c>
      <c r="D209" s="14">
        <f>1-D208</f>
        <v>5.0000000000000044E-2</v>
      </c>
      <c r="E209" s="14"/>
      <c r="F209" s="14"/>
      <c r="G209" s="14">
        <f>ROUND(SQRT(1/C195+(E193^2/E196)),4)</f>
        <v>0.31169999999999998</v>
      </c>
      <c r="H209" s="14"/>
      <c r="I209" s="29" t="s">
        <v>66</v>
      </c>
      <c r="J209" s="45">
        <f>ROUND(SQRT((I193)/(C195-2)),4)</f>
        <v>2830.4072999999999</v>
      </c>
      <c r="K209" s="69"/>
      <c r="L209" s="43"/>
      <c r="M209" s="44" t="s">
        <v>62</v>
      </c>
      <c r="N209" s="14">
        <f>1-N208</f>
        <v>9.9999999999999978E-2</v>
      </c>
      <c r="O209" s="14"/>
      <c r="P209" s="14"/>
      <c r="Q209" s="14">
        <f>ROUND(SQRT(1/C195+(E193^2/E196)),4)</f>
        <v>0.31169999999999998</v>
      </c>
      <c r="R209" s="14"/>
      <c r="S209" s="29" t="s">
        <v>66</v>
      </c>
      <c r="T209" s="45">
        <f>ROUND(SQRT((I193)/(C195-2)),4)</f>
        <v>2830.4072999999999</v>
      </c>
      <c r="U209" s="69"/>
      <c r="V209" s="69"/>
      <c r="W209" s="69"/>
      <c r="X209" s="69"/>
    </row>
    <row r="210" spans="1:24">
      <c r="A210" s="69" t="s">
        <v>69</v>
      </c>
      <c r="B210" s="43"/>
      <c r="C210" s="14"/>
      <c r="D210" s="14">
        <f>ROUND(_xlfn.T.INV(1-D209/2,C195-2),2)</f>
        <v>2.13</v>
      </c>
      <c r="E210" s="14"/>
      <c r="F210" s="14"/>
      <c r="G210" s="14"/>
      <c r="H210" s="14"/>
      <c r="I210" s="14"/>
      <c r="J210" s="45"/>
      <c r="K210" s="69"/>
      <c r="L210" s="43"/>
      <c r="M210" s="14"/>
      <c r="N210" s="14">
        <f>ROUND(_xlfn.T.INV(1-N209/2,C195-2),2)</f>
        <v>1.75</v>
      </c>
      <c r="O210" s="14"/>
      <c r="P210" s="14"/>
      <c r="Q210" s="14"/>
      <c r="R210" s="14"/>
      <c r="S210" s="14"/>
      <c r="T210" s="45"/>
      <c r="U210" s="69"/>
      <c r="V210" s="69"/>
      <c r="W210" s="69"/>
      <c r="X210" s="69"/>
    </row>
    <row r="211" spans="1:24">
      <c r="A211" s="21" t="s">
        <v>70</v>
      </c>
      <c r="B211" s="46"/>
      <c r="C211" s="14"/>
      <c r="D211" s="14"/>
      <c r="E211" s="14"/>
      <c r="F211" s="14"/>
      <c r="G211" s="14"/>
      <c r="H211" s="14"/>
      <c r="I211" s="14"/>
      <c r="J211" s="45"/>
      <c r="K211" s="69"/>
      <c r="L211" s="46"/>
      <c r="M211" s="14"/>
      <c r="N211" s="14"/>
      <c r="O211" s="14"/>
      <c r="P211" s="14"/>
      <c r="Q211" s="14"/>
      <c r="R211" s="14"/>
      <c r="S211" s="14"/>
      <c r="T211" s="45"/>
      <c r="U211" s="69"/>
      <c r="V211" s="69"/>
      <c r="W211" s="69"/>
      <c r="X211" s="69"/>
    </row>
    <row r="212" spans="1:24">
      <c r="A212" s="69"/>
      <c r="B212" s="46" t="s">
        <v>60</v>
      </c>
      <c r="C212" s="14">
        <f>ROUND(D210*G209*J209,4)</f>
        <v>1879.1668</v>
      </c>
      <c r="D212" s="14"/>
      <c r="E212" s="29" t="s">
        <v>67</v>
      </c>
      <c r="F212" s="14">
        <f>K195-C212</f>
        <v>-2448.9340000000002</v>
      </c>
      <c r="G212" s="14"/>
      <c r="H212" s="14"/>
      <c r="I212" s="14"/>
      <c r="J212" s="45"/>
      <c r="K212" s="69"/>
      <c r="L212" s="46" t="s">
        <v>60</v>
      </c>
      <c r="M212" s="14">
        <f>ROUND(N210*Q209*T209,4)</f>
        <v>1543.9164000000001</v>
      </c>
      <c r="N212" s="14"/>
      <c r="O212" s="29" t="s">
        <v>67</v>
      </c>
      <c r="P212" s="14">
        <f>K195-M212</f>
        <v>-2113.6836000000003</v>
      </c>
      <c r="Q212" s="14"/>
      <c r="R212" s="14"/>
      <c r="S212" s="14"/>
      <c r="T212" s="45"/>
      <c r="U212" s="69"/>
      <c r="V212" s="69"/>
      <c r="W212" s="69"/>
      <c r="X212" s="69"/>
    </row>
    <row r="213" spans="1:24" ht="13.5" thickBot="1">
      <c r="A213" s="69"/>
      <c r="B213" s="47"/>
      <c r="C213" s="28"/>
      <c r="D213" s="28"/>
      <c r="E213" s="48" t="s">
        <v>68</v>
      </c>
      <c r="F213" s="28">
        <f>K195+C212</f>
        <v>1309.3996</v>
      </c>
      <c r="G213" s="28"/>
      <c r="H213" s="28"/>
      <c r="I213" s="28"/>
      <c r="J213" s="49"/>
      <c r="K213" s="69"/>
      <c r="L213" s="47"/>
      <c r="M213" s="28"/>
      <c r="N213" s="28"/>
      <c r="O213" s="48" t="s">
        <v>68</v>
      </c>
      <c r="P213" s="28">
        <f>K195+M212</f>
        <v>974.14920000000006</v>
      </c>
      <c r="Q213" s="28"/>
      <c r="R213" s="28"/>
      <c r="S213" s="28"/>
      <c r="T213" s="49"/>
      <c r="U213" s="69"/>
      <c r="V213" s="69"/>
      <c r="W213" s="69"/>
      <c r="X213" s="69"/>
    </row>
    <row r="214" spans="1:24" ht="13.5" thickBot="1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</row>
    <row r="215" spans="1:24">
      <c r="A215" s="69"/>
      <c r="B215" s="39"/>
      <c r="C215" s="40" t="s">
        <v>61</v>
      </c>
      <c r="D215" s="41">
        <v>0.95</v>
      </c>
      <c r="E215" s="41"/>
      <c r="F215" s="41"/>
      <c r="G215" s="41"/>
      <c r="H215" s="41"/>
      <c r="I215" s="41"/>
      <c r="J215" s="42"/>
      <c r="K215" s="69"/>
      <c r="L215" s="39"/>
      <c r="M215" s="40" t="s">
        <v>61</v>
      </c>
      <c r="N215" s="41">
        <v>0.9</v>
      </c>
      <c r="O215" s="41"/>
      <c r="P215" s="41"/>
      <c r="Q215" s="41"/>
      <c r="R215" s="41"/>
      <c r="S215" s="41"/>
      <c r="T215" s="42"/>
      <c r="U215" s="69"/>
      <c r="V215" s="69"/>
      <c r="W215" s="69"/>
      <c r="X215" s="69"/>
    </row>
    <row r="216" spans="1:24">
      <c r="A216" s="21" t="s">
        <v>78</v>
      </c>
      <c r="B216" s="43"/>
      <c r="C216" s="44" t="s">
        <v>62</v>
      </c>
      <c r="D216" s="14">
        <f>1-D215</f>
        <v>5.0000000000000044E-2</v>
      </c>
      <c r="E216" s="14"/>
      <c r="F216" s="14"/>
      <c r="G216" s="14">
        <f>ROUND(SQRT(1/E196),4)</f>
        <v>5.3364000000000003</v>
      </c>
      <c r="H216" s="14"/>
      <c r="I216" s="29" t="s">
        <v>66</v>
      </c>
      <c r="J216" s="45">
        <f>ROUND(SQRT((I193)/(C195-2)),4)</f>
        <v>2830.4072999999999</v>
      </c>
      <c r="K216" s="69"/>
      <c r="L216" s="43"/>
      <c r="M216" s="44" t="s">
        <v>62</v>
      </c>
      <c r="N216" s="14">
        <f>1-N215</f>
        <v>9.9999999999999978E-2</v>
      </c>
      <c r="O216" s="14"/>
      <c r="P216" s="14"/>
      <c r="Q216" s="14">
        <f>ROUND(SQRT(1/E196),4)</f>
        <v>5.3364000000000003</v>
      </c>
      <c r="R216" s="14"/>
      <c r="S216" s="29" t="s">
        <v>66</v>
      </c>
      <c r="T216" s="45">
        <f>ROUND(SQRT((I193)/(C195-2)),4)</f>
        <v>2830.4072999999999</v>
      </c>
      <c r="U216" s="69"/>
      <c r="V216" s="69"/>
      <c r="W216" s="69"/>
      <c r="X216" s="69"/>
    </row>
    <row r="217" spans="1:24">
      <c r="A217" s="69" t="s">
        <v>69</v>
      </c>
      <c r="B217" s="43"/>
      <c r="C217" s="14"/>
      <c r="D217" s="14">
        <f>ROUND(_xlfn.T.INV(1-D216/2,C195-2),2)</f>
        <v>2.13</v>
      </c>
      <c r="E217" s="14"/>
      <c r="F217" s="14"/>
      <c r="G217" s="14"/>
      <c r="H217" s="14"/>
      <c r="I217" s="14"/>
      <c r="J217" s="45"/>
      <c r="K217" s="69"/>
      <c r="L217" s="43"/>
      <c r="M217" s="14"/>
      <c r="N217" s="14">
        <f>ROUND(_xlfn.T.INV(1-N216/2,C195-2),2)</f>
        <v>1.75</v>
      </c>
      <c r="O217" s="14"/>
      <c r="P217" s="14"/>
      <c r="Q217" s="14"/>
      <c r="R217" s="14"/>
      <c r="S217" s="14"/>
      <c r="T217" s="45"/>
      <c r="U217" s="69"/>
      <c r="V217" s="69"/>
      <c r="W217" s="69"/>
      <c r="X217" s="69"/>
    </row>
    <row r="218" spans="1:24">
      <c r="A218" s="21" t="s">
        <v>71</v>
      </c>
      <c r="B218" s="46"/>
      <c r="C218" s="14"/>
      <c r="D218" s="14"/>
      <c r="E218" s="14"/>
      <c r="F218" s="14"/>
      <c r="G218" s="14"/>
      <c r="H218" s="14"/>
      <c r="I218" s="14"/>
      <c r="J218" s="45"/>
      <c r="K218" s="69"/>
      <c r="L218" s="46"/>
      <c r="M218" s="14"/>
      <c r="N218" s="14"/>
      <c r="O218" s="14"/>
      <c r="P218" s="14"/>
      <c r="Q218" s="14"/>
      <c r="R218" s="14"/>
      <c r="S218" s="14"/>
      <c r="T218" s="45"/>
      <c r="U218" s="69"/>
      <c r="V218" s="69"/>
      <c r="W218" s="69"/>
      <c r="X218" s="69"/>
    </row>
    <row r="219" spans="1:24">
      <c r="A219" s="69"/>
      <c r="B219" s="46" t="s">
        <v>60</v>
      </c>
      <c r="C219" s="14">
        <f>D217*G216*J216</f>
        <v>32171.915148483597</v>
      </c>
      <c r="D219" s="14"/>
      <c r="E219" s="29" t="s">
        <v>67</v>
      </c>
      <c r="F219" s="14">
        <f>K193-C219</f>
        <v>187606.96225151641</v>
      </c>
      <c r="G219" s="14"/>
      <c r="H219" s="14"/>
      <c r="I219" s="14"/>
      <c r="J219" s="45"/>
      <c r="K219" s="69"/>
      <c r="L219" s="46" t="s">
        <v>60</v>
      </c>
      <c r="M219" s="14">
        <f>N217*Q216*T216</f>
        <v>26432.32465251</v>
      </c>
      <c r="N219" s="14"/>
      <c r="O219" s="29" t="s">
        <v>67</v>
      </c>
      <c r="P219" s="14">
        <f>K193-M219</f>
        <v>193346.55274749</v>
      </c>
      <c r="Q219" s="14"/>
      <c r="R219" s="14"/>
      <c r="S219" s="14"/>
      <c r="T219" s="45"/>
      <c r="U219" s="69"/>
      <c r="V219" s="69"/>
      <c r="W219" s="69"/>
      <c r="X219" s="69"/>
    </row>
    <row r="220" spans="1:24" ht="13.5" thickBot="1">
      <c r="A220" s="69"/>
      <c r="B220" s="47"/>
      <c r="C220" s="28"/>
      <c r="D220" s="28"/>
      <c r="E220" s="48" t="s">
        <v>68</v>
      </c>
      <c r="F220" s="28">
        <f>K193+C219</f>
        <v>251950.79254848359</v>
      </c>
      <c r="G220" s="28"/>
      <c r="H220" s="28"/>
      <c r="I220" s="28"/>
      <c r="J220" s="49"/>
      <c r="K220" s="69"/>
      <c r="L220" s="47"/>
      <c r="M220" s="28"/>
      <c r="N220" s="28"/>
      <c r="O220" s="48" t="s">
        <v>68</v>
      </c>
      <c r="P220" s="28">
        <f>K193+M219</f>
        <v>246211.20205250999</v>
      </c>
      <c r="Q220" s="28"/>
      <c r="R220" s="28"/>
      <c r="S220" s="28"/>
      <c r="T220" s="49"/>
      <c r="U220" s="69"/>
      <c r="V220" s="69"/>
      <c r="W220" s="69"/>
      <c r="X220" s="69"/>
    </row>
    <row r="221" spans="1:24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</row>
    <row r="222" spans="1:24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</row>
    <row r="223" spans="1:24" ht="13.5" thickBot="1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</row>
    <row r="224" spans="1:24">
      <c r="A224" s="21" t="s">
        <v>78</v>
      </c>
      <c r="B224" s="39"/>
      <c r="C224" s="40" t="s">
        <v>61</v>
      </c>
      <c r="D224" s="41">
        <v>0.95</v>
      </c>
      <c r="E224" s="41"/>
      <c r="F224" s="41"/>
      <c r="G224" s="41"/>
      <c r="H224" s="41"/>
      <c r="I224" s="41"/>
      <c r="J224" s="42"/>
      <c r="K224" s="69"/>
      <c r="L224" s="39"/>
      <c r="M224" s="40" t="s">
        <v>61</v>
      </c>
      <c r="N224" s="41">
        <v>0.9</v>
      </c>
      <c r="O224" s="41"/>
      <c r="P224" s="41"/>
      <c r="Q224" s="41"/>
      <c r="R224" s="41"/>
      <c r="S224" s="41"/>
      <c r="T224" s="42"/>
      <c r="U224" s="69"/>
      <c r="V224" s="69"/>
      <c r="W224" s="69"/>
      <c r="X224" s="69"/>
    </row>
    <row r="225" spans="1:24">
      <c r="A225" s="21" t="s">
        <v>91</v>
      </c>
      <c r="B225" s="43"/>
      <c r="C225" s="44" t="s">
        <v>62</v>
      </c>
      <c r="D225" s="14">
        <f>1-D224</f>
        <v>5.0000000000000044E-2</v>
      </c>
      <c r="E225" s="14"/>
      <c r="F225" s="14"/>
      <c r="G225" s="14">
        <f>ROUND(SQRT(1/C195+((I227-E193)^2/E196)),4)</f>
        <v>0.79769999999999996</v>
      </c>
      <c r="H225" s="14"/>
      <c r="I225" s="29" t="s">
        <v>66</v>
      </c>
      <c r="J225" s="45">
        <f>ROUND(SQRT((I193)/(C195-2)),4)</f>
        <v>2830.4072999999999</v>
      </c>
      <c r="K225" s="69"/>
      <c r="L225" s="43"/>
      <c r="M225" s="44" t="s">
        <v>62</v>
      </c>
      <c r="N225" s="14">
        <f>1-N224</f>
        <v>9.9999999999999978E-2</v>
      </c>
      <c r="O225" s="14"/>
      <c r="P225" s="14"/>
      <c r="Q225" s="14">
        <f>ROUND(SQRT(1/C195+((I227-E193)^2/E196)),4)</f>
        <v>0.79769999999999996</v>
      </c>
      <c r="R225" s="14"/>
      <c r="S225" s="29" t="s">
        <v>66</v>
      </c>
      <c r="T225" s="45">
        <f>ROUND(SQRT((I193)/(C195-2)),4)</f>
        <v>2830.4072999999999</v>
      </c>
      <c r="U225" s="69"/>
      <c r="V225" s="69"/>
      <c r="W225" s="69"/>
      <c r="X225" s="69"/>
    </row>
    <row r="226" spans="1:24">
      <c r="A226" s="21" t="s">
        <v>92</v>
      </c>
      <c r="B226" s="43"/>
      <c r="C226" s="14"/>
      <c r="D226" s="14">
        <f>ROUND(_xlfn.T.INV(1-D225/2,17-2),2)</f>
        <v>2.13</v>
      </c>
      <c r="E226" s="14"/>
      <c r="F226" s="14"/>
      <c r="G226" s="14"/>
      <c r="H226" s="14"/>
      <c r="I226" s="14"/>
      <c r="J226" s="45"/>
      <c r="K226" s="69"/>
      <c r="L226" s="43"/>
      <c r="M226" s="14"/>
      <c r="N226" s="14">
        <f>ROUND(_xlfn.T.INV(1-N225/2,17-2),2)</f>
        <v>1.75</v>
      </c>
      <c r="O226" s="14"/>
      <c r="P226" s="14"/>
      <c r="Q226" s="14"/>
      <c r="R226" s="14"/>
      <c r="S226" s="14"/>
      <c r="T226" s="45"/>
      <c r="U226" s="69"/>
      <c r="V226" s="69"/>
      <c r="W226" s="69"/>
      <c r="X226" s="69"/>
    </row>
    <row r="227" spans="1:24">
      <c r="A227" s="21" t="s">
        <v>93</v>
      </c>
      <c r="B227" s="46"/>
      <c r="C227" s="14"/>
      <c r="D227" s="14"/>
      <c r="E227" s="14"/>
      <c r="F227" s="14"/>
      <c r="G227" s="14"/>
      <c r="H227" s="14" t="s">
        <v>127</v>
      </c>
      <c r="I227" s="14">
        <f>B128</f>
        <v>0.17910000000000001</v>
      </c>
      <c r="J227" s="45"/>
      <c r="K227" s="69"/>
      <c r="L227" s="46"/>
      <c r="M227" s="14"/>
      <c r="N227" s="14"/>
      <c r="O227" s="14"/>
      <c r="P227" s="14"/>
      <c r="Q227" s="14"/>
      <c r="R227" s="14" t="s">
        <v>127</v>
      </c>
      <c r="S227" s="14">
        <f>B128</f>
        <v>0.17910000000000001</v>
      </c>
      <c r="T227" s="45"/>
      <c r="U227" s="69"/>
      <c r="V227" s="69"/>
      <c r="W227" s="69"/>
      <c r="X227" s="69"/>
    </row>
    <row r="228" spans="1:24">
      <c r="A228" s="21" t="s">
        <v>94</v>
      </c>
      <c r="B228" s="46" t="s">
        <v>60</v>
      </c>
      <c r="C228" s="14">
        <f>ROUND(D226*G225*J225,4)</f>
        <v>4809.1478999999999</v>
      </c>
      <c r="D228" s="14"/>
      <c r="E228" s="29" t="s">
        <v>67</v>
      </c>
      <c r="F228" s="14">
        <f>I228-C228</f>
        <v>33983.481799999994</v>
      </c>
      <c r="G228" s="14"/>
      <c r="H228" s="14" t="str">
        <f>"y("&amp;I227&amp;")="</f>
        <v>y(0,1791)=</v>
      </c>
      <c r="I228" s="14">
        <f>ROUND(K195+K193*I227,4)</f>
        <v>38792.629699999998</v>
      </c>
      <c r="J228" s="45"/>
      <c r="K228" s="69"/>
      <c r="L228" s="46" t="s">
        <v>60</v>
      </c>
      <c r="M228" s="14">
        <f>ROUND(N226*Q225*T225,4)</f>
        <v>3951.1777999999999</v>
      </c>
      <c r="N228" s="14"/>
      <c r="O228" s="29" t="s">
        <v>67</v>
      </c>
      <c r="P228" s="14">
        <f>S228-M228</f>
        <v>34841.4519</v>
      </c>
      <c r="Q228" s="14"/>
      <c r="R228" s="14" t="str">
        <f>"y("&amp;S227&amp;")="</f>
        <v>y(0,1791)=</v>
      </c>
      <c r="S228" s="14">
        <f>ROUND(K195+K193*I227,4)</f>
        <v>38792.629699999998</v>
      </c>
      <c r="T228" s="45"/>
      <c r="U228" s="69"/>
      <c r="V228" s="69"/>
      <c r="W228" s="69"/>
      <c r="X228" s="69"/>
    </row>
    <row r="229" spans="1:24">
      <c r="A229" s="69"/>
      <c r="B229" s="43"/>
      <c r="C229" s="14"/>
      <c r="D229" s="14"/>
      <c r="E229" s="29" t="s">
        <v>68</v>
      </c>
      <c r="F229" s="14">
        <f>I228+C228</f>
        <v>43601.777600000001</v>
      </c>
      <c r="G229" s="14"/>
      <c r="H229" s="14"/>
      <c r="I229" s="14"/>
      <c r="J229" s="45"/>
      <c r="K229" s="69"/>
      <c r="L229" s="43"/>
      <c r="M229" s="14"/>
      <c r="N229" s="14"/>
      <c r="O229" s="29" t="s">
        <v>68</v>
      </c>
      <c r="P229" s="14">
        <f>S228+M228</f>
        <v>42743.807499999995</v>
      </c>
      <c r="Q229" s="14"/>
      <c r="R229" s="14"/>
      <c r="S229" s="14"/>
      <c r="T229" s="45"/>
      <c r="U229" s="69"/>
      <c r="V229" s="69"/>
      <c r="W229" s="69"/>
      <c r="X229" s="69"/>
    </row>
    <row r="230" spans="1:24">
      <c r="A230" s="69"/>
      <c r="B230" s="43"/>
      <c r="C230" s="14"/>
      <c r="D230" s="14"/>
      <c r="E230" s="14"/>
      <c r="F230" s="14"/>
      <c r="G230" s="14"/>
      <c r="H230" s="14"/>
      <c r="I230" s="14"/>
      <c r="J230" s="45"/>
      <c r="K230" s="69"/>
      <c r="L230" s="43"/>
      <c r="M230" s="14"/>
      <c r="N230" s="14"/>
      <c r="O230" s="14"/>
      <c r="P230" s="14"/>
      <c r="Q230" s="14"/>
      <c r="R230" s="14"/>
      <c r="S230" s="14"/>
      <c r="T230" s="45"/>
      <c r="U230" s="69"/>
      <c r="V230" s="69"/>
      <c r="W230" s="69"/>
      <c r="X230" s="69"/>
    </row>
    <row r="231" spans="1:24" ht="16.5" thickBot="1">
      <c r="A231" s="69"/>
      <c r="B231" s="47"/>
      <c r="C231" s="28"/>
      <c r="D231" s="28"/>
      <c r="E231" s="28" t="s">
        <v>98</v>
      </c>
      <c r="F231" s="28" t="str">
        <f>"]"&amp;F228&amp;";"&amp;F229&amp;"["</f>
        <v>]33983,4818;43601,7776[</v>
      </c>
      <c r="G231" s="28"/>
      <c r="H231" s="28"/>
      <c r="I231" s="28"/>
      <c r="J231" s="49"/>
      <c r="K231" s="69"/>
      <c r="L231" s="47"/>
      <c r="M231" s="28"/>
      <c r="N231" s="28"/>
      <c r="O231" s="28" t="s">
        <v>139</v>
      </c>
      <c r="P231" s="28" t="str">
        <f>"]"&amp;P228&amp;";"&amp;P229&amp;"["</f>
        <v>]34841,4519;42743,8075[</v>
      </c>
      <c r="Q231" s="28"/>
      <c r="R231" s="28"/>
      <c r="S231" s="28"/>
      <c r="T231" s="49"/>
      <c r="U231" s="69"/>
      <c r="V231" s="69"/>
      <c r="W231" s="69"/>
      <c r="X231" s="69"/>
    </row>
    <row r="232" spans="1:24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</row>
    <row r="233" spans="1:24" ht="13.5" thickBot="1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</row>
    <row r="234" spans="1:24">
      <c r="A234" s="21" t="s">
        <v>78</v>
      </c>
      <c r="B234" s="39"/>
      <c r="C234" s="40" t="s">
        <v>61</v>
      </c>
      <c r="D234" s="41">
        <v>0.95</v>
      </c>
      <c r="E234" s="41"/>
      <c r="F234" s="41"/>
      <c r="G234" s="41"/>
      <c r="H234" s="41"/>
      <c r="I234" s="41"/>
      <c r="J234" s="42"/>
      <c r="K234" s="69"/>
      <c r="L234" s="39"/>
      <c r="M234" s="40" t="s">
        <v>61</v>
      </c>
      <c r="N234" s="41">
        <v>0.9</v>
      </c>
      <c r="O234" s="41"/>
      <c r="P234" s="41"/>
      <c r="Q234" s="41"/>
      <c r="R234" s="41"/>
      <c r="S234" s="41"/>
      <c r="T234" s="42"/>
      <c r="U234" s="69"/>
      <c r="V234" s="69"/>
      <c r="W234" s="69"/>
      <c r="X234" s="69"/>
    </row>
    <row r="235" spans="1:24">
      <c r="A235" s="21" t="s">
        <v>99</v>
      </c>
      <c r="B235" s="43"/>
      <c r="C235" s="44" t="s">
        <v>62</v>
      </c>
      <c r="D235" s="14">
        <f>1-D234</f>
        <v>5.0000000000000044E-2</v>
      </c>
      <c r="E235" s="14"/>
      <c r="F235" s="14"/>
      <c r="G235" s="14">
        <f>ROUND(SQRT(1+1/C195+((I227-E193)^2/E196)),4)</f>
        <v>1.2791999999999999</v>
      </c>
      <c r="H235" s="14"/>
      <c r="I235" s="29" t="s">
        <v>66</v>
      </c>
      <c r="J235" s="45">
        <f>ROUND(SQRT((I193)/(C195-2)),4)</f>
        <v>2830.4072999999999</v>
      </c>
      <c r="K235" s="69"/>
      <c r="L235" s="43"/>
      <c r="M235" s="44" t="s">
        <v>62</v>
      </c>
      <c r="N235" s="14">
        <f>1-N234</f>
        <v>9.9999999999999978E-2</v>
      </c>
      <c r="O235" s="14"/>
      <c r="P235" s="14"/>
      <c r="Q235" s="14">
        <f>ROUND(SQRT(1+1/C195+((I227-E193)^2/E196)),4)</f>
        <v>1.2791999999999999</v>
      </c>
      <c r="R235" s="14"/>
      <c r="S235" s="29" t="s">
        <v>66</v>
      </c>
      <c r="T235" s="45">
        <f>ROUND(SQRT((I193)/(C195-2)),4)</f>
        <v>2830.4072999999999</v>
      </c>
      <c r="U235" s="69"/>
      <c r="V235" s="69"/>
      <c r="W235" s="69"/>
      <c r="X235" s="69"/>
    </row>
    <row r="236" spans="1:24">
      <c r="A236" s="21" t="s">
        <v>100</v>
      </c>
      <c r="B236" s="43"/>
      <c r="C236" s="14"/>
      <c r="D236" s="14">
        <f>ROUND(_xlfn.T.INV(1-D235/2,17-2),2)</f>
        <v>2.13</v>
      </c>
      <c r="E236" s="14"/>
      <c r="F236" s="14"/>
      <c r="G236" s="14"/>
      <c r="H236" s="14"/>
      <c r="I236" s="14"/>
      <c r="J236" s="45"/>
      <c r="K236" s="69"/>
      <c r="L236" s="43"/>
      <c r="M236" s="14"/>
      <c r="N236" s="14">
        <f>ROUND(_xlfn.T.INV(1-N235/2,17-2),2)</f>
        <v>1.75</v>
      </c>
      <c r="O236" s="14"/>
      <c r="P236" s="14"/>
      <c r="Q236" s="14"/>
      <c r="R236" s="14"/>
      <c r="S236" s="14"/>
      <c r="T236" s="45"/>
      <c r="U236" s="69"/>
      <c r="V236" s="69"/>
      <c r="W236" s="69"/>
      <c r="X236" s="69"/>
    </row>
    <row r="237" spans="1:24">
      <c r="A237" s="21" t="s">
        <v>101</v>
      </c>
      <c r="B237" s="46"/>
      <c r="C237" s="14"/>
      <c r="D237" s="14"/>
      <c r="E237" s="14"/>
      <c r="F237" s="14"/>
      <c r="G237" s="14"/>
      <c r="H237" s="14" t="s">
        <v>127</v>
      </c>
      <c r="I237" s="14">
        <f>B128</f>
        <v>0.17910000000000001</v>
      </c>
      <c r="J237" s="45"/>
      <c r="K237" s="69"/>
      <c r="L237" s="46"/>
      <c r="M237" s="14"/>
      <c r="N237" s="14"/>
      <c r="O237" s="14"/>
      <c r="P237" s="14"/>
      <c r="Q237" s="14"/>
      <c r="R237" s="14" t="s">
        <v>127</v>
      </c>
      <c r="S237" s="14">
        <f>B128</f>
        <v>0.17910000000000001</v>
      </c>
      <c r="T237" s="45"/>
      <c r="U237" s="69"/>
      <c r="V237" s="69"/>
      <c r="W237" s="69"/>
      <c r="X237" s="69"/>
    </row>
    <row r="238" spans="1:24">
      <c r="A238" s="21" t="s">
        <v>102</v>
      </c>
      <c r="B238" s="46" t="s">
        <v>60</v>
      </c>
      <c r="C238" s="14">
        <f>ROUND(D236*G235*J235,4)</f>
        <v>7711.9993999999997</v>
      </c>
      <c r="D238" s="14"/>
      <c r="E238" s="29" t="s">
        <v>67</v>
      </c>
      <c r="F238" s="14">
        <f>I238-C238</f>
        <v>31080.630299999997</v>
      </c>
      <c r="G238" s="14"/>
      <c r="H238" s="14" t="str">
        <f>"y("&amp;I237&amp;")="</f>
        <v>y(0,1791)=</v>
      </c>
      <c r="I238" s="14">
        <f>ROUND(K195+K193*I227,4)</f>
        <v>38792.629699999998</v>
      </c>
      <c r="J238" s="45"/>
      <c r="K238" s="69"/>
      <c r="L238" s="46" t="s">
        <v>60</v>
      </c>
      <c r="M238" s="14">
        <f>ROUND(N236*Q235*T235,4)</f>
        <v>6336.1498000000001</v>
      </c>
      <c r="N238" s="14"/>
      <c r="O238" s="29" t="s">
        <v>67</v>
      </c>
      <c r="P238" s="14">
        <f>S238-M238</f>
        <v>32456.479899999998</v>
      </c>
      <c r="Q238" s="14"/>
      <c r="R238" s="14" t="str">
        <f>"y("&amp;S237&amp;")="</f>
        <v>y(0,1791)=</v>
      </c>
      <c r="S238" s="14">
        <f>ROUND(K195+K193*I227,4)</f>
        <v>38792.629699999998</v>
      </c>
      <c r="T238" s="45"/>
      <c r="U238" s="69"/>
      <c r="V238" s="69"/>
      <c r="W238" s="69"/>
      <c r="X238" s="69"/>
    </row>
    <row r="239" spans="1:24">
      <c r="A239" s="21" t="s">
        <v>94</v>
      </c>
      <c r="B239" s="43"/>
      <c r="C239" s="14"/>
      <c r="D239" s="14"/>
      <c r="E239" s="29" t="s">
        <v>68</v>
      </c>
      <c r="F239" s="14">
        <f>I238+C238</f>
        <v>46504.629099999998</v>
      </c>
      <c r="G239" s="14"/>
      <c r="H239" s="14"/>
      <c r="I239" s="14"/>
      <c r="J239" s="45"/>
      <c r="K239" s="69"/>
      <c r="L239" s="43"/>
      <c r="M239" s="14"/>
      <c r="N239" s="14"/>
      <c r="O239" s="29" t="s">
        <v>68</v>
      </c>
      <c r="P239" s="14">
        <f>S238+M238</f>
        <v>45128.779499999997</v>
      </c>
      <c r="Q239" s="14"/>
      <c r="R239" s="14"/>
      <c r="S239" s="14"/>
      <c r="T239" s="45"/>
      <c r="U239" s="69"/>
      <c r="V239" s="69"/>
      <c r="W239" s="69"/>
      <c r="X239" s="69"/>
    </row>
    <row r="240" spans="1:24">
      <c r="A240" s="69"/>
      <c r="B240" s="43"/>
      <c r="C240" s="14"/>
      <c r="D240" s="14"/>
      <c r="E240" s="14"/>
      <c r="F240" s="14"/>
      <c r="G240" s="14"/>
      <c r="H240" s="14"/>
      <c r="I240" s="14"/>
      <c r="J240" s="45"/>
      <c r="K240" s="69"/>
      <c r="L240" s="43"/>
      <c r="M240" s="14"/>
      <c r="N240" s="14"/>
      <c r="O240" s="14"/>
      <c r="P240" s="14"/>
      <c r="Q240" s="14"/>
      <c r="R240" s="14"/>
      <c r="S240" s="14"/>
      <c r="T240" s="45"/>
      <c r="U240" s="69"/>
      <c r="V240" s="69"/>
      <c r="W240" s="69"/>
      <c r="X240" s="69"/>
    </row>
    <row r="241" spans="1:24" ht="16.5" thickBot="1">
      <c r="A241" s="69"/>
      <c r="B241" s="47"/>
      <c r="C241" s="28"/>
      <c r="D241" s="28"/>
      <c r="E241" s="28" t="s">
        <v>98</v>
      </c>
      <c r="F241" s="28" t="str">
        <f>"]"&amp;F238&amp;";"&amp;F239&amp;"["</f>
        <v>]31080,6303;46504,6291[</v>
      </c>
      <c r="G241" s="28"/>
      <c r="H241" s="28"/>
      <c r="I241" s="28"/>
      <c r="J241" s="49"/>
      <c r="K241" s="69"/>
      <c r="L241" s="47"/>
      <c r="M241" s="28"/>
      <c r="N241" s="28"/>
      <c r="O241" s="28" t="s">
        <v>139</v>
      </c>
      <c r="P241" s="28" t="str">
        <f>"]"&amp;P238&amp;";"&amp;P239&amp;"["</f>
        <v>]32456,4799;45128,7795[</v>
      </c>
      <c r="Q241" s="28"/>
      <c r="R241" s="28"/>
      <c r="S241" s="28"/>
      <c r="T241" s="49"/>
      <c r="U241" s="69"/>
      <c r="V241" s="69"/>
      <c r="W241" s="69"/>
      <c r="X241" s="69"/>
    </row>
    <row r="242" spans="1:24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</row>
    <row r="243" spans="1:24" ht="13.5" thickBot="1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</row>
    <row r="244" spans="1:24">
      <c r="A244" s="69"/>
      <c r="B244" s="39"/>
      <c r="C244" s="41"/>
      <c r="D244" s="41"/>
      <c r="E244" s="41"/>
      <c r="F244" s="41"/>
      <c r="G244" s="41"/>
      <c r="H244" s="41"/>
      <c r="I244" s="41"/>
      <c r="J244" s="41"/>
      <c r="K244" s="41"/>
      <c r="L244" s="42"/>
      <c r="M244" s="69"/>
      <c r="N244" s="39"/>
      <c r="O244" s="41"/>
      <c r="P244" s="41"/>
      <c r="Q244" s="41"/>
      <c r="R244" s="41"/>
      <c r="S244" s="41"/>
      <c r="T244" s="41"/>
      <c r="U244" s="41"/>
      <c r="V244" s="41"/>
      <c r="W244" s="41"/>
      <c r="X244" s="42"/>
    </row>
    <row r="245" spans="1:24">
      <c r="A245" s="21" t="s">
        <v>103</v>
      </c>
      <c r="B245" s="43"/>
      <c r="C245" s="14"/>
      <c r="D245" s="14"/>
      <c r="E245" s="14"/>
      <c r="F245" s="14"/>
      <c r="G245" s="29" t="str">
        <f>A248&amp;"0="</f>
        <v>a0=</v>
      </c>
      <c r="H245" s="14">
        <v>0</v>
      </c>
      <c r="I245" s="14"/>
      <c r="J245" s="14"/>
      <c r="K245" s="14"/>
      <c r="L245" s="45"/>
      <c r="M245" s="69"/>
      <c r="N245" s="43"/>
      <c r="O245" s="14"/>
      <c r="P245" s="14"/>
      <c r="Q245" s="14"/>
      <c r="R245" s="14"/>
      <c r="S245" s="29" t="str">
        <f>M248&amp;"0="</f>
        <v>0=</v>
      </c>
      <c r="T245" s="14">
        <v>0</v>
      </c>
      <c r="U245" s="14"/>
      <c r="V245" s="14"/>
      <c r="W245" s="14"/>
      <c r="X245" s="45"/>
    </row>
    <row r="246" spans="1:24">
      <c r="A246" s="21" t="s">
        <v>83</v>
      </c>
      <c r="B246" s="43"/>
      <c r="C246" s="14"/>
      <c r="D246" s="14"/>
      <c r="E246" s="14"/>
      <c r="F246" s="14"/>
      <c r="G246" s="14"/>
      <c r="H246" s="14"/>
      <c r="I246" s="14"/>
      <c r="J246" s="14"/>
      <c r="K246" s="14"/>
      <c r="L246" s="45"/>
      <c r="M246" s="69"/>
      <c r="N246" s="43"/>
      <c r="O246" s="14"/>
      <c r="P246" s="14"/>
      <c r="Q246" s="14"/>
      <c r="R246" s="14"/>
      <c r="S246" s="14"/>
      <c r="T246" s="14"/>
      <c r="U246" s="14"/>
      <c r="V246" s="14"/>
      <c r="W246" s="14"/>
      <c r="X246" s="45"/>
    </row>
    <row r="247" spans="1:24">
      <c r="A247" s="21" t="s">
        <v>104</v>
      </c>
      <c r="B247" s="43"/>
      <c r="C247" s="14"/>
      <c r="D247" s="14"/>
      <c r="E247" s="14"/>
      <c r="F247" s="14"/>
      <c r="G247" s="14"/>
      <c r="H247" s="14">
        <f>K195</f>
        <v>-569.7672</v>
      </c>
      <c r="I247" s="14"/>
      <c r="J247" s="14"/>
      <c r="K247" s="14"/>
      <c r="L247" s="45"/>
      <c r="M247" s="69"/>
      <c r="N247" s="43"/>
      <c r="O247" s="14"/>
      <c r="P247" s="14"/>
      <c r="Q247" s="14"/>
      <c r="R247" s="14"/>
      <c r="S247" s="14"/>
      <c r="T247" s="14">
        <f>K195</f>
        <v>-569.7672</v>
      </c>
      <c r="U247" s="14"/>
      <c r="V247" s="14"/>
      <c r="W247" s="14"/>
      <c r="X247" s="45"/>
    </row>
    <row r="248" spans="1:24">
      <c r="A248" s="21" t="s">
        <v>70</v>
      </c>
      <c r="B248" s="43"/>
      <c r="C248" s="14"/>
      <c r="D248" s="14"/>
      <c r="E248" s="14"/>
      <c r="F248" s="14"/>
      <c r="G248" s="14"/>
      <c r="H248" s="14"/>
      <c r="I248" s="14"/>
      <c r="J248" s="14"/>
      <c r="K248" s="14"/>
      <c r="L248" s="45"/>
      <c r="M248" s="69"/>
      <c r="N248" s="43"/>
      <c r="O248" s="14"/>
      <c r="P248" s="14"/>
      <c r="Q248" s="14"/>
      <c r="R248" s="14"/>
      <c r="S248" s="14"/>
      <c r="T248" s="14"/>
      <c r="U248" s="14"/>
      <c r="V248" s="14"/>
      <c r="W248" s="14"/>
      <c r="X248" s="45"/>
    </row>
    <row r="249" spans="1:24">
      <c r="A249" s="69"/>
      <c r="B249" s="43"/>
      <c r="C249" s="14"/>
      <c r="D249" s="14">
        <f>SQRT((1/120)/(E193^2/E196))</f>
        <v>0.4661158317406382</v>
      </c>
      <c r="E249" s="14"/>
      <c r="F249" s="14"/>
      <c r="G249" s="29" t="s">
        <v>132</v>
      </c>
      <c r="H249" s="14">
        <f>I196</f>
        <v>2830.4072999999999</v>
      </c>
      <c r="I249" s="14"/>
      <c r="J249" s="14"/>
      <c r="K249" s="14"/>
      <c r="L249" s="45"/>
      <c r="M249" s="69"/>
      <c r="N249" s="43"/>
      <c r="O249" s="14"/>
      <c r="P249" s="14">
        <f>SQRT((1/120)/(E193^2/E196))</f>
        <v>0.4661158317406382</v>
      </c>
      <c r="Q249" s="14"/>
      <c r="R249" s="14"/>
      <c r="S249" s="29" t="s">
        <v>132</v>
      </c>
      <c r="T249" s="14">
        <f>ROUND(SQRT((I193)/(C195-2)),4)</f>
        <v>2830.4072999999999</v>
      </c>
      <c r="U249" s="14"/>
      <c r="V249" s="14"/>
      <c r="W249" s="14"/>
      <c r="X249" s="45"/>
    </row>
    <row r="250" spans="1:24">
      <c r="A250" s="69"/>
      <c r="B250" s="43"/>
      <c r="C250" s="14"/>
      <c r="D250" s="14"/>
      <c r="E250" s="14"/>
      <c r="F250" s="14"/>
      <c r="G250" s="14"/>
      <c r="H250" s="14"/>
      <c r="I250" s="14"/>
      <c r="J250" s="14"/>
      <c r="K250" s="14"/>
      <c r="L250" s="45"/>
      <c r="M250" s="69"/>
      <c r="N250" s="43"/>
      <c r="O250" s="14"/>
      <c r="P250" s="14"/>
      <c r="Q250" s="14"/>
      <c r="R250" s="14"/>
      <c r="S250" s="14"/>
      <c r="T250" s="14"/>
      <c r="U250" s="14"/>
      <c r="V250" s="14"/>
      <c r="W250" s="14"/>
      <c r="X250" s="45"/>
    </row>
    <row r="251" spans="1:24">
      <c r="A251" s="69"/>
      <c r="B251" s="43"/>
      <c r="C251" s="14"/>
      <c r="D251" s="14"/>
      <c r="E251" s="14"/>
      <c r="F251" s="14"/>
      <c r="G251" s="14"/>
      <c r="H251" s="14"/>
      <c r="I251" s="14"/>
      <c r="J251" s="14"/>
      <c r="K251" s="14"/>
      <c r="L251" s="45"/>
      <c r="M251" s="69"/>
      <c r="N251" s="43"/>
      <c r="O251" s="14"/>
      <c r="P251" s="14"/>
      <c r="Q251" s="14"/>
      <c r="R251" s="14"/>
      <c r="S251" s="14"/>
      <c r="T251" s="14"/>
      <c r="U251" s="14"/>
      <c r="V251" s="14"/>
      <c r="W251" s="14"/>
      <c r="X251" s="45"/>
    </row>
    <row r="252" spans="1:24">
      <c r="A252" s="69"/>
      <c r="B252" s="43"/>
      <c r="C252" s="44" t="s">
        <v>105</v>
      </c>
      <c r="D252" s="14">
        <v>0.05</v>
      </c>
      <c r="E252" s="14"/>
      <c r="F252" s="14"/>
      <c r="G252" s="29" t="s">
        <v>108</v>
      </c>
      <c r="H252" s="14" t="str">
        <f>"]-∞;-"&amp;ROUND(D254,4)&amp;"[ U ]"&amp;ROUND(D254,4)&amp;";+∞["</f>
        <v>]-∞;-2,23[ U ]2,23;+∞[</v>
      </c>
      <c r="I252" s="14"/>
      <c r="J252" s="14"/>
      <c r="K252" s="14"/>
      <c r="L252" s="45"/>
      <c r="M252" s="69"/>
      <c r="N252" s="43"/>
      <c r="O252" s="44" t="s">
        <v>105</v>
      </c>
      <c r="P252" s="14">
        <v>0.01</v>
      </c>
      <c r="Q252" s="14"/>
      <c r="R252" s="14"/>
      <c r="S252" s="29" t="s">
        <v>108</v>
      </c>
      <c r="T252" s="14" t="str">
        <f>"]-∞;-"&amp;ROUND(P254,4)&amp;"[ U ]"&amp;ROUND(P254,4)&amp;";+∞["</f>
        <v>]-∞;-3,17[ U ]3,17;+∞[</v>
      </c>
      <c r="U252" s="14"/>
      <c r="V252" s="14"/>
      <c r="W252" s="14"/>
      <c r="X252" s="45"/>
    </row>
    <row r="253" spans="1:24">
      <c r="A253" s="69"/>
      <c r="B253" s="43"/>
      <c r="C253" s="44"/>
      <c r="D253" s="14"/>
      <c r="E253" s="14"/>
      <c r="F253" s="14"/>
      <c r="G253" s="14"/>
      <c r="H253" s="14"/>
      <c r="I253" s="14"/>
      <c r="J253" s="14"/>
      <c r="K253" s="14"/>
      <c r="L253" s="45"/>
      <c r="M253" s="69"/>
      <c r="N253" s="43"/>
      <c r="O253" s="44"/>
      <c r="P253" s="14"/>
      <c r="Q253" s="14"/>
      <c r="R253" s="14"/>
      <c r="S253" s="14"/>
      <c r="T253" s="14"/>
      <c r="U253" s="14"/>
      <c r="V253" s="14"/>
      <c r="W253" s="14"/>
      <c r="X253" s="45"/>
    </row>
    <row r="254" spans="1:24">
      <c r="A254" s="69"/>
      <c r="B254" s="43"/>
      <c r="C254" s="14"/>
      <c r="D254" s="14">
        <f>ROUND(_xlfn.T.INV(1-D252/2,17-(6+1)),2)</f>
        <v>2.23</v>
      </c>
      <c r="E254" s="14"/>
      <c r="F254" s="14"/>
      <c r="G254" s="14"/>
      <c r="H254" s="14"/>
      <c r="I254" s="14"/>
      <c r="J254" s="14"/>
      <c r="K254" s="14"/>
      <c r="L254" s="45"/>
      <c r="M254" s="69"/>
      <c r="N254" s="43"/>
      <c r="O254" s="14"/>
      <c r="P254" s="14">
        <f>ROUND(_xlfn.T.INV(1-P252/2,17-(6+1)),2)</f>
        <v>3.17</v>
      </c>
      <c r="Q254" s="14"/>
      <c r="R254" s="14"/>
      <c r="S254" s="14"/>
      <c r="T254" s="14"/>
      <c r="U254" s="14"/>
      <c r="V254" s="14"/>
      <c r="W254" s="14"/>
      <c r="X254" s="45"/>
    </row>
    <row r="255" spans="1:24">
      <c r="A255" s="69"/>
      <c r="B255" s="43"/>
      <c r="C255" s="29"/>
      <c r="D255" s="14"/>
      <c r="E255" s="14"/>
      <c r="F255" s="14"/>
      <c r="G255" s="14"/>
      <c r="H255" s="14"/>
      <c r="I255" s="14"/>
      <c r="J255" s="14"/>
      <c r="K255" s="14"/>
      <c r="L255" s="45"/>
      <c r="M255" s="69"/>
      <c r="N255" s="43"/>
      <c r="O255" s="29"/>
      <c r="P255" s="14"/>
      <c r="Q255" s="14"/>
      <c r="R255" s="14"/>
      <c r="S255" s="14"/>
      <c r="T255" s="14"/>
      <c r="U255" s="14"/>
      <c r="V255" s="14"/>
      <c r="W255" s="14"/>
      <c r="X255" s="45"/>
    </row>
    <row r="256" spans="1:24">
      <c r="A256" s="69"/>
      <c r="B256" s="43"/>
      <c r="C256" s="14"/>
      <c r="D256" s="14"/>
      <c r="E256" s="14"/>
      <c r="F256" s="14"/>
      <c r="G256" s="14"/>
      <c r="H256" s="14"/>
      <c r="I256" s="14"/>
      <c r="J256" s="14"/>
      <c r="K256" s="14"/>
      <c r="L256" s="45"/>
      <c r="M256" s="69"/>
      <c r="N256" s="43"/>
      <c r="O256" s="14"/>
      <c r="P256" s="14"/>
      <c r="Q256" s="14"/>
      <c r="R256" s="14"/>
      <c r="S256" s="14"/>
      <c r="T256" s="14"/>
      <c r="U256" s="14"/>
      <c r="V256" s="14"/>
      <c r="W256" s="14"/>
      <c r="X256" s="45"/>
    </row>
    <row r="257" spans="1:24">
      <c r="A257" s="69"/>
      <c r="B257" s="43"/>
      <c r="C257" s="14"/>
      <c r="D257" s="14"/>
      <c r="E257" s="14"/>
      <c r="F257" s="14"/>
      <c r="G257" s="14"/>
      <c r="H257" s="14"/>
      <c r="I257" s="14"/>
      <c r="J257" s="14"/>
      <c r="K257" s="14"/>
      <c r="L257" s="45"/>
      <c r="M257" s="69"/>
      <c r="N257" s="43"/>
      <c r="O257" s="14"/>
      <c r="P257" s="14"/>
      <c r="Q257" s="14"/>
      <c r="R257" s="14"/>
      <c r="S257" s="14"/>
      <c r="T257" s="14"/>
      <c r="U257" s="14"/>
      <c r="V257" s="14"/>
      <c r="W257" s="14"/>
      <c r="X257" s="45"/>
    </row>
    <row r="258" spans="1:24">
      <c r="A258" s="69"/>
      <c r="B258" s="43"/>
      <c r="C258" s="29" t="s">
        <v>106</v>
      </c>
      <c r="D258" s="14">
        <f>ROUND((H247-H245)/(H249*D249),4)</f>
        <v>-0.43190000000000001</v>
      </c>
      <c r="E258" s="14"/>
      <c r="F258" s="14"/>
      <c r="G258" s="14"/>
      <c r="H258" s="14"/>
      <c r="I258" s="14"/>
      <c r="J258" s="14"/>
      <c r="K258" s="14"/>
      <c r="L258" s="45"/>
      <c r="M258" s="69"/>
      <c r="N258" s="43"/>
      <c r="O258" s="29" t="s">
        <v>106</v>
      </c>
      <c r="P258" s="14">
        <f>ROUND((H247-H245)/(H249*D249),4)</f>
        <v>-0.43190000000000001</v>
      </c>
      <c r="Q258" s="14"/>
      <c r="R258" s="14"/>
      <c r="S258" s="14"/>
      <c r="T258" s="14"/>
      <c r="U258" s="14"/>
      <c r="V258" s="14"/>
      <c r="W258" s="14"/>
      <c r="X258" s="45"/>
    </row>
    <row r="259" spans="1:24">
      <c r="A259" s="69"/>
      <c r="B259" s="43"/>
      <c r="C259" s="29" t="s">
        <v>107</v>
      </c>
      <c r="D259" s="14">
        <f>ABS(D258)</f>
        <v>0.43190000000000001</v>
      </c>
      <c r="E259" s="14"/>
      <c r="F259" s="14"/>
      <c r="G259" s="14"/>
      <c r="H259" s="14"/>
      <c r="I259" s="14"/>
      <c r="J259" s="14"/>
      <c r="K259" s="14"/>
      <c r="L259" s="45"/>
      <c r="M259" s="69"/>
      <c r="N259" s="43"/>
      <c r="O259" s="29" t="s">
        <v>107</v>
      </c>
      <c r="P259" s="14">
        <f>ABS(P258)</f>
        <v>0.43190000000000001</v>
      </c>
      <c r="Q259" s="14"/>
      <c r="R259" s="14"/>
      <c r="S259" s="14"/>
      <c r="T259" s="14"/>
      <c r="U259" s="14"/>
      <c r="V259" s="14"/>
      <c r="W259" s="14"/>
      <c r="X259" s="45"/>
    </row>
    <row r="260" spans="1:24" ht="13.5" thickBot="1">
      <c r="A260" s="69"/>
      <c r="B260" s="47" t="str">
        <f>IF(ABS(D258)&gt;ROUND(D254,4), "Como |"&amp;ROUND(D258,2)&amp;"| &gt; "&amp;ROUND(D254,4)&amp;" então rejeita-se H0, logo a um nível de significância de "&amp;D252*100&amp;"% há evidencia estatística suficiente para se concluir que a é não nulo","Como |"&amp;ROUND(D258,2)&amp;"|  ≤ "&amp;ROUND(D254,4)&amp;" então não se rejeita H0, logo a um nível de significância de "&amp;D252*100&amp;"% há evidencia estatística suficiente para se concluir que a é nulo")</f>
        <v>Como |-0,43|  ≤ 2,23 então não se rejeita H0, logo a um nível de significância de 5% há evidencia estatística suficiente para se concluir que a é nulo</v>
      </c>
      <c r="C260" s="28"/>
      <c r="D260" s="28"/>
      <c r="E260" s="28"/>
      <c r="F260" s="28"/>
      <c r="G260" s="28"/>
      <c r="H260" s="28"/>
      <c r="I260" s="28"/>
      <c r="J260" s="28"/>
      <c r="K260" s="49"/>
      <c r="L260" s="49"/>
      <c r="M260" s="69"/>
      <c r="N260" s="47" t="str">
        <f>IF(ABS(P258)&gt;ROUND(P254,4), "Como |"&amp;ROUND(P258,2)&amp;"| &gt; "&amp;ROUND(P254,4)&amp;" então rejeita-se H0, logo a um nível de significância de "&amp;P252*100&amp;"% há evidencia estatística suficiente para se concluir que beta2 é não nulo","Como |"&amp;ROUND(P258,2)&amp;"|  ≤ "&amp;ROUND(P254,4)&amp;" então não se rejeita H0, logo a um nível de significância de "&amp;P252*100&amp;"% há evidencia estatística suficiente para se concluir que a é nulo")</f>
        <v>Como |-0,43|  ≤ 3,17 então não se rejeita H0, logo a um nível de significância de 1% há evidencia estatística suficiente para se concluir que a é nulo</v>
      </c>
      <c r="O260" s="28"/>
      <c r="P260" s="28"/>
      <c r="Q260" s="28"/>
      <c r="R260" s="28"/>
      <c r="S260" s="28"/>
      <c r="T260" s="28"/>
      <c r="U260" s="28"/>
      <c r="V260" s="28"/>
      <c r="W260" s="49"/>
      <c r="X260" s="49"/>
    </row>
    <row r="261" spans="1:24" ht="13.5" thickBot="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</row>
    <row r="262" spans="1:24">
      <c r="A262" s="69"/>
      <c r="B262" s="39"/>
      <c r="C262" s="41"/>
      <c r="D262" s="41"/>
      <c r="E262" s="41"/>
      <c r="F262" s="41"/>
      <c r="G262" s="41"/>
      <c r="H262" s="41"/>
      <c r="I262" s="41"/>
      <c r="J262" s="41"/>
      <c r="K262" s="41"/>
      <c r="L262" s="42"/>
      <c r="M262" s="69"/>
      <c r="N262" s="39"/>
      <c r="O262" s="41"/>
      <c r="P262" s="41"/>
      <c r="Q262" s="41"/>
      <c r="R262" s="41"/>
      <c r="S262" s="41"/>
      <c r="T262" s="41"/>
      <c r="U262" s="41"/>
      <c r="V262" s="41"/>
      <c r="W262" s="41"/>
      <c r="X262" s="42"/>
    </row>
    <row r="263" spans="1:24">
      <c r="A263" s="21" t="s">
        <v>103</v>
      </c>
      <c r="B263" s="43"/>
      <c r="C263" s="14"/>
      <c r="D263" s="14"/>
      <c r="E263" s="14"/>
      <c r="F263" s="14"/>
      <c r="G263" s="29" t="str">
        <f>A266&amp;"0="</f>
        <v>b0=</v>
      </c>
      <c r="H263" s="14">
        <v>0</v>
      </c>
      <c r="I263" s="14"/>
      <c r="J263" s="14"/>
      <c r="K263" s="14"/>
      <c r="L263" s="45"/>
      <c r="M263" s="69"/>
      <c r="N263" s="43"/>
      <c r="O263" s="14"/>
      <c r="P263" s="14"/>
      <c r="Q263" s="14"/>
      <c r="R263" s="14"/>
      <c r="S263" s="29" t="str">
        <f>M266&amp;"0="</f>
        <v>0=</v>
      </c>
      <c r="T263" s="14">
        <v>0</v>
      </c>
      <c r="U263" s="14"/>
      <c r="V263" s="14"/>
      <c r="W263" s="14"/>
      <c r="X263" s="45"/>
    </row>
    <row r="264" spans="1:24">
      <c r="A264" s="21" t="s">
        <v>83</v>
      </c>
      <c r="B264" s="43"/>
      <c r="C264" s="14"/>
      <c r="D264" s="14"/>
      <c r="E264" s="14"/>
      <c r="F264" s="14"/>
      <c r="G264" s="14"/>
      <c r="H264" s="14"/>
      <c r="I264" s="14"/>
      <c r="J264" s="14"/>
      <c r="K264" s="14"/>
      <c r="L264" s="45"/>
      <c r="M264" s="69"/>
      <c r="N264" s="43"/>
      <c r="O264" s="14"/>
      <c r="P264" s="14"/>
      <c r="Q264" s="14"/>
      <c r="R264" s="14"/>
      <c r="S264" s="14"/>
      <c r="T264" s="14"/>
      <c r="U264" s="14"/>
      <c r="V264" s="14"/>
      <c r="W264" s="14"/>
      <c r="X264" s="45"/>
    </row>
    <row r="265" spans="1:24">
      <c r="A265" s="21" t="s">
        <v>104</v>
      </c>
      <c r="B265" s="43"/>
      <c r="C265" s="14"/>
      <c r="D265" s="14"/>
      <c r="E265" s="14"/>
      <c r="F265" s="14"/>
      <c r="G265" s="14"/>
      <c r="H265" s="14">
        <f>K193</f>
        <v>219778.8774</v>
      </c>
      <c r="I265" s="14"/>
      <c r="J265" s="14"/>
      <c r="K265" s="14"/>
      <c r="L265" s="45"/>
      <c r="M265" s="69"/>
      <c r="N265" s="43"/>
      <c r="O265" s="14"/>
      <c r="P265" s="14"/>
      <c r="Q265" s="14"/>
      <c r="R265" s="14"/>
      <c r="S265" s="14"/>
      <c r="T265" s="14">
        <f>K193</f>
        <v>219778.8774</v>
      </c>
      <c r="U265" s="14"/>
      <c r="V265" s="14"/>
      <c r="W265" s="14"/>
      <c r="X265" s="45"/>
    </row>
    <row r="266" spans="1:24">
      <c r="A266" s="21" t="s">
        <v>71</v>
      </c>
      <c r="B266" s="43"/>
      <c r="C266" s="14"/>
      <c r="D266" s="14"/>
      <c r="E266" s="14"/>
      <c r="F266" s="14"/>
      <c r="G266" s="14"/>
      <c r="H266" s="14"/>
      <c r="I266" s="14"/>
      <c r="J266" s="14"/>
      <c r="K266" s="14"/>
      <c r="L266" s="45"/>
      <c r="M266" s="69"/>
      <c r="N266" s="43"/>
      <c r="O266" s="14"/>
      <c r="P266" s="14"/>
      <c r="Q266" s="14"/>
      <c r="R266" s="14"/>
      <c r="S266" s="14"/>
      <c r="T266" s="14"/>
      <c r="U266" s="14"/>
      <c r="V266" s="14"/>
      <c r="W266" s="14"/>
      <c r="X266" s="45"/>
    </row>
    <row r="267" spans="1:24">
      <c r="A267" s="69"/>
      <c r="B267" s="43"/>
      <c r="C267" s="14"/>
      <c r="D267" s="14">
        <f>SQRT(1/E196)</f>
        <v>5.3364133089177948</v>
      </c>
      <c r="E267" s="14"/>
      <c r="F267" s="14"/>
      <c r="G267" s="29" t="s">
        <v>132</v>
      </c>
      <c r="H267" s="14">
        <f>I196</f>
        <v>2830.4072999999999</v>
      </c>
      <c r="I267" s="14"/>
      <c r="J267" s="14"/>
      <c r="K267" s="14"/>
      <c r="L267" s="45"/>
      <c r="M267" s="69"/>
      <c r="N267" s="43"/>
      <c r="O267" s="14"/>
      <c r="P267" s="14">
        <f>SQRT(1/E196)</f>
        <v>5.3364133089177948</v>
      </c>
      <c r="Q267" s="14"/>
      <c r="R267" s="14"/>
      <c r="S267" s="29" t="s">
        <v>132</v>
      </c>
      <c r="T267" s="14">
        <f>ROUND(SQRT((I193)/(C195-2)),4)</f>
        <v>2830.4072999999999</v>
      </c>
      <c r="U267" s="14"/>
      <c r="V267" s="14"/>
      <c r="W267" s="14"/>
      <c r="X267" s="45"/>
    </row>
    <row r="268" spans="1:24">
      <c r="A268" s="69"/>
      <c r="B268" s="43"/>
      <c r="C268" s="14"/>
      <c r="D268" s="14"/>
      <c r="E268" s="14"/>
      <c r="F268" s="14"/>
      <c r="G268" s="14"/>
      <c r="H268" s="14"/>
      <c r="I268" s="14"/>
      <c r="J268" s="14"/>
      <c r="K268" s="14"/>
      <c r="L268" s="45"/>
      <c r="M268" s="69"/>
      <c r="N268" s="43"/>
      <c r="O268" s="14"/>
      <c r="P268" s="14"/>
      <c r="Q268" s="14"/>
      <c r="R268" s="14"/>
      <c r="S268" s="14"/>
      <c r="T268" s="14"/>
      <c r="U268" s="14"/>
      <c r="V268" s="14"/>
      <c r="W268" s="14"/>
      <c r="X268" s="45"/>
    </row>
    <row r="269" spans="1:24">
      <c r="A269" s="69"/>
      <c r="B269" s="43"/>
      <c r="C269" s="14"/>
      <c r="D269" s="14"/>
      <c r="E269" s="14"/>
      <c r="F269" s="14"/>
      <c r="G269" s="14"/>
      <c r="H269" s="14"/>
      <c r="I269" s="14"/>
      <c r="J269" s="14"/>
      <c r="K269" s="14"/>
      <c r="L269" s="45"/>
      <c r="M269" s="69"/>
      <c r="N269" s="43"/>
      <c r="O269" s="14"/>
      <c r="P269" s="14"/>
      <c r="Q269" s="14"/>
      <c r="R269" s="14"/>
      <c r="S269" s="14"/>
      <c r="T269" s="14"/>
      <c r="U269" s="14"/>
      <c r="V269" s="14"/>
      <c r="W269" s="14"/>
      <c r="X269" s="45"/>
    </row>
    <row r="270" spans="1:24">
      <c r="A270" s="69"/>
      <c r="B270" s="43"/>
      <c r="C270" s="44" t="s">
        <v>105</v>
      </c>
      <c r="D270" s="14">
        <v>0.05</v>
      </c>
      <c r="E270" s="14"/>
      <c r="F270" s="14"/>
      <c r="G270" s="29" t="s">
        <v>108</v>
      </c>
      <c r="H270" s="14" t="str">
        <f>"]-∞;-"&amp;ROUND(D272,4)&amp;"[ U ]"&amp;ROUND(D272,4)&amp;";+∞["</f>
        <v>]-∞;-2,23[ U ]2,23;+∞[</v>
      </c>
      <c r="I270" s="14"/>
      <c r="J270" s="14"/>
      <c r="K270" s="14"/>
      <c r="L270" s="45"/>
      <c r="M270" s="69"/>
      <c r="N270" s="43"/>
      <c r="O270" s="44" t="s">
        <v>105</v>
      </c>
      <c r="P270" s="14">
        <v>0.01</v>
      </c>
      <c r="Q270" s="14"/>
      <c r="R270" s="14"/>
      <c r="S270" s="29" t="s">
        <v>108</v>
      </c>
      <c r="T270" s="14" t="str">
        <f>"]-∞;-"&amp;ROUND(P272,4)&amp;"[ U ]"&amp;ROUND(P272,4)&amp;";+∞["</f>
        <v>]-∞;-3,17[ U ]3,17;+∞[</v>
      </c>
      <c r="U270" s="14"/>
      <c r="V270" s="14"/>
      <c r="W270" s="14"/>
      <c r="X270" s="45"/>
    </row>
    <row r="271" spans="1:24">
      <c r="A271" s="69"/>
      <c r="B271" s="43"/>
      <c r="C271" s="44"/>
      <c r="D271" s="14"/>
      <c r="E271" s="14"/>
      <c r="F271" s="14"/>
      <c r="G271" s="14"/>
      <c r="H271" s="14"/>
      <c r="I271" s="14"/>
      <c r="J271" s="14"/>
      <c r="K271" s="14"/>
      <c r="L271" s="45"/>
      <c r="M271" s="69"/>
      <c r="N271" s="43"/>
      <c r="O271" s="44"/>
      <c r="P271" s="14"/>
      <c r="Q271" s="14"/>
      <c r="R271" s="14"/>
      <c r="S271" s="14"/>
      <c r="T271" s="14"/>
      <c r="U271" s="14"/>
      <c r="V271" s="14"/>
      <c r="W271" s="14"/>
      <c r="X271" s="45"/>
    </row>
    <row r="272" spans="1:24">
      <c r="A272" s="69"/>
      <c r="B272" s="43"/>
      <c r="C272" s="14"/>
      <c r="D272" s="14">
        <f>ROUND(_xlfn.T.INV(1-D270/2,17-(6+1)),2)</f>
        <v>2.23</v>
      </c>
      <c r="E272" s="14"/>
      <c r="F272" s="14"/>
      <c r="G272" s="14"/>
      <c r="H272" s="14"/>
      <c r="I272" s="14"/>
      <c r="J272" s="14"/>
      <c r="K272" s="14"/>
      <c r="L272" s="45"/>
      <c r="M272" s="69"/>
      <c r="N272" s="43"/>
      <c r="O272" s="14"/>
      <c r="P272" s="14">
        <f>ROUND(_xlfn.T.INV(1-P270/2,17-(6+1)),2)</f>
        <v>3.17</v>
      </c>
      <c r="Q272" s="14"/>
      <c r="R272" s="14"/>
      <c r="S272" s="14"/>
      <c r="T272" s="14"/>
      <c r="U272" s="14"/>
      <c r="V272" s="14"/>
      <c r="W272" s="14"/>
      <c r="X272" s="45"/>
    </row>
    <row r="273" spans="1:24">
      <c r="A273" s="69"/>
      <c r="B273" s="43"/>
      <c r="C273" s="29"/>
      <c r="D273" s="14"/>
      <c r="E273" s="14"/>
      <c r="F273" s="14"/>
      <c r="G273" s="14"/>
      <c r="H273" s="14"/>
      <c r="I273" s="14"/>
      <c r="J273" s="14"/>
      <c r="K273" s="14"/>
      <c r="L273" s="45"/>
      <c r="M273" s="69"/>
      <c r="N273" s="43"/>
      <c r="O273" s="29"/>
      <c r="P273" s="14"/>
      <c r="Q273" s="14"/>
      <c r="R273" s="14"/>
      <c r="S273" s="14"/>
      <c r="T273" s="14"/>
      <c r="U273" s="14"/>
      <c r="V273" s="14"/>
      <c r="W273" s="14"/>
      <c r="X273" s="45"/>
    </row>
    <row r="274" spans="1:24">
      <c r="A274" s="69"/>
      <c r="B274" s="43"/>
      <c r="C274" s="14"/>
      <c r="D274" s="14"/>
      <c r="E274" s="14"/>
      <c r="F274" s="14"/>
      <c r="G274" s="14"/>
      <c r="H274" s="14"/>
      <c r="I274" s="14"/>
      <c r="J274" s="14"/>
      <c r="K274" s="14"/>
      <c r="L274" s="45"/>
      <c r="M274" s="69"/>
      <c r="N274" s="43"/>
      <c r="O274" s="14"/>
      <c r="P274" s="14"/>
      <c r="Q274" s="14"/>
      <c r="R274" s="14"/>
      <c r="S274" s="14"/>
      <c r="T274" s="14"/>
      <c r="U274" s="14"/>
      <c r="V274" s="14"/>
      <c r="W274" s="14"/>
      <c r="X274" s="45"/>
    </row>
    <row r="275" spans="1:24">
      <c r="A275" s="69"/>
      <c r="B275" s="43"/>
      <c r="C275" s="14"/>
      <c r="D275" s="14"/>
      <c r="E275" s="14"/>
      <c r="F275" s="14"/>
      <c r="G275" s="14"/>
      <c r="H275" s="14"/>
      <c r="I275" s="14"/>
      <c r="J275" s="14"/>
      <c r="K275" s="14"/>
      <c r="L275" s="45"/>
      <c r="M275" s="69"/>
      <c r="N275" s="43"/>
      <c r="O275" s="14"/>
      <c r="P275" s="14"/>
      <c r="Q275" s="14"/>
      <c r="R275" s="14"/>
      <c r="S275" s="14"/>
      <c r="T275" s="14"/>
      <c r="U275" s="14"/>
      <c r="V275" s="14"/>
      <c r="W275" s="14"/>
      <c r="X275" s="45"/>
    </row>
    <row r="276" spans="1:24">
      <c r="A276" s="69"/>
      <c r="B276" s="43"/>
      <c r="C276" s="29" t="s">
        <v>106</v>
      </c>
      <c r="D276" s="14">
        <f>ROUND((H265-H263)/(H267*D267),4)</f>
        <v>14.550800000000001</v>
      </c>
      <c r="E276" s="14"/>
      <c r="F276" s="14"/>
      <c r="G276" s="14"/>
      <c r="H276" s="14"/>
      <c r="I276" s="14"/>
      <c r="J276" s="14"/>
      <c r="K276" s="14"/>
      <c r="L276" s="45"/>
      <c r="M276" s="69"/>
      <c r="N276" s="43"/>
      <c r="O276" s="29" t="s">
        <v>106</v>
      </c>
      <c r="P276" s="14">
        <f>ROUND((H265-H263)/(H267*D267),4)</f>
        <v>14.550800000000001</v>
      </c>
      <c r="Q276" s="14"/>
      <c r="R276" s="14"/>
      <c r="S276" s="14"/>
      <c r="T276" s="14"/>
      <c r="U276" s="14"/>
      <c r="V276" s="14"/>
      <c r="W276" s="14"/>
      <c r="X276" s="45"/>
    </row>
    <row r="277" spans="1:24">
      <c r="A277" s="69"/>
      <c r="B277" s="43"/>
      <c r="C277" s="29" t="s">
        <v>107</v>
      </c>
      <c r="D277" s="14">
        <f>ABS(D276)</f>
        <v>14.550800000000001</v>
      </c>
      <c r="E277" s="14"/>
      <c r="F277" s="14"/>
      <c r="G277" s="14"/>
      <c r="H277" s="14"/>
      <c r="I277" s="14"/>
      <c r="J277" s="14"/>
      <c r="K277" s="14"/>
      <c r="L277" s="45"/>
      <c r="M277" s="69"/>
      <c r="N277" s="43"/>
      <c r="O277" s="29" t="s">
        <v>107</v>
      </c>
      <c r="P277" s="14">
        <f>ABS(P276)</f>
        <v>14.550800000000001</v>
      </c>
      <c r="Q277" s="14"/>
      <c r="R277" s="14"/>
      <c r="S277" s="14"/>
      <c r="T277" s="14"/>
      <c r="U277" s="14"/>
      <c r="V277" s="14"/>
      <c r="W277" s="14"/>
      <c r="X277" s="45"/>
    </row>
    <row r="278" spans="1:24" ht="13.5" thickBot="1">
      <c r="A278" s="69"/>
      <c r="B278" s="47" t="str">
        <f>IF(ABS(D276)&gt;ROUND(D272,4), "Como |"&amp;ROUND(D276,2)&amp;"| &gt; "&amp;ROUND(D272,4)&amp;" então rejeita-se H0, logo a um nível de significância de "&amp;D270*100&amp;"% há evidencia estatística suficiente para se concluir que b é não nulo","Como |"&amp;ROUND(D276,2)&amp;"|  ≤ "&amp;ROUND(D272,4)&amp;" então não se rejeita H0, logo a um nível de significância de "&amp;D270*100&amp;"% há evidencia estatística suficiente para se concluir que beta2 é nulo")</f>
        <v>Como |14,55| &gt; 2,23 então rejeita-se H0, logo a um nível de significância de 5% há evidencia estatística suficiente para se concluir que b é não nulo</v>
      </c>
      <c r="C278" s="28"/>
      <c r="D278" s="28"/>
      <c r="E278" s="28"/>
      <c r="F278" s="28"/>
      <c r="G278" s="28"/>
      <c r="H278" s="28"/>
      <c r="I278" s="28"/>
      <c r="J278" s="28"/>
      <c r="K278" s="49"/>
      <c r="L278" s="49"/>
      <c r="M278" s="69"/>
      <c r="N278" s="47" t="str">
        <f>IF(ABS(P276)&gt;ROUND(P272,4), "Como |"&amp;ROUND(P276,2)&amp;"| &gt; "&amp;ROUND(P272,4)&amp;" então rejeita-se H0, logo a um nível de significância de "&amp;P270*100&amp;"% há evidencia estatística suficiente para se concluir que b é não nulo","Como |"&amp;ROUND(P276,2)&amp;"|  ≤ "&amp;ROUND(P272,4)&amp;" então não se rejeita H0, logo a um nível de significância de "&amp;P270*100&amp;"% há evidencia estatística suficiente para se concluir que beta2 é nulo")</f>
        <v>Como |14,55| &gt; 3,17 então rejeita-se H0, logo a um nível de significância de 1% há evidencia estatística suficiente para se concluir que b é não nulo</v>
      </c>
      <c r="O278" s="28"/>
      <c r="P278" s="28"/>
      <c r="Q278" s="28"/>
      <c r="R278" s="28"/>
      <c r="S278" s="28"/>
      <c r="T278" s="28"/>
      <c r="U278" s="28"/>
      <c r="V278" s="28"/>
      <c r="W278" s="49"/>
      <c r="X278" s="49"/>
    </row>
    <row r="279" spans="1:24" ht="13.5" thickBot="1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</row>
    <row r="280" spans="1:24">
      <c r="A280" s="69" t="s">
        <v>128</v>
      </c>
      <c r="B280" s="39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2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</row>
    <row r="281" spans="1:24">
      <c r="A281" s="69" t="s">
        <v>129</v>
      </c>
      <c r="B281" s="46" t="s">
        <v>80</v>
      </c>
      <c r="C281" s="14">
        <v>0.05</v>
      </c>
      <c r="D281" s="14"/>
      <c r="E281" s="14"/>
      <c r="F281" s="14"/>
      <c r="G281" s="14"/>
      <c r="H281" s="14"/>
      <c r="I281" s="14"/>
      <c r="J281" s="14"/>
      <c r="K281" s="14"/>
      <c r="L281" s="14"/>
      <c r="M281" s="45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</row>
    <row r="282" spans="1:24">
      <c r="A282" s="69" t="s">
        <v>130</v>
      </c>
      <c r="B282" s="43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45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</row>
    <row r="283" spans="1:24">
      <c r="A283" s="69" t="s">
        <v>129</v>
      </c>
      <c r="B283" s="43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45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</row>
    <row r="284" spans="1:24">
      <c r="A284" s="69" t="s">
        <v>131</v>
      </c>
      <c r="B284" s="43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45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</row>
    <row r="285" spans="1:24">
      <c r="A285" s="69"/>
      <c r="B285" s="46" t="s">
        <v>133</v>
      </c>
      <c r="C285" s="14">
        <f>F199</f>
        <v>211.72645288398996</v>
      </c>
      <c r="D285" s="14"/>
      <c r="E285" s="14"/>
      <c r="F285" s="14"/>
      <c r="G285" s="14"/>
      <c r="H285" s="14"/>
      <c r="I285" s="14"/>
      <c r="J285" s="14"/>
      <c r="K285" s="14"/>
      <c r="L285" s="14"/>
      <c r="M285" s="45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</row>
    <row r="286" spans="1:24">
      <c r="A286" s="69"/>
      <c r="B286" s="43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45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</row>
    <row r="287" spans="1:24">
      <c r="A287" s="69"/>
      <c r="B287" s="43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45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</row>
    <row r="288" spans="1:24">
      <c r="A288" s="69"/>
      <c r="B288" s="43" t="str">
        <f>"f(0,05);("&amp;C199&amp;","&amp;C200&amp;")="</f>
        <v>f(0,05);(1,15)=</v>
      </c>
      <c r="C288" s="14">
        <f>ROUND(_xlfn.F.INV.RT(C281,C199,C200),4)</f>
        <v>4.5430999999999999</v>
      </c>
      <c r="D288" s="14"/>
      <c r="E288" s="14"/>
      <c r="F288" s="14"/>
      <c r="G288" s="14"/>
      <c r="H288" s="14"/>
      <c r="I288" s="14"/>
      <c r="J288" s="14"/>
      <c r="K288" s="14"/>
      <c r="L288" s="14"/>
      <c r="M288" s="45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</row>
    <row r="289" spans="1:24">
      <c r="A289" s="69"/>
      <c r="B289" s="43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45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</row>
    <row r="290" spans="1:24">
      <c r="A290" s="69"/>
      <c r="B290" s="43" t="str">
        <f>IF(C288&lt;=C285, "R: Como  " &amp;ROUND(C288,4) &amp;" &lt; "&amp;ROUND(C285,4)&amp;" o modelo é significativo","R: Como  " &amp;ROUND(C288,4) &amp;" &gt; "&amp;ROUND(C285,4)&amp;" o modelo não é significativo" )</f>
        <v>R: Como  4,5431 &lt; 211,7265 o modelo é significativo</v>
      </c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45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</row>
    <row r="291" spans="1:24">
      <c r="A291" s="69"/>
      <c r="B291" s="43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45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</row>
    <row r="292" spans="1:24">
      <c r="A292" s="69"/>
      <c r="B292" s="43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45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</row>
    <row r="293" spans="1:24">
      <c r="A293" s="69"/>
      <c r="B293" s="43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45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</row>
    <row r="294" spans="1:24">
      <c r="A294" s="69"/>
      <c r="B294" s="43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45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</row>
    <row r="295" spans="1:24" ht="13.5" thickBot="1">
      <c r="A295" s="69"/>
      <c r="B295" s="47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4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</row>
  </sheetData>
  <mergeCells count="22">
    <mergeCell ref="L3:M3"/>
    <mergeCell ref="L4:M4"/>
    <mergeCell ref="N4:O4"/>
    <mergeCell ref="L34:M34"/>
    <mergeCell ref="L35:M35"/>
    <mergeCell ref="N35:O35"/>
    <mergeCell ref="L65:M65"/>
    <mergeCell ref="L66:M66"/>
    <mergeCell ref="N66:O66"/>
    <mergeCell ref="L96:M96"/>
    <mergeCell ref="L97:M97"/>
    <mergeCell ref="N97:O97"/>
    <mergeCell ref="B191:O191"/>
    <mergeCell ref="F193:G193"/>
    <mergeCell ref="F194:G194"/>
    <mergeCell ref="F195:G195"/>
    <mergeCell ref="L127:M127"/>
    <mergeCell ref="L128:M128"/>
    <mergeCell ref="N128:O128"/>
    <mergeCell ref="L158:M158"/>
    <mergeCell ref="L159:M159"/>
    <mergeCell ref="N159:O15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78F48-D8C9-4AD7-800A-8C0972AF1BAA}">
  <dimension ref="A1:AI295"/>
  <sheetViews>
    <sheetView topLeftCell="A205" zoomScaleNormal="100" workbookViewId="0">
      <selection activeCell="P221" sqref="P221"/>
    </sheetView>
  </sheetViews>
  <sheetFormatPr defaultRowHeight="12.75"/>
  <cols>
    <col min="1" max="1" width="9.140625" style="69"/>
    <col min="2" max="2" width="19.140625" style="69" customWidth="1"/>
    <col min="3" max="3" width="13.28515625" style="69" customWidth="1"/>
    <col min="4" max="4" width="10.85546875" style="69" customWidth="1"/>
    <col min="5" max="6" width="11" style="69" bestFit="1" customWidth="1"/>
    <col min="7" max="7" width="9.140625" style="69"/>
    <col min="8" max="8" width="11.42578125" style="69" bestFit="1" customWidth="1"/>
    <col min="9" max="9" width="11" style="69" bestFit="1" customWidth="1"/>
    <col min="10" max="11" width="9.140625" style="69"/>
    <col min="12" max="12" width="13.140625" style="69" bestFit="1" customWidth="1"/>
    <col min="13" max="13" width="9.140625" style="69"/>
    <col min="14" max="14" width="12.5703125" style="69" bestFit="1" customWidth="1"/>
    <col min="15" max="16384" width="9.140625" style="69"/>
  </cols>
  <sheetData>
    <row r="1" spans="2:35">
      <c r="B1" s="3"/>
      <c r="C1" s="3"/>
      <c r="D1" s="3"/>
      <c r="E1" s="3"/>
      <c r="F1" s="3"/>
      <c r="G1" s="3"/>
    </row>
    <row r="2" spans="2:35"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/>
      <c r="H2" s="4"/>
      <c r="I2" s="4"/>
    </row>
    <row r="3" spans="2:35">
      <c r="B3" s="4" t="s">
        <v>3</v>
      </c>
      <c r="C3" s="69" t="s">
        <v>2</v>
      </c>
      <c r="D3" s="4"/>
      <c r="E3" s="4"/>
      <c r="F3" s="4"/>
      <c r="G3" s="4"/>
      <c r="H3" s="4"/>
      <c r="I3" s="4"/>
      <c r="L3" s="80" t="s">
        <v>15</v>
      </c>
      <c r="M3" s="80"/>
      <c r="N3" s="69" t="str">
        <f>C3</f>
        <v>new_deaths</v>
      </c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</row>
    <row r="4" spans="2:35">
      <c r="B4" s="4">
        <v>0.68710000000000004</v>
      </c>
      <c r="C4" s="69">
        <v>1676</v>
      </c>
      <c r="D4" s="4">
        <f>B4*C4</f>
        <v>1151.5796</v>
      </c>
      <c r="E4" s="4">
        <f>B4^2</f>
        <v>0.47210641000000009</v>
      </c>
      <c r="F4" s="4">
        <f>C4^2</f>
        <v>2808976</v>
      </c>
      <c r="G4" s="4">
        <f>ROUND($P$26+$L$26*B4,4)</f>
        <v>437.24119999999999</v>
      </c>
      <c r="H4" s="4">
        <f>ROUND(G4-C4,4)</f>
        <v>-1238.7588000000001</v>
      </c>
      <c r="I4" s="4">
        <f>H4^2</f>
        <v>1534523.3645774401</v>
      </c>
      <c r="L4" s="80" t="s">
        <v>14</v>
      </c>
      <c r="M4" s="80"/>
      <c r="N4" s="80" t="str">
        <f>B3</f>
        <v>reproduction_rate</v>
      </c>
      <c r="O4" s="80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</row>
    <row r="5" spans="2:35">
      <c r="B5" s="4">
        <v>0.50429999999999997</v>
      </c>
      <c r="C5" s="69">
        <v>1163</v>
      </c>
      <c r="D5" s="4">
        <f t="shared" ref="D5:D20" si="0">B5*C5</f>
        <v>586.5009</v>
      </c>
      <c r="E5" s="4">
        <f t="shared" ref="E5:F20" si="1">B5^2</f>
        <v>0.25431848999999995</v>
      </c>
      <c r="F5" s="4">
        <f t="shared" si="1"/>
        <v>1352569</v>
      </c>
      <c r="G5" s="4">
        <f t="shared" ref="G5:G20" si="2">ROUND($P$26+$L$26*B5,4)</f>
        <v>661.99860000000001</v>
      </c>
      <c r="H5" s="4">
        <f t="shared" ref="H5:H20" si="3">ROUND(G5-C5,4)</f>
        <v>-501.00139999999999</v>
      </c>
      <c r="I5" s="4">
        <f t="shared" ref="I5:I20" si="4">H5^2</f>
        <v>251002.40280195998</v>
      </c>
      <c r="T5" s="77"/>
      <c r="U5" s="38" t="s">
        <v>41</v>
      </c>
      <c r="V5" s="33">
        <f>ROUND(N23-X5*D23,4)</f>
        <v>2358267.423</v>
      </c>
      <c r="W5" s="38"/>
      <c r="X5" s="33">
        <f>L26</f>
        <v>-1229.5261</v>
      </c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</row>
    <row r="6" spans="2:35">
      <c r="B6" s="4">
        <v>0.47710000000000002</v>
      </c>
      <c r="C6" s="69">
        <v>641</v>
      </c>
      <c r="D6" s="4">
        <f t="shared" si="0"/>
        <v>305.8211</v>
      </c>
      <c r="E6" s="4">
        <f t="shared" si="1"/>
        <v>0.22762441000000003</v>
      </c>
      <c r="F6" s="4">
        <f t="shared" si="1"/>
        <v>410881</v>
      </c>
      <c r="G6" s="4">
        <f t="shared" si="2"/>
        <v>695.44169999999997</v>
      </c>
      <c r="H6" s="4">
        <f t="shared" si="3"/>
        <v>54.441699999999997</v>
      </c>
      <c r="I6" s="4">
        <f t="shared" si="4"/>
        <v>2963.8986988899997</v>
      </c>
      <c r="T6" s="77"/>
      <c r="U6" s="36" t="s">
        <v>42</v>
      </c>
      <c r="V6" s="26">
        <f>ROUND((D23^2)/I23,4)</f>
        <v>1217197.9118999999</v>
      </c>
      <c r="W6" s="77"/>
      <c r="X6" s="26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</row>
    <row r="7" spans="2:35">
      <c r="B7" s="4">
        <v>0.50860000000000005</v>
      </c>
      <c r="C7" s="69">
        <v>355</v>
      </c>
      <c r="D7" s="4">
        <f t="shared" si="0"/>
        <v>180.55300000000003</v>
      </c>
      <c r="E7" s="4">
        <f t="shared" si="1"/>
        <v>0.25867396000000004</v>
      </c>
      <c r="F7" s="4">
        <f t="shared" si="1"/>
        <v>126025</v>
      </c>
      <c r="G7" s="4">
        <f t="shared" si="2"/>
        <v>656.71159999999998</v>
      </c>
      <c r="H7" s="4">
        <f t="shared" si="3"/>
        <v>301.71159999999998</v>
      </c>
      <c r="I7" s="4">
        <f t="shared" si="4"/>
        <v>91029.889574559988</v>
      </c>
      <c r="T7" s="77"/>
      <c r="U7" s="36" t="s">
        <v>43</v>
      </c>
      <c r="V7" s="26">
        <f>N23</f>
        <v>3575465.3693882301</v>
      </c>
      <c r="W7" s="77"/>
      <c r="X7" s="26">
        <f>P26</f>
        <v>1282.0486000000001</v>
      </c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</row>
    <row r="8" spans="2:35">
      <c r="B8" s="4">
        <v>0.61429999999999996</v>
      </c>
      <c r="C8" s="69">
        <v>223</v>
      </c>
      <c r="D8" s="4">
        <f t="shared" si="0"/>
        <v>136.9889</v>
      </c>
      <c r="E8" s="4">
        <f t="shared" si="1"/>
        <v>0.37736448999999994</v>
      </c>
      <c r="F8" s="4">
        <f t="shared" si="1"/>
        <v>49729</v>
      </c>
      <c r="G8" s="4">
        <f t="shared" si="2"/>
        <v>526.75070000000005</v>
      </c>
      <c r="H8" s="4">
        <f t="shared" si="3"/>
        <v>303.75069999999999</v>
      </c>
      <c r="I8" s="4">
        <f t="shared" si="4"/>
        <v>92264.487750489992</v>
      </c>
      <c r="T8" s="77"/>
      <c r="U8" s="36" t="s">
        <v>59</v>
      </c>
      <c r="V8" s="26">
        <f>ROUND(SQRT(V5/(L11-2)),4)</f>
        <v>396.50700000000001</v>
      </c>
      <c r="W8" s="77"/>
      <c r="X8" s="26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</row>
    <row r="9" spans="2:35" ht="13.5" thickBot="1">
      <c r="B9" s="4">
        <v>0.66710000000000003</v>
      </c>
      <c r="C9" s="69">
        <v>144</v>
      </c>
      <c r="D9" s="4">
        <f t="shared" si="0"/>
        <v>96.062399999999997</v>
      </c>
      <c r="E9" s="4">
        <f t="shared" si="1"/>
        <v>0.44502241000000003</v>
      </c>
      <c r="F9" s="4">
        <f t="shared" si="1"/>
        <v>20736</v>
      </c>
      <c r="G9" s="4">
        <f t="shared" si="2"/>
        <v>461.83170000000001</v>
      </c>
      <c r="H9" s="4">
        <f t="shared" si="3"/>
        <v>317.83170000000001</v>
      </c>
      <c r="I9" s="4">
        <f t="shared" si="4"/>
        <v>101016.98952489001</v>
      </c>
      <c r="T9" s="77"/>
      <c r="U9" s="37"/>
      <c r="V9" s="27"/>
      <c r="W9" s="37"/>
      <c r="X9" s="27">
        <f>ROUND(X5*SQRT(I23/N23),4)</f>
        <v>-0.58350000000000002</v>
      </c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</row>
    <row r="10" spans="2:35">
      <c r="B10" s="4">
        <v>0.67600000000000005</v>
      </c>
      <c r="C10" s="69">
        <v>77</v>
      </c>
      <c r="D10" s="4">
        <f t="shared" si="0"/>
        <v>52.052000000000007</v>
      </c>
      <c r="E10" s="4">
        <f t="shared" si="1"/>
        <v>0.45697600000000005</v>
      </c>
      <c r="F10" s="4">
        <f t="shared" si="1"/>
        <v>5929</v>
      </c>
      <c r="G10" s="4">
        <f t="shared" si="2"/>
        <v>450.88900000000001</v>
      </c>
      <c r="H10" s="4">
        <f t="shared" si="3"/>
        <v>373.88900000000001</v>
      </c>
      <c r="I10" s="4">
        <f t="shared" si="4"/>
        <v>139792.984321</v>
      </c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</row>
    <row r="11" spans="2:35" ht="13.5" thickBot="1">
      <c r="B11" s="4">
        <v>0.8357</v>
      </c>
      <c r="C11" s="69">
        <v>69</v>
      </c>
      <c r="D11" s="4">
        <f t="shared" si="0"/>
        <v>57.6633</v>
      </c>
      <c r="E11" s="4">
        <f t="shared" si="1"/>
        <v>0.69839448999999998</v>
      </c>
      <c r="F11" s="4">
        <f t="shared" si="1"/>
        <v>4761</v>
      </c>
      <c r="G11" s="4">
        <f t="shared" si="2"/>
        <v>254.53360000000001</v>
      </c>
      <c r="H11" s="4">
        <f t="shared" si="3"/>
        <v>185.53360000000001</v>
      </c>
      <c r="I11" s="4">
        <f t="shared" si="4"/>
        <v>34422.716728960004</v>
      </c>
      <c r="K11" s="69" t="s">
        <v>19</v>
      </c>
      <c r="L11" s="69">
        <f>COUNT(B4,B5:B20)</f>
        <v>17</v>
      </c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</row>
    <row r="12" spans="2:35">
      <c r="B12" s="4">
        <v>0.9657</v>
      </c>
      <c r="C12" s="69">
        <v>42</v>
      </c>
      <c r="D12" s="4">
        <f t="shared" si="0"/>
        <v>40.559399999999997</v>
      </c>
      <c r="E12" s="4">
        <f t="shared" si="1"/>
        <v>0.93257648999999998</v>
      </c>
      <c r="F12" s="4">
        <f t="shared" si="1"/>
        <v>1764</v>
      </c>
      <c r="G12" s="4">
        <f t="shared" si="2"/>
        <v>94.6952</v>
      </c>
      <c r="H12" s="4">
        <f t="shared" si="3"/>
        <v>52.6952</v>
      </c>
      <c r="I12" s="4">
        <f t="shared" si="4"/>
        <v>2776.78410304</v>
      </c>
      <c r="K12" s="69" t="s">
        <v>20</v>
      </c>
      <c r="L12" s="69">
        <f>ROUND(AVERAGE(B4:B20),4)</f>
        <v>0.82579999999999998</v>
      </c>
      <c r="T12" s="77"/>
      <c r="U12" s="20"/>
      <c r="V12" s="20" t="s">
        <v>55</v>
      </c>
      <c r="W12" s="20" t="s">
        <v>48</v>
      </c>
      <c r="X12" s="20" t="s">
        <v>49</v>
      </c>
      <c r="Y12" s="20" t="s">
        <v>50</v>
      </c>
      <c r="Z12" s="20" t="s">
        <v>51</v>
      </c>
      <c r="AA12" s="77"/>
      <c r="AB12" s="77"/>
      <c r="AC12" s="77"/>
      <c r="AD12" s="77"/>
      <c r="AE12" s="77"/>
      <c r="AF12" s="77"/>
      <c r="AG12" s="77"/>
      <c r="AH12" s="77"/>
      <c r="AI12" s="77"/>
    </row>
    <row r="13" spans="2:35">
      <c r="B13" s="4">
        <v>1.1086</v>
      </c>
      <c r="C13" s="69">
        <v>37</v>
      </c>
      <c r="D13" s="4">
        <f t="shared" si="0"/>
        <v>41.0182</v>
      </c>
      <c r="E13" s="4">
        <f t="shared" si="1"/>
        <v>1.2289939600000002</v>
      </c>
      <c r="F13" s="4">
        <f t="shared" si="1"/>
        <v>1369</v>
      </c>
      <c r="G13" s="4">
        <f t="shared" si="2"/>
        <v>-81.004000000000005</v>
      </c>
      <c r="H13" s="4">
        <f t="shared" si="3"/>
        <v>-118.004</v>
      </c>
      <c r="I13" s="4">
        <f t="shared" si="4"/>
        <v>13924.944016000001</v>
      </c>
      <c r="K13" s="69" t="s">
        <v>21</v>
      </c>
      <c r="L13" s="69">
        <f>ROUND(AVERAGE(C4:C20),4)</f>
        <v>266.70589999999999</v>
      </c>
      <c r="T13" s="77"/>
      <c r="U13" s="76" t="s">
        <v>56</v>
      </c>
      <c r="V13" s="18" t="s">
        <v>45</v>
      </c>
      <c r="W13" s="18">
        <v>1</v>
      </c>
      <c r="X13" s="18">
        <f>V6</f>
        <v>1217197.9118999999</v>
      </c>
      <c r="Y13" s="18">
        <f>X13/W13</f>
        <v>1217197.9118999999</v>
      </c>
      <c r="Z13" s="18">
        <f>Y13/Y14</f>
        <v>7.742111221327761</v>
      </c>
      <c r="AA13" s="77"/>
      <c r="AB13" s="77"/>
      <c r="AC13" s="77"/>
      <c r="AD13" s="77"/>
      <c r="AE13" s="77"/>
      <c r="AF13" s="77"/>
      <c r="AG13" s="77"/>
      <c r="AH13" s="77"/>
      <c r="AI13" s="77"/>
    </row>
    <row r="14" spans="2:35">
      <c r="B14" s="4">
        <v>1.0071000000000001</v>
      </c>
      <c r="C14" s="69">
        <v>29</v>
      </c>
      <c r="D14" s="4">
        <f t="shared" si="0"/>
        <v>29.205900000000003</v>
      </c>
      <c r="E14" s="4">
        <f t="shared" si="1"/>
        <v>1.0142504100000003</v>
      </c>
      <c r="F14" s="4">
        <f t="shared" si="1"/>
        <v>841</v>
      </c>
      <c r="G14" s="4">
        <f t="shared" si="2"/>
        <v>43.792900000000003</v>
      </c>
      <c r="H14" s="4">
        <f t="shared" si="3"/>
        <v>14.792899999999999</v>
      </c>
      <c r="I14" s="4">
        <f t="shared" si="4"/>
        <v>218.82989040999999</v>
      </c>
      <c r="T14" s="77"/>
      <c r="U14" s="76" t="s">
        <v>57</v>
      </c>
      <c r="V14" s="18" t="s">
        <v>46</v>
      </c>
      <c r="W14" s="18">
        <f>17-2</f>
        <v>15</v>
      </c>
      <c r="X14" s="18">
        <f>V5</f>
        <v>2358267.423</v>
      </c>
      <c r="Y14" s="18">
        <f>X14/W14</f>
        <v>157217.82819999999</v>
      </c>
      <c r="Z14" s="18"/>
      <c r="AA14" s="77"/>
      <c r="AB14" s="77"/>
      <c r="AC14" s="77"/>
      <c r="AD14" s="77"/>
      <c r="AE14" s="77"/>
      <c r="AF14" s="77"/>
      <c r="AG14" s="77"/>
      <c r="AH14" s="77"/>
      <c r="AI14" s="77"/>
    </row>
    <row r="15" spans="2:35" ht="13.5" thickBot="1">
      <c r="B15" s="4">
        <v>0.96430000000000005</v>
      </c>
      <c r="C15" s="69">
        <v>20</v>
      </c>
      <c r="D15" s="4">
        <f t="shared" si="0"/>
        <v>19.286000000000001</v>
      </c>
      <c r="E15" s="4">
        <f t="shared" si="1"/>
        <v>0.92987449000000011</v>
      </c>
      <c r="F15" s="4">
        <f t="shared" si="1"/>
        <v>400</v>
      </c>
      <c r="G15" s="4">
        <f t="shared" si="2"/>
        <v>96.416600000000003</v>
      </c>
      <c r="H15" s="4">
        <f t="shared" si="3"/>
        <v>76.416600000000003</v>
      </c>
      <c r="I15" s="4">
        <f t="shared" si="4"/>
        <v>5839.4967555600006</v>
      </c>
      <c r="T15" s="77"/>
      <c r="U15" s="24" t="s">
        <v>58</v>
      </c>
      <c r="V15" s="19" t="s">
        <v>47</v>
      </c>
      <c r="W15" s="19">
        <f>17-1</f>
        <v>16</v>
      </c>
      <c r="X15" s="19">
        <f>V7</f>
        <v>3575465.3693882301</v>
      </c>
      <c r="Y15" s="19"/>
      <c r="Z15" s="19"/>
      <c r="AA15" s="77"/>
      <c r="AB15" s="77"/>
      <c r="AC15" s="77"/>
      <c r="AD15" s="77"/>
      <c r="AE15" s="77"/>
      <c r="AF15" s="77"/>
      <c r="AG15" s="77"/>
      <c r="AH15" s="77"/>
      <c r="AI15" s="77"/>
    </row>
    <row r="16" spans="2:35">
      <c r="B16" s="4">
        <v>0.89</v>
      </c>
      <c r="C16" s="69">
        <v>12</v>
      </c>
      <c r="D16" s="4">
        <f t="shared" si="0"/>
        <v>10.68</v>
      </c>
      <c r="E16" s="4">
        <f t="shared" si="1"/>
        <v>0.79210000000000003</v>
      </c>
      <c r="F16" s="4">
        <f t="shared" si="1"/>
        <v>144</v>
      </c>
      <c r="G16" s="4">
        <f t="shared" si="2"/>
        <v>187.7704</v>
      </c>
      <c r="H16" s="4">
        <f t="shared" si="3"/>
        <v>175.7704</v>
      </c>
      <c r="I16" s="4">
        <f t="shared" si="4"/>
        <v>30895.233516159999</v>
      </c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</row>
    <row r="17" spans="1:35">
      <c r="B17" s="4">
        <v>0.88</v>
      </c>
      <c r="C17" s="69">
        <v>15</v>
      </c>
      <c r="D17" s="4">
        <f t="shared" si="0"/>
        <v>13.2</v>
      </c>
      <c r="E17" s="4">
        <f t="shared" si="1"/>
        <v>0.77439999999999998</v>
      </c>
      <c r="F17" s="4">
        <f t="shared" si="1"/>
        <v>225</v>
      </c>
      <c r="G17" s="4">
        <f t="shared" si="2"/>
        <v>200.06559999999999</v>
      </c>
      <c r="H17" s="4">
        <f t="shared" si="3"/>
        <v>185.06559999999999</v>
      </c>
      <c r="I17" s="4">
        <f t="shared" si="4"/>
        <v>34249.276303359999</v>
      </c>
      <c r="T17" s="77"/>
      <c r="U17" s="73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</row>
    <row r="18" spans="1:35">
      <c r="B18" s="4">
        <v>1.0128999999999999</v>
      </c>
      <c r="C18" s="69">
        <v>15</v>
      </c>
      <c r="D18" s="4">
        <f t="shared" si="0"/>
        <v>15.193499999999998</v>
      </c>
      <c r="E18" s="4">
        <f t="shared" si="1"/>
        <v>1.0259664099999999</v>
      </c>
      <c r="F18" s="4">
        <f t="shared" si="1"/>
        <v>225</v>
      </c>
      <c r="G18" s="4">
        <f t="shared" si="2"/>
        <v>36.6616</v>
      </c>
      <c r="H18" s="4">
        <f t="shared" si="3"/>
        <v>21.6616</v>
      </c>
      <c r="I18" s="4">
        <f t="shared" si="4"/>
        <v>469.22491456</v>
      </c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</row>
    <row r="19" spans="1:35">
      <c r="B19" s="4">
        <v>1.1000000000000001</v>
      </c>
      <c r="C19" s="69">
        <v>10</v>
      </c>
      <c r="D19" s="4">
        <f t="shared" si="0"/>
        <v>11</v>
      </c>
      <c r="E19" s="4">
        <f t="shared" si="1"/>
        <v>1.2100000000000002</v>
      </c>
      <c r="F19" s="4">
        <f t="shared" si="1"/>
        <v>100</v>
      </c>
      <c r="G19" s="4">
        <f t="shared" si="2"/>
        <v>-70.430099999999996</v>
      </c>
      <c r="H19" s="4">
        <f t="shared" si="3"/>
        <v>-80.430099999999996</v>
      </c>
      <c r="I19" s="4">
        <f t="shared" si="4"/>
        <v>6469.000986009999</v>
      </c>
      <c r="T19" s="77"/>
      <c r="U19" s="14"/>
      <c r="V19" s="14"/>
      <c r="W19" s="14"/>
      <c r="X19" s="14"/>
      <c r="Y19" s="14"/>
      <c r="Z19" s="77"/>
      <c r="AA19" s="77"/>
      <c r="AB19" s="77"/>
      <c r="AC19" s="77"/>
      <c r="AD19" s="77"/>
      <c r="AE19" s="77"/>
      <c r="AF19" s="77"/>
      <c r="AG19" s="77"/>
      <c r="AH19" s="77"/>
      <c r="AI19" s="77"/>
    </row>
    <row r="20" spans="1:35" ht="13.5" customHeight="1">
      <c r="B20" s="7">
        <v>1.1399999999999999</v>
      </c>
      <c r="C20" s="69">
        <v>6</v>
      </c>
      <c r="D20" s="7">
        <f t="shared" si="0"/>
        <v>6.84</v>
      </c>
      <c r="E20" s="7">
        <f t="shared" si="1"/>
        <v>1.2995999999999999</v>
      </c>
      <c r="F20" s="7">
        <f t="shared" si="1"/>
        <v>36</v>
      </c>
      <c r="G20" s="4">
        <f t="shared" si="2"/>
        <v>-119.6112</v>
      </c>
      <c r="H20" s="4">
        <f t="shared" si="3"/>
        <v>-125.6112</v>
      </c>
      <c r="I20" s="4">
        <f t="shared" si="4"/>
        <v>15778.17356544</v>
      </c>
      <c r="T20" s="77"/>
      <c r="U20" s="29" t="s">
        <v>80</v>
      </c>
      <c r="V20" s="14">
        <v>0.05</v>
      </c>
      <c r="W20" s="14"/>
      <c r="X20" s="14"/>
      <c r="Y20" s="14"/>
      <c r="Z20" s="77"/>
      <c r="AA20" s="77"/>
      <c r="AB20" s="77"/>
      <c r="AC20" s="77"/>
      <c r="AD20" s="77"/>
      <c r="AE20" s="77"/>
      <c r="AF20" s="77"/>
      <c r="AG20" s="77"/>
      <c r="AH20" s="77"/>
      <c r="AI20" s="77"/>
    </row>
    <row r="21" spans="1:35">
      <c r="A21" s="4" t="s">
        <v>18</v>
      </c>
      <c r="B21" s="4">
        <f t="shared" ref="B21:I21" si="5">SUM(B4:B20)</f>
        <v>14.038800000000002</v>
      </c>
      <c r="C21" s="4">
        <f t="shared" si="5"/>
        <v>4534</v>
      </c>
      <c r="D21" s="4">
        <f t="shared" si="5"/>
        <v>2754.2041999999997</v>
      </c>
      <c r="E21" s="4">
        <f t="shared" si="5"/>
        <v>12.398242420000003</v>
      </c>
      <c r="F21" s="4">
        <f t="shared" si="5"/>
        <v>4784710</v>
      </c>
      <c r="G21" s="4">
        <f t="shared" si="5"/>
        <v>4533.7551000000012</v>
      </c>
      <c r="H21" s="4">
        <f t="shared" si="5"/>
        <v>-0.24490000000021439</v>
      </c>
      <c r="I21" s="4">
        <f t="shared" si="5"/>
        <v>2357637.6980287293</v>
      </c>
      <c r="T21" s="77"/>
      <c r="U21" s="14"/>
      <c r="V21" s="14"/>
      <c r="W21" s="14"/>
      <c r="X21" s="14"/>
      <c r="Y21" s="14"/>
      <c r="Z21" s="77"/>
      <c r="AA21" s="77"/>
      <c r="AB21" s="77"/>
      <c r="AC21" s="77"/>
      <c r="AD21" s="77"/>
      <c r="AE21" s="77"/>
      <c r="AF21" s="77"/>
      <c r="AG21" s="77"/>
      <c r="AH21" s="77"/>
      <c r="AI21" s="77"/>
    </row>
    <row r="22" spans="1:35">
      <c r="T22" s="77"/>
      <c r="U22" s="14"/>
      <c r="V22" s="14"/>
      <c r="W22" s="14"/>
      <c r="X22" s="14"/>
      <c r="Y22" s="14"/>
      <c r="Z22" s="77"/>
      <c r="AA22" s="77"/>
      <c r="AB22" s="77"/>
      <c r="AC22" s="77"/>
      <c r="AD22" s="77"/>
      <c r="AE22" s="77"/>
      <c r="AF22" s="77"/>
      <c r="AG22" s="77"/>
      <c r="AH22" s="77"/>
      <c r="AI22" s="77"/>
    </row>
    <row r="23" spans="1:35">
      <c r="D23" s="69">
        <f>D21-(L11*L12*L13)</f>
        <v>-989.97324773999981</v>
      </c>
      <c r="I23" s="69">
        <f>E21-(L11*(L12^2))</f>
        <v>0.80516654000000187</v>
      </c>
      <c r="N23" s="69">
        <f>F21-(L11*(L13^2))</f>
        <v>3575465.3693882301</v>
      </c>
      <c r="T23" s="77"/>
      <c r="U23" s="14"/>
      <c r="V23" s="14"/>
      <c r="W23" s="14"/>
      <c r="X23" s="14"/>
      <c r="Y23" s="14"/>
      <c r="Z23" s="77"/>
      <c r="AA23" s="77"/>
      <c r="AB23" s="77"/>
      <c r="AC23" s="77"/>
      <c r="AD23" s="77"/>
      <c r="AE23" s="77"/>
      <c r="AF23" s="77"/>
      <c r="AG23" s="77"/>
      <c r="AH23" s="77"/>
      <c r="AI23" s="77"/>
    </row>
    <row r="24" spans="1:35">
      <c r="T24" s="77"/>
      <c r="U24" s="29" t="s">
        <v>133</v>
      </c>
      <c r="V24" s="14">
        <f>Z13</f>
        <v>7.742111221327761</v>
      </c>
      <c r="W24" s="14"/>
      <c r="X24" s="14"/>
      <c r="Y24" s="14"/>
      <c r="Z24" s="77"/>
      <c r="AA24" s="77"/>
      <c r="AB24" s="77"/>
      <c r="AC24" s="77"/>
      <c r="AD24" s="77"/>
      <c r="AE24" s="77"/>
      <c r="AF24" s="77"/>
      <c r="AG24" s="77"/>
      <c r="AH24" s="77"/>
      <c r="AI24" s="77"/>
    </row>
    <row r="25" spans="1:35">
      <c r="T25" s="77"/>
      <c r="U25" s="14"/>
      <c r="V25" s="14"/>
      <c r="W25" s="14"/>
      <c r="X25" s="14"/>
      <c r="Y25" s="14"/>
      <c r="Z25" s="77"/>
      <c r="AA25" s="77"/>
      <c r="AB25" s="77"/>
      <c r="AC25" s="77"/>
      <c r="AD25" s="77"/>
      <c r="AE25" s="77"/>
      <c r="AF25" s="77"/>
      <c r="AG25" s="77"/>
      <c r="AH25" s="77"/>
      <c r="AI25" s="77"/>
    </row>
    <row r="26" spans="1:35">
      <c r="C26" s="69">
        <f>D23/(SQRT(I23)*SQRT(N23))</f>
        <v>-0.58346433090308314</v>
      </c>
      <c r="H26" s="69">
        <f>C26^2</f>
        <v>0.34043062543618252</v>
      </c>
      <c r="L26" s="69">
        <f>ROUND(D23/I23,4)</f>
        <v>-1229.5261</v>
      </c>
      <c r="P26" s="69">
        <f>ROUND((L13-(L26*L12)),4)</f>
        <v>1282.0486000000001</v>
      </c>
      <c r="T26" s="77"/>
      <c r="U26" s="14"/>
      <c r="V26" s="14"/>
      <c r="W26" s="14"/>
      <c r="X26" s="14"/>
      <c r="Y26" s="14"/>
      <c r="Z26" s="77"/>
      <c r="AA26" s="77"/>
      <c r="AB26" s="77"/>
      <c r="AC26" s="77"/>
      <c r="AD26" s="77"/>
      <c r="AE26" s="77"/>
      <c r="AF26" s="77"/>
      <c r="AG26" s="77"/>
      <c r="AH26" s="77"/>
      <c r="AI26" s="77"/>
    </row>
    <row r="27" spans="1:35">
      <c r="C27" s="12"/>
      <c r="D27" s="12"/>
      <c r="T27" s="77"/>
      <c r="U27" s="14" t="str">
        <f>"f(0,05);("&amp;W13&amp;","&amp;W14&amp;")="</f>
        <v>f(0,05);(1,15)=</v>
      </c>
      <c r="V27" s="14">
        <f>ROUND(_xlfn.F.INV.RT(V20,W13,W14),4)</f>
        <v>4.5430999999999999</v>
      </c>
      <c r="W27" s="14"/>
      <c r="X27" s="14"/>
      <c r="Y27" s="14"/>
      <c r="Z27" s="77"/>
      <c r="AA27" s="77"/>
      <c r="AB27" s="77"/>
      <c r="AC27" s="77"/>
      <c r="AD27" s="77"/>
      <c r="AE27" s="77"/>
      <c r="AF27" s="77"/>
      <c r="AG27" s="77"/>
      <c r="AH27" s="77"/>
      <c r="AI27" s="77"/>
    </row>
    <row r="28" spans="1:35">
      <c r="T28" s="77"/>
      <c r="U28" s="14"/>
      <c r="V28" s="14"/>
      <c r="W28" s="14"/>
      <c r="X28" s="14"/>
      <c r="Y28" s="14"/>
      <c r="Z28" s="77"/>
      <c r="AA28" s="77"/>
      <c r="AB28" s="77"/>
      <c r="AC28" s="77"/>
      <c r="AD28" s="77"/>
      <c r="AE28" s="77"/>
      <c r="AF28" s="77"/>
      <c r="AG28" s="77"/>
      <c r="AH28" s="77"/>
      <c r="AI28" s="77"/>
    </row>
    <row r="29" spans="1:35">
      <c r="L29" s="69" t="str">
        <f>"𝑦 ̂="&amp;P26&amp;"+"&amp;L26&amp;"x ̂"</f>
        <v>𝑦 ̂=1282,0486+-1229,5261x ̂</v>
      </c>
      <c r="T29" s="77"/>
      <c r="U29" s="14" t="str">
        <f>IF(V27&lt;=V24, "R: Como  " &amp;ROUND(V27,4) &amp;" &lt; "&amp;ROUND(V24,4)&amp;" o modelo é significativo","R: Como  " &amp;ROUND(V27,4) &amp;" &gt; "&amp;ROUND(V24,4)&amp;" o modelo não é significativo" )</f>
        <v>R: Como  4,5431 &lt; 7,7421 o modelo é significativo</v>
      </c>
      <c r="V29" s="14"/>
      <c r="W29" s="14"/>
      <c r="X29" s="14"/>
      <c r="Y29" s="14"/>
      <c r="Z29" s="77"/>
      <c r="AA29" s="77"/>
      <c r="AB29" s="77"/>
      <c r="AC29" s="77"/>
      <c r="AD29" s="77"/>
      <c r="AE29" s="77"/>
      <c r="AF29" s="77"/>
      <c r="AG29" s="77"/>
      <c r="AH29" s="77"/>
      <c r="AI29" s="77"/>
    </row>
    <row r="30" spans="1:35"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</row>
    <row r="31" spans="1: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</row>
    <row r="32" spans="1:35">
      <c r="B32" s="3"/>
      <c r="C32" s="3"/>
      <c r="D32" s="3"/>
      <c r="E32" s="3"/>
      <c r="F32" s="3"/>
      <c r="G32" s="3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</row>
    <row r="33" spans="2:35">
      <c r="B33" s="2" t="s">
        <v>9</v>
      </c>
      <c r="C33" s="2" t="s">
        <v>10</v>
      </c>
      <c r="D33" s="2" t="s">
        <v>11</v>
      </c>
      <c r="E33" s="2" t="s">
        <v>12</v>
      </c>
      <c r="F33" s="2" t="s">
        <v>13</v>
      </c>
      <c r="G33" s="2"/>
      <c r="H33" s="4"/>
      <c r="I33" s="4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</row>
    <row r="34" spans="2:35">
      <c r="B34" s="69" t="s">
        <v>4</v>
      </c>
      <c r="C34" s="69" t="s">
        <v>2</v>
      </c>
      <c r="D34" s="4"/>
      <c r="E34" s="4"/>
      <c r="F34" s="4"/>
      <c r="G34" s="4"/>
      <c r="H34" s="4"/>
      <c r="I34" s="4"/>
      <c r="L34" s="80" t="s">
        <v>15</v>
      </c>
      <c r="M34" s="80"/>
      <c r="N34" s="69" t="str">
        <f>C34</f>
        <v>new_deaths</v>
      </c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</row>
    <row r="35" spans="2:35">
      <c r="B35" s="69">
        <v>6117</v>
      </c>
      <c r="C35" s="69">
        <v>1676</v>
      </c>
      <c r="D35" s="4">
        <f>B35*C35</f>
        <v>10252092</v>
      </c>
      <c r="E35" s="4">
        <f>B35^2</f>
        <v>37417689</v>
      </c>
      <c r="F35" s="4">
        <f>C35^2</f>
        <v>2808976</v>
      </c>
      <c r="G35" s="4">
        <f>ROUND($P$26+$L$26*B35,4)</f>
        <v>-7519729.1051000003</v>
      </c>
      <c r="H35" s="4">
        <f>ROUND(G35-C35,4)</f>
        <v>-7521405.1051000003</v>
      </c>
      <c r="I35" s="4">
        <f>H35^2</f>
        <v>56571534755024.344</v>
      </c>
      <c r="L35" s="80" t="s">
        <v>14</v>
      </c>
      <c r="M35" s="80"/>
      <c r="N35" s="80" t="str">
        <f>B34</f>
        <v>icu_patients</v>
      </c>
      <c r="O35" s="80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</row>
    <row r="36" spans="2:35">
      <c r="B36" s="69">
        <v>5872</v>
      </c>
      <c r="C36" s="69">
        <v>1163</v>
      </c>
      <c r="D36" s="4">
        <f t="shared" ref="D36:D51" si="6">B36*C36</f>
        <v>6829136</v>
      </c>
      <c r="E36" s="4">
        <f t="shared" ref="E36:F51" si="7">B36^2</f>
        <v>34480384</v>
      </c>
      <c r="F36" s="4">
        <f t="shared" si="7"/>
        <v>1352569</v>
      </c>
      <c r="G36" s="4">
        <f t="shared" ref="G36:G51" si="8">ROUND($P$26+$L$26*B36,4)</f>
        <v>-7218495.2105999999</v>
      </c>
      <c r="H36" s="4">
        <f t="shared" ref="H36:H51" si="9">ROUND(G36-C36,4)</f>
        <v>-7219658.2105999999</v>
      </c>
      <c r="I36" s="4">
        <f t="shared" ref="I36:I51" si="10">H36^2</f>
        <v>52123464677883.992</v>
      </c>
      <c r="T36" s="77"/>
      <c r="U36" s="38" t="s">
        <v>41</v>
      </c>
      <c r="V36" s="33">
        <f>ROUND(N54-X36*D54,4)</f>
        <v>521848.978</v>
      </c>
      <c r="W36" s="38"/>
      <c r="X36" s="33">
        <f>L57</f>
        <v>0.22040000000000001</v>
      </c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</row>
    <row r="37" spans="2:35">
      <c r="B37" s="69">
        <v>4906</v>
      </c>
      <c r="C37" s="69">
        <v>641</v>
      </c>
      <c r="D37" s="4">
        <f t="shared" si="6"/>
        <v>3144746</v>
      </c>
      <c r="E37" s="4">
        <f t="shared" si="7"/>
        <v>24068836</v>
      </c>
      <c r="F37" s="4">
        <f t="shared" si="7"/>
        <v>410881</v>
      </c>
      <c r="G37" s="4">
        <f t="shared" si="8"/>
        <v>-6030772.9979999997</v>
      </c>
      <c r="H37" s="4">
        <f t="shared" si="9"/>
        <v>-6031413.9979999997</v>
      </c>
      <c r="I37" s="4">
        <f t="shared" si="10"/>
        <v>36377954815270.344</v>
      </c>
      <c r="T37" s="77"/>
      <c r="U37" s="36" t="s">
        <v>42</v>
      </c>
      <c r="V37" s="26">
        <f>ROUND((D54^2)/I54,4)</f>
        <v>3052978.1710000001</v>
      </c>
      <c r="W37" s="77"/>
      <c r="X37" s="26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</row>
    <row r="38" spans="2:35">
      <c r="B38" s="69">
        <v>3825</v>
      </c>
      <c r="C38" s="69">
        <v>355</v>
      </c>
      <c r="D38" s="4">
        <f t="shared" si="6"/>
        <v>1357875</v>
      </c>
      <c r="E38" s="4">
        <f t="shared" si="7"/>
        <v>14630625</v>
      </c>
      <c r="F38" s="4">
        <f t="shared" si="7"/>
        <v>126025</v>
      </c>
      <c r="G38" s="4">
        <f t="shared" si="8"/>
        <v>-4701655.2839000002</v>
      </c>
      <c r="H38" s="4">
        <f t="shared" si="9"/>
        <v>-4702010.2839000002</v>
      </c>
      <c r="I38" s="4">
        <f t="shared" si="10"/>
        <v>22108900709901.359</v>
      </c>
      <c r="T38" s="77"/>
      <c r="U38" s="36" t="s">
        <v>43</v>
      </c>
      <c r="V38" s="26">
        <f>N54</f>
        <v>3575465.3693882301</v>
      </c>
      <c r="W38" s="77"/>
      <c r="X38" s="26">
        <f>P57</f>
        <v>-168.3767</v>
      </c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</row>
    <row r="39" spans="2:35">
      <c r="B39" s="69">
        <v>2829</v>
      </c>
      <c r="C39" s="69">
        <v>223</v>
      </c>
      <c r="D39" s="4">
        <f t="shared" si="6"/>
        <v>630867</v>
      </c>
      <c r="E39" s="4">
        <f t="shared" si="7"/>
        <v>8003241</v>
      </c>
      <c r="F39" s="4">
        <f t="shared" si="7"/>
        <v>49729</v>
      </c>
      <c r="G39" s="4">
        <f t="shared" si="8"/>
        <v>-3477047.2883000001</v>
      </c>
      <c r="H39" s="4">
        <f t="shared" si="9"/>
        <v>-3477270.2883000001</v>
      </c>
      <c r="I39" s="4">
        <f t="shared" si="10"/>
        <v>12091408657893.967</v>
      </c>
      <c r="T39" s="77"/>
      <c r="U39" s="36" t="s">
        <v>59</v>
      </c>
      <c r="V39" s="26">
        <f>ROUND(SQRT(V36/(L42-2)),4)</f>
        <v>186.5206</v>
      </c>
      <c r="W39" s="77"/>
      <c r="X39" s="26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</row>
    <row r="40" spans="2:35" ht="13.5" thickBot="1">
      <c r="B40" s="69">
        <v>1971</v>
      </c>
      <c r="C40" s="69">
        <v>144</v>
      </c>
      <c r="D40" s="4">
        <f t="shared" si="6"/>
        <v>283824</v>
      </c>
      <c r="E40" s="4">
        <f t="shared" si="7"/>
        <v>3884841</v>
      </c>
      <c r="F40" s="4">
        <f t="shared" si="7"/>
        <v>20736</v>
      </c>
      <c r="G40" s="4">
        <f t="shared" si="8"/>
        <v>-2422113.8944999999</v>
      </c>
      <c r="H40" s="4">
        <f t="shared" si="9"/>
        <v>-2422257.8944999999</v>
      </c>
      <c r="I40" s="4">
        <f t="shared" si="10"/>
        <v>5867333307467.5732</v>
      </c>
      <c r="T40" s="77"/>
      <c r="U40" s="37"/>
      <c r="V40" s="27"/>
      <c r="W40" s="37"/>
      <c r="X40" s="27">
        <f>ROUND(X36*SQRT(I54/N54),4)</f>
        <v>0.92420000000000002</v>
      </c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</row>
    <row r="41" spans="2:35">
      <c r="B41" s="69">
        <v>1265</v>
      </c>
      <c r="C41" s="69">
        <v>77</v>
      </c>
      <c r="D41" s="4">
        <f t="shared" si="6"/>
        <v>97405</v>
      </c>
      <c r="E41" s="4">
        <f t="shared" si="7"/>
        <v>1600225</v>
      </c>
      <c r="F41" s="4">
        <f t="shared" si="7"/>
        <v>5929</v>
      </c>
      <c r="G41" s="4">
        <f t="shared" si="8"/>
        <v>-1554068.4679</v>
      </c>
      <c r="H41" s="4">
        <f t="shared" si="9"/>
        <v>-1554145.4679</v>
      </c>
      <c r="I41" s="4">
        <f t="shared" si="10"/>
        <v>2415368135394.1099</v>
      </c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</row>
    <row r="42" spans="2:35" ht="13.5" thickBot="1">
      <c r="B42" s="69">
        <v>1078</v>
      </c>
      <c r="C42" s="69">
        <v>69</v>
      </c>
      <c r="D42" s="4">
        <f t="shared" si="6"/>
        <v>74382</v>
      </c>
      <c r="E42" s="4">
        <f t="shared" si="7"/>
        <v>1162084</v>
      </c>
      <c r="F42" s="4">
        <f t="shared" si="7"/>
        <v>4761</v>
      </c>
      <c r="G42" s="4">
        <f t="shared" si="8"/>
        <v>-1324147.0872</v>
      </c>
      <c r="H42" s="4">
        <f t="shared" si="9"/>
        <v>-1324216.0872</v>
      </c>
      <c r="I42" s="4">
        <f t="shared" si="10"/>
        <v>1753548245599.2778</v>
      </c>
      <c r="K42" s="69" t="s">
        <v>19</v>
      </c>
      <c r="L42" s="69">
        <f>COUNT(B35,B36:B51)</f>
        <v>17</v>
      </c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</row>
    <row r="43" spans="2:35">
      <c r="B43" s="69">
        <v>895</v>
      </c>
      <c r="C43" s="69">
        <v>42</v>
      </c>
      <c r="D43" s="4">
        <f t="shared" si="6"/>
        <v>37590</v>
      </c>
      <c r="E43" s="4">
        <f t="shared" si="7"/>
        <v>801025</v>
      </c>
      <c r="F43" s="4">
        <f t="shared" si="7"/>
        <v>1764</v>
      </c>
      <c r="G43" s="4">
        <f t="shared" si="8"/>
        <v>-1099143.8108999999</v>
      </c>
      <c r="H43" s="4">
        <f t="shared" si="9"/>
        <v>-1099185.8108999999</v>
      </c>
      <c r="I43" s="4">
        <f t="shared" si="10"/>
        <v>1208209446883.8904</v>
      </c>
      <c r="K43" s="69" t="s">
        <v>20</v>
      </c>
      <c r="L43" s="69">
        <f>ROUND(AVERAGE(B35:B51),4)</f>
        <v>1974.0588</v>
      </c>
      <c r="T43" s="77"/>
      <c r="U43" s="20"/>
      <c r="V43" s="20" t="s">
        <v>55</v>
      </c>
      <c r="W43" s="20" t="s">
        <v>48</v>
      </c>
      <c r="X43" s="20" t="s">
        <v>49</v>
      </c>
      <c r="Y43" s="20" t="s">
        <v>50</v>
      </c>
      <c r="Z43" s="20" t="s">
        <v>51</v>
      </c>
      <c r="AA43" s="77"/>
      <c r="AB43" s="77"/>
      <c r="AC43" s="77"/>
      <c r="AD43" s="77"/>
      <c r="AE43" s="77"/>
      <c r="AF43" s="77"/>
      <c r="AG43" s="77"/>
      <c r="AH43" s="77"/>
      <c r="AI43" s="77"/>
    </row>
    <row r="44" spans="2:35">
      <c r="B44" s="69">
        <v>823</v>
      </c>
      <c r="C44" s="69">
        <v>37</v>
      </c>
      <c r="D44" s="4">
        <f t="shared" si="6"/>
        <v>30451</v>
      </c>
      <c r="E44" s="4">
        <f t="shared" si="7"/>
        <v>677329</v>
      </c>
      <c r="F44" s="4">
        <f t="shared" si="7"/>
        <v>1369</v>
      </c>
      <c r="G44" s="4">
        <f t="shared" si="8"/>
        <v>-1010617.9317</v>
      </c>
      <c r="H44" s="4">
        <f t="shared" si="9"/>
        <v>-1010654.9317</v>
      </c>
      <c r="I44" s="4">
        <f t="shared" si="10"/>
        <v>1021423390969.5316</v>
      </c>
      <c r="K44" s="69" t="s">
        <v>21</v>
      </c>
      <c r="L44" s="69">
        <f>ROUND(AVERAGE(C35:C51),4)</f>
        <v>266.70589999999999</v>
      </c>
      <c r="T44" s="77"/>
      <c r="U44" s="76" t="s">
        <v>56</v>
      </c>
      <c r="V44" s="18" t="s">
        <v>45</v>
      </c>
      <c r="W44" s="18">
        <v>1</v>
      </c>
      <c r="X44" s="18">
        <f>V37</f>
        <v>3052978.1710000001</v>
      </c>
      <c r="Y44" s="18">
        <f>X44/W44</f>
        <v>3052978.1710000001</v>
      </c>
      <c r="Z44" s="18">
        <f>Y44/Y45</f>
        <v>87.754646450605875</v>
      </c>
      <c r="AA44" s="77"/>
      <c r="AB44" s="77"/>
      <c r="AC44" s="77"/>
      <c r="AD44" s="77"/>
      <c r="AE44" s="77"/>
      <c r="AF44" s="77"/>
      <c r="AG44" s="77"/>
      <c r="AH44" s="77"/>
      <c r="AI44" s="77"/>
    </row>
    <row r="45" spans="2:35">
      <c r="B45" s="69">
        <v>775</v>
      </c>
      <c r="C45" s="69">
        <v>29</v>
      </c>
      <c r="D45" s="4">
        <f t="shared" si="6"/>
        <v>22475</v>
      </c>
      <c r="E45" s="4">
        <f t="shared" si="7"/>
        <v>600625</v>
      </c>
      <c r="F45" s="4">
        <f t="shared" si="7"/>
        <v>841</v>
      </c>
      <c r="G45" s="4">
        <f t="shared" si="8"/>
        <v>-951600.67890000006</v>
      </c>
      <c r="H45" s="4">
        <f t="shared" si="9"/>
        <v>-951629.67890000006</v>
      </c>
      <c r="I45" s="4">
        <f t="shared" si="10"/>
        <v>905599045763.31726</v>
      </c>
      <c r="T45" s="77"/>
      <c r="U45" s="76" t="s">
        <v>57</v>
      </c>
      <c r="V45" s="18" t="s">
        <v>46</v>
      </c>
      <c r="W45" s="18">
        <f>17-2</f>
        <v>15</v>
      </c>
      <c r="X45" s="18">
        <f>V36</f>
        <v>521848.978</v>
      </c>
      <c r="Y45" s="18">
        <f>X45/W45</f>
        <v>34789.931866666666</v>
      </c>
      <c r="Z45" s="18"/>
      <c r="AA45" s="77"/>
      <c r="AB45" s="77"/>
      <c r="AC45" s="77"/>
      <c r="AD45" s="77"/>
      <c r="AE45" s="77"/>
      <c r="AF45" s="77"/>
      <c r="AG45" s="77"/>
      <c r="AH45" s="77"/>
      <c r="AI45" s="77"/>
    </row>
    <row r="46" spans="2:35" ht="13.5" thickBot="1">
      <c r="B46" s="69">
        <v>733</v>
      </c>
      <c r="C46" s="69">
        <v>20</v>
      </c>
      <c r="D46" s="4">
        <f t="shared" si="6"/>
        <v>14660</v>
      </c>
      <c r="E46" s="4">
        <f t="shared" si="7"/>
        <v>537289</v>
      </c>
      <c r="F46" s="4">
        <f t="shared" si="7"/>
        <v>400</v>
      </c>
      <c r="G46" s="4">
        <f t="shared" si="8"/>
        <v>-899960.58270000003</v>
      </c>
      <c r="H46" s="4">
        <f t="shared" si="9"/>
        <v>-899980.58270000003</v>
      </c>
      <c r="I46" s="4">
        <f t="shared" si="10"/>
        <v>809965049237.03162</v>
      </c>
      <c r="T46" s="77"/>
      <c r="U46" s="24" t="s">
        <v>58</v>
      </c>
      <c r="V46" s="19" t="s">
        <v>47</v>
      </c>
      <c r="W46" s="19">
        <f>17-1</f>
        <v>16</v>
      </c>
      <c r="X46" s="19">
        <f>V38</f>
        <v>3575465.3693882301</v>
      </c>
      <c r="Y46" s="19"/>
      <c r="Z46" s="19"/>
      <c r="AA46" s="77"/>
      <c r="AB46" s="77"/>
      <c r="AC46" s="77"/>
      <c r="AD46" s="77"/>
      <c r="AE46" s="77"/>
      <c r="AF46" s="77"/>
      <c r="AG46" s="77"/>
      <c r="AH46" s="77"/>
      <c r="AI46" s="77"/>
    </row>
    <row r="47" spans="2:35">
      <c r="B47" s="69">
        <v>612</v>
      </c>
      <c r="C47" s="69">
        <v>12</v>
      </c>
      <c r="D47" s="4">
        <f t="shared" si="6"/>
        <v>7344</v>
      </c>
      <c r="E47" s="4">
        <f t="shared" si="7"/>
        <v>374544</v>
      </c>
      <c r="F47" s="4">
        <f t="shared" si="7"/>
        <v>144</v>
      </c>
      <c r="G47" s="4">
        <f t="shared" si="8"/>
        <v>-751187.92460000003</v>
      </c>
      <c r="H47" s="4">
        <f t="shared" si="9"/>
        <v>-751199.92460000003</v>
      </c>
      <c r="I47" s="4">
        <f t="shared" si="10"/>
        <v>564301326719.04578</v>
      </c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</row>
    <row r="48" spans="2:35">
      <c r="B48" s="69">
        <v>560</v>
      </c>
      <c r="C48" s="69">
        <v>15</v>
      </c>
      <c r="D48" s="4">
        <f t="shared" si="6"/>
        <v>8400</v>
      </c>
      <c r="E48" s="4">
        <f t="shared" si="7"/>
        <v>313600</v>
      </c>
      <c r="F48" s="4">
        <f t="shared" si="7"/>
        <v>225</v>
      </c>
      <c r="G48" s="4">
        <f t="shared" si="8"/>
        <v>-687252.56740000006</v>
      </c>
      <c r="H48" s="4">
        <f t="shared" si="9"/>
        <v>-687267.56740000006</v>
      </c>
      <c r="I48" s="4">
        <f t="shared" si="10"/>
        <v>472336709199.91364</v>
      </c>
      <c r="T48" s="77"/>
      <c r="U48" s="73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</row>
    <row r="49" spans="1:35">
      <c r="B49" s="69">
        <v>504</v>
      </c>
      <c r="C49" s="69">
        <v>15</v>
      </c>
      <c r="D49" s="4">
        <f t="shared" si="6"/>
        <v>7560</v>
      </c>
      <c r="E49" s="4">
        <f t="shared" si="7"/>
        <v>254016</v>
      </c>
      <c r="F49" s="4">
        <f t="shared" si="7"/>
        <v>225</v>
      </c>
      <c r="G49" s="4">
        <f t="shared" si="8"/>
        <v>-618399.10580000002</v>
      </c>
      <c r="H49" s="4">
        <f t="shared" si="9"/>
        <v>-618414.10580000002</v>
      </c>
      <c r="I49" s="4">
        <f t="shared" si="10"/>
        <v>382436006252.41364</v>
      </c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</row>
    <row r="50" spans="1:35">
      <c r="B50" s="69">
        <v>424</v>
      </c>
      <c r="C50" s="69">
        <v>10</v>
      </c>
      <c r="D50" s="4">
        <f t="shared" si="6"/>
        <v>4240</v>
      </c>
      <c r="E50" s="4">
        <f t="shared" si="7"/>
        <v>179776</v>
      </c>
      <c r="F50" s="4">
        <f t="shared" si="7"/>
        <v>100</v>
      </c>
      <c r="G50" s="4">
        <f t="shared" si="8"/>
        <v>-520037.01779999997</v>
      </c>
      <c r="H50" s="4">
        <f t="shared" si="9"/>
        <v>-520047.01779999997</v>
      </c>
      <c r="I50" s="4">
        <f t="shared" si="10"/>
        <v>270448900722.67349</v>
      </c>
      <c r="T50" s="77"/>
      <c r="U50" s="14"/>
      <c r="V50" s="14"/>
      <c r="W50" s="14"/>
      <c r="X50" s="14"/>
      <c r="Y50" s="14"/>
      <c r="Z50" s="77"/>
      <c r="AA50" s="77"/>
      <c r="AB50" s="77"/>
      <c r="AC50" s="77"/>
      <c r="AD50" s="77"/>
      <c r="AE50" s="77"/>
      <c r="AF50" s="77"/>
      <c r="AG50" s="77"/>
      <c r="AH50" s="77"/>
      <c r="AI50" s="77"/>
    </row>
    <row r="51" spans="1:35">
      <c r="B51" s="69">
        <v>370</v>
      </c>
      <c r="C51" s="69">
        <v>6</v>
      </c>
      <c r="D51" s="7">
        <f t="shared" si="6"/>
        <v>2220</v>
      </c>
      <c r="E51" s="7">
        <f t="shared" si="7"/>
        <v>136900</v>
      </c>
      <c r="F51" s="7">
        <f t="shared" si="7"/>
        <v>36</v>
      </c>
      <c r="G51" s="4">
        <f t="shared" si="8"/>
        <v>-453642.60840000003</v>
      </c>
      <c r="H51" s="4">
        <f t="shared" si="9"/>
        <v>-453648.60840000003</v>
      </c>
      <c r="I51" s="4">
        <f t="shared" si="10"/>
        <v>205797059903.25656</v>
      </c>
      <c r="T51" s="77"/>
      <c r="U51" s="29" t="s">
        <v>80</v>
      </c>
      <c r="V51" s="14">
        <v>0.05</v>
      </c>
      <c r="W51" s="14"/>
      <c r="X51" s="14"/>
      <c r="Y51" s="14"/>
      <c r="Z51" s="77"/>
      <c r="AA51" s="77"/>
      <c r="AB51" s="77"/>
      <c r="AC51" s="77"/>
      <c r="AD51" s="77"/>
      <c r="AE51" s="77"/>
      <c r="AF51" s="77"/>
      <c r="AG51" s="77"/>
      <c r="AH51" s="77"/>
      <c r="AI51" s="77"/>
    </row>
    <row r="52" spans="1:35">
      <c r="A52" s="4" t="s">
        <v>18</v>
      </c>
      <c r="B52" s="4">
        <f t="shared" ref="B52:I52" si="11">SUM(B35:B51)</f>
        <v>33559</v>
      </c>
      <c r="C52" s="4">
        <f t="shared" si="11"/>
        <v>4534</v>
      </c>
      <c r="D52" s="4">
        <f t="shared" si="11"/>
        <v>22805267</v>
      </c>
      <c r="E52" s="4">
        <f t="shared" si="11"/>
        <v>129123029</v>
      </c>
      <c r="F52" s="4">
        <f t="shared" si="11"/>
        <v>4784710</v>
      </c>
      <c r="G52" s="4">
        <f t="shared" si="11"/>
        <v>-41239871.563700005</v>
      </c>
      <c r="H52" s="4">
        <f t="shared" si="11"/>
        <v>-41244405.563700005</v>
      </c>
      <c r="I52" s="4">
        <f t="shared" si="11"/>
        <v>195150030240086.03</v>
      </c>
      <c r="T52" s="77"/>
      <c r="U52" s="14"/>
      <c r="V52" s="14"/>
      <c r="W52" s="14"/>
      <c r="X52" s="14"/>
      <c r="Y52" s="14"/>
      <c r="Z52" s="77"/>
      <c r="AA52" s="77"/>
      <c r="AB52" s="77"/>
      <c r="AC52" s="77"/>
      <c r="AD52" s="77"/>
      <c r="AE52" s="77"/>
      <c r="AF52" s="77"/>
      <c r="AG52" s="77"/>
      <c r="AH52" s="77"/>
      <c r="AI52" s="77"/>
    </row>
    <row r="53" spans="1:35">
      <c r="T53" s="77"/>
      <c r="U53" s="14"/>
      <c r="V53" s="14"/>
      <c r="W53" s="14"/>
      <c r="X53" s="14"/>
      <c r="Y53" s="14"/>
      <c r="Z53" s="77"/>
      <c r="AA53" s="77"/>
      <c r="AB53" s="77"/>
      <c r="AC53" s="77"/>
      <c r="AD53" s="77"/>
      <c r="AE53" s="77"/>
      <c r="AF53" s="77"/>
      <c r="AG53" s="77"/>
      <c r="AH53" s="77"/>
      <c r="AI53" s="77"/>
    </row>
    <row r="54" spans="1:35">
      <c r="D54" s="69">
        <f>D52-(L42*L43*L44)</f>
        <v>13854883.80858236</v>
      </c>
      <c r="I54" s="69">
        <f>E52-(L42*(L43^2))</f>
        <v>62875590.520423517</v>
      </c>
      <c r="N54" s="69">
        <f>F52-(L42*(L44^2))</f>
        <v>3575465.3693882301</v>
      </c>
      <c r="T54" s="77"/>
      <c r="U54" s="14"/>
      <c r="V54" s="14"/>
      <c r="W54" s="14"/>
      <c r="X54" s="14"/>
      <c r="Y54" s="14"/>
      <c r="Z54" s="77"/>
      <c r="AA54" s="77"/>
      <c r="AB54" s="77"/>
      <c r="AC54" s="77"/>
      <c r="AD54" s="77"/>
      <c r="AE54" s="77"/>
      <c r="AF54" s="77"/>
      <c r="AG54" s="77"/>
      <c r="AH54" s="77"/>
      <c r="AI54" s="77"/>
    </row>
    <row r="55" spans="1:35">
      <c r="T55" s="77"/>
      <c r="U55" s="29" t="s">
        <v>133</v>
      </c>
      <c r="V55" s="14">
        <f>Z44</f>
        <v>87.754646450605875</v>
      </c>
      <c r="W55" s="14"/>
      <c r="X55" s="14"/>
      <c r="Y55" s="14"/>
      <c r="Z55" s="77"/>
      <c r="AA55" s="77"/>
      <c r="AB55" s="77"/>
      <c r="AC55" s="77"/>
      <c r="AD55" s="77"/>
      <c r="AE55" s="77"/>
      <c r="AF55" s="77"/>
      <c r="AG55" s="77"/>
      <c r="AH55" s="77"/>
      <c r="AI55" s="77"/>
    </row>
    <row r="56" spans="1:35">
      <c r="T56" s="77"/>
      <c r="U56" s="14"/>
      <c r="V56" s="14"/>
      <c r="W56" s="14"/>
      <c r="X56" s="14"/>
      <c r="Y56" s="14"/>
      <c r="Z56" s="77"/>
      <c r="AA56" s="77"/>
      <c r="AB56" s="77"/>
      <c r="AC56" s="77"/>
      <c r="AD56" s="77"/>
      <c r="AE56" s="77"/>
      <c r="AF56" s="77"/>
      <c r="AG56" s="77"/>
      <c r="AH56" s="77"/>
      <c r="AI56" s="77"/>
    </row>
    <row r="57" spans="1:35">
      <c r="C57" s="69">
        <f>D54/(SQRT(I54)*SQRT(N54))</f>
        <v>0.92405019187481718</v>
      </c>
      <c r="H57" s="69">
        <f>C57^2</f>
        <v>0.85386875710388643</v>
      </c>
      <c r="L57" s="69">
        <f>ROUND(D54/I54,4)</f>
        <v>0.22040000000000001</v>
      </c>
      <c r="P57" s="69">
        <f>ROUND((L44-(L57*L43)),4)</f>
        <v>-168.3767</v>
      </c>
      <c r="T57" s="77"/>
      <c r="U57" s="14"/>
      <c r="V57" s="14"/>
      <c r="W57" s="14"/>
      <c r="X57" s="14"/>
      <c r="Y57" s="14"/>
      <c r="Z57" s="77"/>
      <c r="AA57" s="77"/>
      <c r="AB57" s="77"/>
      <c r="AC57" s="77"/>
      <c r="AD57" s="77"/>
      <c r="AE57" s="77"/>
      <c r="AF57" s="77"/>
      <c r="AG57" s="77"/>
      <c r="AH57" s="77"/>
      <c r="AI57" s="77"/>
    </row>
    <row r="58" spans="1:35">
      <c r="C58" s="12"/>
      <c r="D58" s="12"/>
      <c r="T58" s="77"/>
      <c r="U58" s="14" t="str">
        <f>"f(0,05);("&amp;W44&amp;","&amp;W45&amp;")="</f>
        <v>f(0,05);(1,15)=</v>
      </c>
      <c r="V58" s="14">
        <f>ROUND(_xlfn.F.INV.RT(V51,W44,W45),4)</f>
        <v>4.5430999999999999</v>
      </c>
      <c r="W58" s="14"/>
      <c r="X58" s="14"/>
      <c r="Y58" s="14"/>
      <c r="Z58" s="77"/>
      <c r="AA58" s="77"/>
      <c r="AB58" s="77"/>
      <c r="AC58" s="77"/>
      <c r="AD58" s="77"/>
      <c r="AE58" s="77"/>
      <c r="AF58" s="77"/>
      <c r="AG58" s="77"/>
      <c r="AH58" s="77"/>
      <c r="AI58" s="77"/>
    </row>
    <row r="59" spans="1:35">
      <c r="T59" s="77"/>
      <c r="U59" s="14"/>
      <c r="V59" s="14"/>
      <c r="W59" s="14"/>
      <c r="X59" s="14"/>
      <c r="Y59" s="14"/>
      <c r="Z59" s="77"/>
      <c r="AA59" s="77"/>
      <c r="AB59" s="77"/>
      <c r="AC59" s="77"/>
      <c r="AD59" s="77"/>
      <c r="AE59" s="77"/>
      <c r="AF59" s="77"/>
      <c r="AG59" s="77"/>
      <c r="AH59" s="77"/>
      <c r="AI59" s="77"/>
    </row>
    <row r="60" spans="1:35">
      <c r="L60" s="69" t="str">
        <f>"𝑦 ̂="&amp;P57&amp;"+"&amp;L57&amp;"x ̂"</f>
        <v>𝑦 ̂=-168,3767+0,2204x ̂</v>
      </c>
      <c r="T60" s="77"/>
      <c r="U60" s="14" t="str">
        <f>IF(V58&lt;=V55, "R: Como  " &amp;ROUND(V58,4) &amp;" &lt; "&amp;ROUND(V55,4)&amp;" o modelo é significativo","R: Como  " &amp;ROUND(V58,4) &amp;" &gt; "&amp;ROUND(V55,4)&amp;" o modelo não é significativo" )</f>
        <v>R: Como  4,5431 &lt; 87,7546 o modelo é significativo</v>
      </c>
      <c r="V60" s="14"/>
      <c r="W60" s="14"/>
      <c r="X60" s="14"/>
      <c r="Y60" s="14"/>
      <c r="Z60" s="77"/>
      <c r="AA60" s="77"/>
      <c r="AB60" s="77"/>
      <c r="AC60" s="77"/>
      <c r="AD60" s="77"/>
      <c r="AE60" s="77"/>
      <c r="AF60" s="77"/>
      <c r="AG60" s="77"/>
      <c r="AH60" s="77"/>
      <c r="AI60" s="77"/>
    </row>
    <row r="61" spans="1:35"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</row>
    <row r="62" spans="1:3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</row>
    <row r="63" spans="1:35">
      <c r="B63" s="3"/>
      <c r="C63" s="3"/>
      <c r="D63" s="3"/>
      <c r="E63" s="3"/>
      <c r="F63" s="3"/>
      <c r="G63" s="3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</row>
    <row r="64" spans="1:35">
      <c r="B64" s="2" t="s">
        <v>9</v>
      </c>
      <c r="C64" s="2" t="s">
        <v>10</v>
      </c>
      <c r="D64" s="2" t="s">
        <v>11</v>
      </c>
      <c r="E64" s="2" t="s">
        <v>12</v>
      </c>
      <c r="F64" s="2" t="s">
        <v>13</v>
      </c>
      <c r="G64" s="2"/>
      <c r="H64" s="4"/>
      <c r="I64" s="4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</row>
    <row r="65" spans="2:35">
      <c r="B65" s="69" t="s">
        <v>5</v>
      </c>
      <c r="C65" s="69" t="s">
        <v>2</v>
      </c>
      <c r="D65" s="4"/>
      <c r="E65" s="4"/>
      <c r="F65" s="4"/>
      <c r="G65" s="4"/>
      <c r="H65" s="4"/>
      <c r="I65" s="4"/>
      <c r="L65" s="80" t="s">
        <v>15</v>
      </c>
      <c r="M65" s="80"/>
      <c r="N65" s="69" t="str">
        <f>C65</f>
        <v>new_deaths</v>
      </c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</row>
    <row r="66" spans="2:35">
      <c r="B66" s="69">
        <v>45642</v>
      </c>
      <c r="C66" s="69">
        <v>1676</v>
      </c>
      <c r="D66" s="4">
        <f>B66*C66</f>
        <v>76495992</v>
      </c>
      <c r="E66" s="4">
        <f>B66^2</f>
        <v>2083192164</v>
      </c>
      <c r="F66" s="4">
        <f>C66^2</f>
        <v>2808976</v>
      </c>
      <c r="G66" s="4">
        <f>ROUND($P$88+$L$88*B66,4)</f>
        <v>1439.1561999999999</v>
      </c>
      <c r="H66" s="4">
        <f>ROUND(G66-C66,4)</f>
        <v>-236.84379999999999</v>
      </c>
      <c r="I66" s="4">
        <f>H66^2</f>
        <v>56094.985598439991</v>
      </c>
      <c r="L66" s="80" t="s">
        <v>14</v>
      </c>
      <c r="M66" s="80"/>
      <c r="N66" s="80" t="str">
        <f>B65</f>
        <v>hosp_patients</v>
      </c>
      <c r="O66" s="80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</row>
    <row r="67" spans="2:35">
      <c r="B67" s="69">
        <v>38719</v>
      </c>
      <c r="C67" s="69">
        <v>1163</v>
      </c>
      <c r="D67" s="4">
        <f t="shared" ref="D67:D82" si="12">B67*C67</f>
        <v>45030197</v>
      </c>
      <c r="E67" s="4">
        <f t="shared" ref="E67:F82" si="13">B67^2</f>
        <v>1499160961</v>
      </c>
      <c r="F67" s="4">
        <f t="shared" si="13"/>
        <v>1352569</v>
      </c>
      <c r="G67" s="4">
        <f t="shared" ref="G67:G82" si="14">ROUND($P$88+$L$88*B67,4)</f>
        <v>1206.5434</v>
      </c>
      <c r="H67" s="4">
        <f t="shared" ref="H67:H82" si="15">ROUND(G67-C67,4)</f>
        <v>43.543399999999998</v>
      </c>
      <c r="I67" s="4">
        <f t="shared" ref="I67:I82" si="16">H67^2</f>
        <v>1896.0276835599998</v>
      </c>
      <c r="T67" s="77"/>
      <c r="U67" s="38" t="s">
        <v>41</v>
      </c>
      <c r="V67" s="33">
        <f>ROUND(N85-X67*D85,4)</f>
        <v>145954.19930000001</v>
      </c>
      <c r="W67" s="38"/>
      <c r="X67" s="33">
        <f>L88</f>
        <v>3.3599999999999998E-2</v>
      </c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</row>
    <row r="68" spans="2:35">
      <c r="B68" s="69">
        <v>27454</v>
      </c>
      <c r="C68" s="69">
        <v>641</v>
      </c>
      <c r="D68" s="4">
        <f t="shared" si="12"/>
        <v>17598014</v>
      </c>
      <c r="E68" s="4">
        <f t="shared" si="13"/>
        <v>753722116</v>
      </c>
      <c r="F68" s="4">
        <f t="shared" si="13"/>
        <v>410881</v>
      </c>
      <c r="G68" s="4">
        <f t="shared" si="14"/>
        <v>828.0394</v>
      </c>
      <c r="H68" s="4">
        <f t="shared" si="15"/>
        <v>187.0394</v>
      </c>
      <c r="I68" s="4">
        <f t="shared" si="16"/>
        <v>34983.737152360001</v>
      </c>
      <c r="T68" s="77"/>
      <c r="U68" s="36" t="s">
        <v>42</v>
      </c>
      <c r="V68" s="26">
        <f>ROUND((D85^2)/I85,4)</f>
        <v>3433280.0935999998</v>
      </c>
      <c r="W68" s="77"/>
      <c r="X68" s="26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</row>
    <row r="69" spans="2:35">
      <c r="B69" s="69">
        <v>18463</v>
      </c>
      <c r="C69" s="69">
        <v>355</v>
      </c>
      <c r="D69" s="4">
        <f t="shared" si="12"/>
        <v>6554365</v>
      </c>
      <c r="E69" s="4">
        <f t="shared" si="13"/>
        <v>340882369</v>
      </c>
      <c r="F69" s="4">
        <f t="shared" si="13"/>
        <v>126025</v>
      </c>
      <c r="G69" s="4">
        <f t="shared" si="14"/>
        <v>525.94179999999994</v>
      </c>
      <c r="H69" s="4">
        <f t="shared" si="15"/>
        <v>170.9418</v>
      </c>
      <c r="I69" s="4">
        <f t="shared" si="16"/>
        <v>29221.098987239999</v>
      </c>
      <c r="T69" s="77"/>
      <c r="U69" s="36" t="s">
        <v>43</v>
      </c>
      <c r="V69" s="26">
        <f>N85</f>
        <v>3575465.3693882301</v>
      </c>
      <c r="W69" s="77"/>
      <c r="X69" s="26">
        <f>P88</f>
        <v>-94.415000000000006</v>
      </c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</row>
    <row r="70" spans="2:35">
      <c r="B70" s="69">
        <v>12112</v>
      </c>
      <c r="C70" s="69">
        <v>223</v>
      </c>
      <c r="D70" s="4">
        <f t="shared" si="12"/>
        <v>2700976</v>
      </c>
      <c r="E70" s="4">
        <f t="shared" si="13"/>
        <v>146700544</v>
      </c>
      <c r="F70" s="4">
        <f t="shared" si="13"/>
        <v>49729</v>
      </c>
      <c r="G70" s="4">
        <f t="shared" si="14"/>
        <v>312.54820000000001</v>
      </c>
      <c r="H70" s="4">
        <f t="shared" si="15"/>
        <v>89.548199999999994</v>
      </c>
      <c r="I70" s="4">
        <f t="shared" si="16"/>
        <v>8018.8801232399992</v>
      </c>
      <c r="T70" s="77"/>
      <c r="U70" s="36" t="s">
        <v>59</v>
      </c>
      <c r="V70" s="26">
        <f>ROUND(SQRT(V67/(L73-2)),4)</f>
        <v>98.642200000000003</v>
      </c>
      <c r="W70" s="77"/>
      <c r="X70" s="26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</row>
    <row r="71" spans="2:35" ht="13.5" thickBot="1">
      <c r="B71" s="69">
        <v>7986</v>
      </c>
      <c r="C71" s="69">
        <v>144</v>
      </c>
      <c r="D71" s="4">
        <f t="shared" si="12"/>
        <v>1149984</v>
      </c>
      <c r="E71" s="4">
        <f t="shared" si="13"/>
        <v>63776196</v>
      </c>
      <c r="F71" s="4">
        <f t="shared" si="13"/>
        <v>20736</v>
      </c>
      <c r="G71" s="4">
        <f t="shared" si="14"/>
        <v>173.91460000000001</v>
      </c>
      <c r="H71" s="4">
        <f t="shared" si="15"/>
        <v>29.9146</v>
      </c>
      <c r="I71" s="4">
        <f t="shared" si="16"/>
        <v>894.88329315999999</v>
      </c>
      <c r="T71" s="77"/>
      <c r="U71" s="37"/>
      <c r="V71" s="27"/>
      <c r="W71" s="37"/>
      <c r="X71" s="27">
        <f>ROUND(X67*SQRT(I85/N85),4)</f>
        <v>0.9788</v>
      </c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</row>
    <row r="72" spans="2:35">
      <c r="B72" s="69">
        <v>5100</v>
      </c>
      <c r="C72" s="69">
        <v>77</v>
      </c>
      <c r="D72" s="4">
        <f t="shared" si="12"/>
        <v>392700</v>
      </c>
      <c r="E72" s="4">
        <f t="shared" si="13"/>
        <v>26010000</v>
      </c>
      <c r="F72" s="4">
        <f t="shared" si="13"/>
        <v>5929</v>
      </c>
      <c r="G72" s="4">
        <f t="shared" si="14"/>
        <v>76.944999999999993</v>
      </c>
      <c r="H72" s="4">
        <f t="shared" si="15"/>
        <v>-5.5E-2</v>
      </c>
      <c r="I72" s="4">
        <f t="shared" si="16"/>
        <v>3.0249999999999999E-3</v>
      </c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</row>
    <row r="73" spans="2:35" ht="13.5" thickBot="1">
      <c r="B73" s="69">
        <v>4841</v>
      </c>
      <c r="C73" s="69">
        <v>69</v>
      </c>
      <c r="D73" s="4">
        <f t="shared" si="12"/>
        <v>334029</v>
      </c>
      <c r="E73" s="4">
        <f t="shared" si="13"/>
        <v>23435281</v>
      </c>
      <c r="F73" s="4">
        <f t="shared" si="13"/>
        <v>4761</v>
      </c>
      <c r="G73" s="4">
        <f t="shared" si="14"/>
        <v>68.242599999999996</v>
      </c>
      <c r="H73" s="4">
        <f t="shared" si="15"/>
        <v>-0.75739999999999996</v>
      </c>
      <c r="I73" s="4">
        <f t="shared" si="16"/>
        <v>0.57365475999999993</v>
      </c>
      <c r="K73" s="69" t="s">
        <v>19</v>
      </c>
      <c r="L73" s="69">
        <f>COUNT(B66,B67:B82)</f>
        <v>17</v>
      </c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</row>
    <row r="74" spans="2:35">
      <c r="B74" s="69">
        <v>3845</v>
      </c>
      <c r="C74" s="69">
        <v>42</v>
      </c>
      <c r="D74" s="4">
        <f t="shared" si="12"/>
        <v>161490</v>
      </c>
      <c r="E74" s="4">
        <f t="shared" si="13"/>
        <v>14784025</v>
      </c>
      <c r="F74" s="4">
        <f t="shared" si="13"/>
        <v>1764</v>
      </c>
      <c r="G74" s="4">
        <f t="shared" si="14"/>
        <v>34.777000000000001</v>
      </c>
      <c r="H74" s="4">
        <f t="shared" si="15"/>
        <v>-7.2229999999999999</v>
      </c>
      <c r="I74" s="4">
        <f t="shared" si="16"/>
        <v>52.171728999999999</v>
      </c>
      <c r="K74" s="69" t="s">
        <v>20</v>
      </c>
      <c r="L74" s="69">
        <f>ROUND(AVERAGE(B66:B82),4)</f>
        <v>10747.6471</v>
      </c>
      <c r="T74" s="77"/>
      <c r="U74" s="20"/>
      <c r="V74" s="20" t="s">
        <v>55</v>
      </c>
      <c r="W74" s="20" t="s">
        <v>48</v>
      </c>
      <c r="X74" s="20" t="s">
        <v>49</v>
      </c>
      <c r="Y74" s="20" t="s">
        <v>50</v>
      </c>
      <c r="Z74" s="20" t="s">
        <v>51</v>
      </c>
      <c r="AA74" s="77"/>
      <c r="AB74" s="77"/>
      <c r="AC74" s="77"/>
      <c r="AD74" s="77"/>
      <c r="AE74" s="77"/>
      <c r="AF74" s="77"/>
      <c r="AG74" s="77"/>
      <c r="AH74" s="77"/>
      <c r="AI74" s="77"/>
    </row>
    <row r="75" spans="2:35">
      <c r="B75" s="69">
        <v>3441</v>
      </c>
      <c r="C75" s="69">
        <v>37</v>
      </c>
      <c r="D75" s="4">
        <f t="shared" si="12"/>
        <v>127317</v>
      </c>
      <c r="E75" s="4">
        <f t="shared" si="13"/>
        <v>11840481</v>
      </c>
      <c r="F75" s="4">
        <f t="shared" si="13"/>
        <v>1369</v>
      </c>
      <c r="G75" s="4">
        <f t="shared" si="14"/>
        <v>21.2026</v>
      </c>
      <c r="H75" s="4">
        <f t="shared" si="15"/>
        <v>-15.7974</v>
      </c>
      <c r="I75" s="4">
        <f t="shared" si="16"/>
        <v>249.55784675999999</v>
      </c>
      <c r="K75" s="69" t="s">
        <v>21</v>
      </c>
      <c r="L75" s="69">
        <f>ROUND(AVERAGE(C66:C82),4)</f>
        <v>266.70589999999999</v>
      </c>
      <c r="T75" s="77"/>
      <c r="U75" s="76" t="s">
        <v>56</v>
      </c>
      <c r="V75" s="18" t="s">
        <v>45</v>
      </c>
      <c r="W75" s="18">
        <v>1</v>
      </c>
      <c r="X75" s="18">
        <f>V68</f>
        <v>3433280.0935999998</v>
      </c>
      <c r="Y75" s="18">
        <f>X75/W75</f>
        <v>3433280.0935999998</v>
      </c>
      <c r="Z75" s="18">
        <f>Y75/Y76</f>
        <v>352.84494485935625</v>
      </c>
      <c r="AA75" s="77"/>
      <c r="AB75" s="77"/>
      <c r="AC75" s="77"/>
      <c r="AD75" s="77"/>
      <c r="AE75" s="77"/>
      <c r="AF75" s="77"/>
      <c r="AG75" s="77"/>
      <c r="AH75" s="77"/>
      <c r="AI75" s="77"/>
    </row>
    <row r="76" spans="2:35">
      <c r="B76" s="69">
        <v>3080</v>
      </c>
      <c r="C76" s="69">
        <v>29</v>
      </c>
      <c r="D76" s="4">
        <f t="shared" si="12"/>
        <v>89320</v>
      </c>
      <c r="E76" s="4">
        <f t="shared" si="13"/>
        <v>9486400</v>
      </c>
      <c r="F76" s="4">
        <f t="shared" si="13"/>
        <v>841</v>
      </c>
      <c r="G76" s="4">
        <f t="shared" si="14"/>
        <v>9.0730000000000004</v>
      </c>
      <c r="H76" s="4">
        <f t="shared" si="15"/>
        <v>-19.927</v>
      </c>
      <c r="I76" s="4">
        <f t="shared" si="16"/>
        <v>397.085329</v>
      </c>
      <c r="T76" s="77"/>
      <c r="U76" s="76" t="s">
        <v>57</v>
      </c>
      <c r="V76" s="18" t="s">
        <v>46</v>
      </c>
      <c r="W76" s="18">
        <f>17-2</f>
        <v>15</v>
      </c>
      <c r="X76" s="18">
        <f>V67</f>
        <v>145954.19930000001</v>
      </c>
      <c r="Y76" s="18">
        <f>X76/W76</f>
        <v>9730.2799533333346</v>
      </c>
      <c r="Z76" s="18"/>
      <c r="AA76" s="77"/>
      <c r="AB76" s="77"/>
      <c r="AC76" s="77"/>
      <c r="AD76" s="77"/>
      <c r="AE76" s="77"/>
      <c r="AF76" s="77"/>
      <c r="AG76" s="77"/>
      <c r="AH76" s="77"/>
      <c r="AI76" s="77"/>
    </row>
    <row r="77" spans="2:35" ht="13.5" thickBot="1">
      <c r="B77" s="69">
        <v>2749</v>
      </c>
      <c r="C77" s="69">
        <v>20</v>
      </c>
      <c r="D77" s="4">
        <f t="shared" si="12"/>
        <v>54980</v>
      </c>
      <c r="E77" s="4">
        <f t="shared" si="13"/>
        <v>7557001</v>
      </c>
      <c r="F77" s="4">
        <f t="shared" si="13"/>
        <v>400</v>
      </c>
      <c r="G77" s="4">
        <f t="shared" si="14"/>
        <v>-2.0486</v>
      </c>
      <c r="H77" s="4">
        <f t="shared" si="15"/>
        <v>-22.0486</v>
      </c>
      <c r="I77" s="4">
        <f t="shared" si="16"/>
        <v>486.14076196000002</v>
      </c>
      <c r="T77" s="77"/>
      <c r="U77" s="24" t="s">
        <v>58</v>
      </c>
      <c r="V77" s="19" t="s">
        <v>47</v>
      </c>
      <c r="W77" s="19">
        <f>17-1</f>
        <v>16</v>
      </c>
      <c r="X77" s="19">
        <f>V69</f>
        <v>3575465.3693882301</v>
      </c>
      <c r="Y77" s="19"/>
      <c r="Z77" s="19"/>
      <c r="AA77" s="77"/>
      <c r="AB77" s="77"/>
      <c r="AC77" s="77"/>
      <c r="AD77" s="77"/>
      <c r="AE77" s="77"/>
      <c r="AF77" s="77"/>
      <c r="AG77" s="77"/>
      <c r="AH77" s="77"/>
      <c r="AI77" s="77"/>
    </row>
    <row r="78" spans="2:35">
      <c r="B78" s="69">
        <v>2304</v>
      </c>
      <c r="C78" s="69">
        <v>12</v>
      </c>
      <c r="D78" s="4">
        <f t="shared" si="12"/>
        <v>27648</v>
      </c>
      <c r="E78" s="4">
        <f t="shared" si="13"/>
        <v>5308416</v>
      </c>
      <c r="F78" s="4">
        <f t="shared" si="13"/>
        <v>144</v>
      </c>
      <c r="G78" s="4">
        <f t="shared" si="14"/>
        <v>-17.000599999999999</v>
      </c>
      <c r="H78" s="4">
        <f t="shared" si="15"/>
        <v>-29.000599999999999</v>
      </c>
      <c r="I78" s="4">
        <f t="shared" si="16"/>
        <v>841.03480035999996</v>
      </c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</row>
    <row r="79" spans="2:35">
      <c r="B79" s="69">
        <v>2006</v>
      </c>
      <c r="C79" s="69">
        <v>15</v>
      </c>
      <c r="D79" s="4">
        <f t="shared" si="12"/>
        <v>30090</v>
      </c>
      <c r="E79" s="4">
        <f t="shared" si="13"/>
        <v>4024036</v>
      </c>
      <c r="F79" s="4">
        <f t="shared" si="13"/>
        <v>225</v>
      </c>
      <c r="G79" s="4">
        <f t="shared" si="14"/>
        <v>-27.013400000000001</v>
      </c>
      <c r="H79" s="4">
        <f t="shared" si="15"/>
        <v>-42.013399999999997</v>
      </c>
      <c r="I79" s="4">
        <f t="shared" si="16"/>
        <v>1765.1257795599997</v>
      </c>
      <c r="T79" s="77"/>
      <c r="U79" s="73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</row>
    <row r="80" spans="2:35">
      <c r="B80" s="69">
        <v>1730</v>
      </c>
      <c r="C80" s="69">
        <v>15</v>
      </c>
      <c r="D80" s="4">
        <f t="shared" si="12"/>
        <v>25950</v>
      </c>
      <c r="E80" s="4">
        <f t="shared" si="13"/>
        <v>2992900</v>
      </c>
      <c r="F80" s="4">
        <f t="shared" si="13"/>
        <v>225</v>
      </c>
      <c r="G80" s="4">
        <f t="shared" si="14"/>
        <v>-36.286999999999999</v>
      </c>
      <c r="H80" s="4">
        <f t="shared" si="15"/>
        <v>-51.286999999999999</v>
      </c>
      <c r="I80" s="4">
        <f t="shared" si="16"/>
        <v>2630.3563690000001</v>
      </c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</row>
    <row r="81" spans="1:35">
      <c r="B81" s="69">
        <v>1535</v>
      </c>
      <c r="C81" s="69">
        <v>10</v>
      </c>
      <c r="D81" s="4">
        <f t="shared" si="12"/>
        <v>15350</v>
      </c>
      <c r="E81" s="4">
        <f t="shared" si="13"/>
        <v>2356225</v>
      </c>
      <c r="F81" s="4">
        <f t="shared" si="13"/>
        <v>100</v>
      </c>
      <c r="G81" s="4">
        <f t="shared" si="14"/>
        <v>-42.838999999999999</v>
      </c>
      <c r="H81" s="4">
        <f t="shared" si="15"/>
        <v>-52.838999999999999</v>
      </c>
      <c r="I81" s="4">
        <f t="shared" si="16"/>
        <v>2791.9599209999997</v>
      </c>
      <c r="T81" s="77"/>
      <c r="U81" s="14"/>
      <c r="V81" s="14"/>
      <c r="W81" s="14"/>
      <c r="X81" s="14"/>
      <c r="Y81" s="14"/>
      <c r="Z81" s="77"/>
      <c r="AA81" s="77"/>
      <c r="AB81" s="77"/>
      <c r="AC81" s="77"/>
      <c r="AD81" s="77"/>
      <c r="AE81" s="77"/>
      <c r="AF81" s="77"/>
      <c r="AG81" s="77"/>
      <c r="AH81" s="77"/>
      <c r="AI81" s="77"/>
    </row>
    <row r="82" spans="1:35">
      <c r="B82" s="69">
        <v>1703</v>
      </c>
      <c r="C82" s="69">
        <v>6</v>
      </c>
      <c r="D82" s="7">
        <f t="shared" si="12"/>
        <v>10218</v>
      </c>
      <c r="E82" s="7">
        <f t="shared" si="13"/>
        <v>2900209</v>
      </c>
      <c r="F82" s="7">
        <f t="shared" si="13"/>
        <v>36</v>
      </c>
      <c r="G82" s="4">
        <f t="shared" si="14"/>
        <v>-37.194200000000002</v>
      </c>
      <c r="H82" s="4">
        <f t="shared" si="15"/>
        <v>-43.194200000000002</v>
      </c>
      <c r="I82" s="4">
        <f t="shared" si="16"/>
        <v>1865.7389136400002</v>
      </c>
      <c r="T82" s="77"/>
      <c r="U82" s="29" t="s">
        <v>80</v>
      </c>
      <c r="V82" s="14">
        <v>0.05</v>
      </c>
      <c r="W82" s="14"/>
      <c r="X82" s="14"/>
      <c r="Y82" s="14"/>
      <c r="Z82" s="77"/>
      <c r="AA82" s="77"/>
      <c r="AB82" s="77"/>
      <c r="AC82" s="77"/>
      <c r="AD82" s="77"/>
      <c r="AE82" s="77"/>
      <c r="AF82" s="77"/>
      <c r="AG82" s="77"/>
      <c r="AH82" s="77"/>
      <c r="AI82" s="77"/>
    </row>
    <row r="83" spans="1:35">
      <c r="A83" s="4" t="s">
        <v>18</v>
      </c>
      <c r="B83" s="4">
        <f t="shared" ref="B83:I83" si="17">SUM(B66:B82)</f>
        <v>182710</v>
      </c>
      <c r="C83" s="4">
        <f t="shared" si="17"/>
        <v>4534</v>
      </c>
      <c r="D83" s="4">
        <f t="shared" si="17"/>
        <v>150798620</v>
      </c>
      <c r="E83" s="4">
        <f t="shared" si="17"/>
        <v>4998129324</v>
      </c>
      <c r="F83" s="4">
        <f t="shared" si="17"/>
        <v>4784710</v>
      </c>
      <c r="G83" s="4">
        <f t="shared" si="17"/>
        <v>4534.0009999999993</v>
      </c>
      <c r="H83" s="4">
        <f t="shared" si="17"/>
        <v>9.9999999999766942E-4</v>
      </c>
      <c r="I83" s="4">
        <f t="shared" si="17"/>
        <v>142189.36096804001</v>
      </c>
      <c r="T83" s="77"/>
      <c r="U83" s="14"/>
      <c r="V83" s="14"/>
      <c r="W83" s="14"/>
      <c r="X83" s="14"/>
      <c r="Y83" s="14"/>
      <c r="Z83" s="77"/>
      <c r="AA83" s="77"/>
      <c r="AB83" s="77"/>
      <c r="AC83" s="77"/>
      <c r="AD83" s="77"/>
      <c r="AE83" s="77"/>
      <c r="AF83" s="77"/>
      <c r="AG83" s="77"/>
      <c r="AH83" s="77"/>
      <c r="AI83" s="77"/>
    </row>
    <row r="84" spans="1:35">
      <c r="T84" s="77"/>
      <c r="U84" s="14"/>
      <c r="V84" s="14"/>
      <c r="W84" s="14"/>
      <c r="X84" s="14"/>
      <c r="Y84" s="14"/>
      <c r="Z84" s="77"/>
      <c r="AA84" s="77"/>
      <c r="AB84" s="77"/>
      <c r="AC84" s="77"/>
      <c r="AD84" s="77"/>
      <c r="AE84" s="77"/>
      <c r="AF84" s="77"/>
      <c r="AG84" s="77"/>
      <c r="AH84" s="77"/>
      <c r="AI84" s="77"/>
    </row>
    <row r="85" spans="1:35">
      <c r="D85" s="69">
        <f>D83-(L73*L74*L75)</f>
        <v>102068784.82430586</v>
      </c>
      <c r="I85" s="69">
        <f>E83-(L73*(L74^2))</f>
        <v>3034426714.8356471</v>
      </c>
      <c r="N85" s="69">
        <f>F83-(L73*(L75^2))</f>
        <v>3575465.3693882301</v>
      </c>
      <c r="T85" s="77"/>
      <c r="U85" s="14"/>
      <c r="V85" s="14"/>
      <c r="W85" s="14"/>
      <c r="X85" s="14"/>
      <c r="Y85" s="14"/>
      <c r="Z85" s="77"/>
      <c r="AA85" s="77"/>
      <c r="AB85" s="77"/>
      <c r="AC85" s="77"/>
      <c r="AD85" s="77"/>
      <c r="AE85" s="77"/>
      <c r="AF85" s="77"/>
      <c r="AG85" s="77"/>
      <c r="AH85" s="77"/>
      <c r="AI85" s="77"/>
    </row>
    <row r="86" spans="1:35">
      <c r="T86" s="77"/>
      <c r="U86" s="29" t="s">
        <v>133</v>
      </c>
      <c r="V86" s="14">
        <f>Z75</f>
        <v>352.84494485935625</v>
      </c>
      <c r="W86" s="14"/>
      <c r="X86" s="14"/>
      <c r="Y86" s="14"/>
      <c r="Z86" s="77"/>
      <c r="AA86" s="77"/>
      <c r="AB86" s="77"/>
      <c r="AC86" s="77"/>
      <c r="AD86" s="77"/>
      <c r="AE86" s="77"/>
      <c r="AF86" s="77"/>
      <c r="AG86" s="77"/>
      <c r="AH86" s="77"/>
      <c r="AI86" s="77"/>
    </row>
    <row r="87" spans="1:35">
      <c r="T87" s="77"/>
      <c r="U87" s="14"/>
      <c r="V87" s="14"/>
      <c r="W87" s="14"/>
      <c r="X87" s="14"/>
      <c r="Y87" s="14"/>
      <c r="Z87" s="77"/>
      <c r="AA87" s="77"/>
      <c r="AB87" s="77"/>
      <c r="AC87" s="77"/>
      <c r="AD87" s="77"/>
      <c r="AE87" s="77"/>
      <c r="AF87" s="77"/>
      <c r="AG87" s="77"/>
      <c r="AH87" s="77"/>
      <c r="AI87" s="77"/>
    </row>
    <row r="88" spans="1:35">
      <c r="C88" s="69">
        <f>D85/(SQRT(I85)*SQRT(N85))</f>
        <v>0.97991482868301016</v>
      </c>
      <c r="H88" s="69">
        <f>C88^2</f>
        <v>0.96023307147285319</v>
      </c>
      <c r="L88" s="69">
        <f>ROUND(D85/I85,4)</f>
        <v>3.3599999999999998E-2</v>
      </c>
      <c r="P88" s="69">
        <f>ROUND((L75-(L88*L74)),4)</f>
        <v>-94.415000000000006</v>
      </c>
      <c r="T88" s="77"/>
      <c r="U88" s="14"/>
      <c r="V88" s="14"/>
      <c r="W88" s="14"/>
      <c r="X88" s="14"/>
      <c r="Y88" s="14"/>
      <c r="Z88" s="77"/>
      <c r="AA88" s="77"/>
      <c r="AB88" s="77"/>
      <c r="AC88" s="77"/>
      <c r="AD88" s="77"/>
      <c r="AE88" s="77"/>
      <c r="AF88" s="77"/>
      <c r="AG88" s="77"/>
      <c r="AH88" s="77"/>
      <c r="AI88" s="77"/>
    </row>
    <row r="89" spans="1:35">
      <c r="C89" s="12"/>
      <c r="D89" s="12"/>
      <c r="T89" s="77"/>
      <c r="U89" s="14" t="str">
        <f>"f(0,05);("&amp;W75&amp;","&amp;W76&amp;")="</f>
        <v>f(0,05);(1,15)=</v>
      </c>
      <c r="V89" s="14">
        <f>ROUND(_xlfn.F.INV.RT(V82,W75,W76),4)</f>
        <v>4.5430999999999999</v>
      </c>
      <c r="W89" s="14"/>
      <c r="X89" s="14"/>
      <c r="Y89" s="14"/>
      <c r="Z89" s="77"/>
      <c r="AA89" s="77"/>
      <c r="AB89" s="77"/>
      <c r="AC89" s="77"/>
      <c r="AD89" s="77"/>
      <c r="AE89" s="77"/>
      <c r="AF89" s="77"/>
      <c r="AG89" s="77"/>
      <c r="AH89" s="77"/>
      <c r="AI89" s="77"/>
    </row>
    <row r="90" spans="1:35">
      <c r="T90" s="77"/>
      <c r="U90" s="14"/>
      <c r="V90" s="14"/>
      <c r="W90" s="14"/>
      <c r="X90" s="14"/>
      <c r="Y90" s="14"/>
      <c r="Z90" s="77"/>
      <c r="AA90" s="77"/>
      <c r="AB90" s="77"/>
      <c r="AC90" s="77"/>
      <c r="AD90" s="77"/>
      <c r="AE90" s="77"/>
      <c r="AF90" s="77"/>
      <c r="AG90" s="77"/>
      <c r="AH90" s="77"/>
      <c r="AI90" s="77"/>
    </row>
    <row r="91" spans="1:35">
      <c r="L91" s="69" t="str">
        <f>"𝑦 ̂="&amp;P88&amp;"+"&amp;L88&amp;"x ̂"</f>
        <v>𝑦 ̂=-94,415+0,0336x ̂</v>
      </c>
      <c r="T91" s="77"/>
      <c r="U91" s="14" t="str">
        <f>IF(V89&lt;=V86, "R: Como  " &amp;ROUND(V89,4) &amp;" &lt; "&amp;ROUND(V86,4)&amp;" o modelo é significativo","R: Como  " &amp;ROUND(V89,4) &amp;" &gt; "&amp;ROUND(V86,4)&amp;" o modelo não é significativo" )</f>
        <v>R: Como  4,5431 &lt; 352,8449 o modelo é significativo</v>
      </c>
      <c r="V91" s="14"/>
      <c r="W91" s="14"/>
      <c r="X91" s="14"/>
      <c r="Y91" s="14"/>
      <c r="Z91" s="77"/>
      <c r="AA91" s="77"/>
      <c r="AB91" s="77"/>
      <c r="AC91" s="77"/>
      <c r="AD91" s="77"/>
      <c r="AE91" s="77"/>
      <c r="AF91" s="77"/>
      <c r="AG91" s="77"/>
      <c r="AH91" s="77"/>
      <c r="AI91" s="77"/>
    </row>
    <row r="92" spans="1:35"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</row>
    <row r="93" spans="1:3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spans="1:35">
      <c r="B94" s="3"/>
      <c r="C94" s="3"/>
      <c r="D94" s="3"/>
      <c r="E94" s="3"/>
      <c r="F94" s="3"/>
      <c r="G94" s="3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</row>
    <row r="95" spans="1:35">
      <c r="B95" s="2" t="s">
        <v>9</v>
      </c>
      <c r="C95" s="2" t="s">
        <v>10</v>
      </c>
      <c r="D95" s="2" t="s">
        <v>11</v>
      </c>
      <c r="E95" s="2" t="s">
        <v>12</v>
      </c>
      <c r="F95" s="2" t="s">
        <v>13</v>
      </c>
      <c r="G95" s="2"/>
      <c r="H95" s="4"/>
      <c r="I95" s="4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</row>
    <row r="96" spans="1:35">
      <c r="B96" s="69" t="s">
        <v>6</v>
      </c>
      <c r="C96" s="69" t="s">
        <v>2</v>
      </c>
      <c r="D96" s="4"/>
      <c r="E96" s="4"/>
      <c r="F96" s="4"/>
      <c r="G96" s="4"/>
      <c r="H96" s="4"/>
      <c r="I96" s="4"/>
      <c r="L96" s="80" t="s">
        <v>15</v>
      </c>
      <c r="M96" s="80"/>
      <c r="N96" s="69" t="str">
        <f>C96</f>
        <v>new_deaths</v>
      </c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</row>
    <row r="97" spans="2:35">
      <c r="B97" s="69">
        <v>304215</v>
      </c>
      <c r="C97" s="69">
        <v>1676</v>
      </c>
      <c r="D97" s="4">
        <f>B97*C97</f>
        <v>509864340</v>
      </c>
      <c r="E97" s="4">
        <f>B97^2</f>
        <v>92546766225</v>
      </c>
      <c r="F97" s="4">
        <f>C97^2</f>
        <v>2808976</v>
      </c>
      <c r="G97" s="4">
        <f>ROUND($P$119+$L$119*B97,4)</f>
        <v>251.2543</v>
      </c>
      <c r="H97" s="4">
        <f>ROUND(G97-C97,4)</f>
        <v>-1424.7456999999999</v>
      </c>
      <c r="I97" s="4">
        <f>H97^2</f>
        <v>2029900.3096684897</v>
      </c>
      <c r="L97" s="80" t="s">
        <v>14</v>
      </c>
      <c r="M97" s="80"/>
      <c r="N97" s="80" t="str">
        <f>B96</f>
        <v>new_tests</v>
      </c>
      <c r="O97" s="80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</row>
    <row r="98" spans="2:35">
      <c r="B98" s="69">
        <v>220920</v>
      </c>
      <c r="C98" s="69">
        <v>1163</v>
      </c>
      <c r="D98" s="4">
        <f t="shared" ref="D98:D113" si="18">B98*C98</f>
        <v>256929960</v>
      </c>
      <c r="E98" s="4">
        <f t="shared" ref="E98:F113" si="19">B98^2</f>
        <v>48805646400</v>
      </c>
      <c r="F98" s="4">
        <f t="shared" si="19"/>
        <v>1352569</v>
      </c>
      <c r="G98" s="4">
        <f t="shared" ref="G98:G113" si="20">ROUND($P$119+$L$119*B98,4)</f>
        <v>276.24279999999999</v>
      </c>
      <c r="H98" s="4">
        <f t="shared" ref="H98:H113" si="21">ROUND(G98-C98,4)</f>
        <v>-886.75720000000001</v>
      </c>
      <c r="I98" s="4">
        <f t="shared" ref="I98:I113" si="22">H98^2</f>
        <v>786338.33175184007</v>
      </c>
      <c r="T98" s="77"/>
      <c r="U98" s="38" t="s">
        <v>41</v>
      </c>
      <c r="V98" s="33">
        <f>ROUND(N116-X98*D116,4)</f>
        <v>3561477.6061</v>
      </c>
      <c r="W98" s="38"/>
      <c r="X98" s="33">
        <f>L119</f>
        <v>-2.9999999999999997E-4</v>
      </c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</row>
    <row r="99" spans="2:35">
      <c r="B99" s="69">
        <v>200146</v>
      </c>
      <c r="C99" s="69">
        <v>641</v>
      </c>
      <c r="D99" s="4">
        <f t="shared" si="18"/>
        <v>128293586</v>
      </c>
      <c r="E99" s="4">
        <f t="shared" si="19"/>
        <v>40058421316</v>
      </c>
      <c r="F99" s="4">
        <f t="shared" si="19"/>
        <v>410881</v>
      </c>
      <c r="G99" s="4">
        <f t="shared" si="20"/>
        <v>282.47500000000002</v>
      </c>
      <c r="H99" s="4">
        <f t="shared" si="21"/>
        <v>-358.52499999999998</v>
      </c>
      <c r="I99" s="4">
        <f t="shared" si="22"/>
        <v>128540.17562499999</v>
      </c>
      <c r="T99" s="77"/>
      <c r="U99" s="36" t="s">
        <v>42</v>
      </c>
      <c r="V99" s="26">
        <f>ROUND((D116^2)/I116,4)</f>
        <v>14479.106900000001</v>
      </c>
      <c r="W99" s="77"/>
      <c r="X99" s="26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</row>
    <row r="100" spans="2:35">
      <c r="B100" s="69">
        <v>189811</v>
      </c>
      <c r="C100" s="69">
        <v>355</v>
      </c>
      <c r="D100" s="4">
        <f t="shared" si="18"/>
        <v>67382905</v>
      </c>
      <c r="E100" s="4">
        <f t="shared" si="19"/>
        <v>36028215721</v>
      </c>
      <c r="F100" s="4">
        <f t="shared" si="19"/>
        <v>126025</v>
      </c>
      <c r="G100" s="4">
        <f t="shared" si="20"/>
        <v>285.57549999999998</v>
      </c>
      <c r="H100" s="4">
        <f t="shared" si="21"/>
        <v>-69.424499999999995</v>
      </c>
      <c r="I100" s="4">
        <f t="shared" si="22"/>
        <v>4819.7612002499991</v>
      </c>
      <c r="T100" s="77"/>
      <c r="U100" s="36" t="s">
        <v>43</v>
      </c>
      <c r="V100" s="26">
        <f>N116</f>
        <v>3575465.3693882301</v>
      </c>
      <c r="W100" s="77"/>
      <c r="X100" s="26">
        <f>P119</f>
        <v>342.5188</v>
      </c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</row>
    <row r="101" spans="2:35">
      <c r="B101" s="69">
        <v>171766</v>
      </c>
      <c r="C101" s="69">
        <v>223</v>
      </c>
      <c r="D101" s="4">
        <f t="shared" si="18"/>
        <v>38303818</v>
      </c>
      <c r="E101" s="4">
        <f t="shared" si="19"/>
        <v>29503558756</v>
      </c>
      <c r="F101" s="4">
        <f t="shared" si="19"/>
        <v>49729</v>
      </c>
      <c r="G101" s="4">
        <f t="shared" si="20"/>
        <v>290.98899999999998</v>
      </c>
      <c r="H101" s="4">
        <f t="shared" si="21"/>
        <v>67.989000000000004</v>
      </c>
      <c r="I101" s="4">
        <f t="shared" si="22"/>
        <v>4622.5041210000009</v>
      </c>
      <c r="T101" s="77"/>
      <c r="U101" s="36" t="s">
        <v>59</v>
      </c>
      <c r="V101" s="26">
        <f>ROUND(SQRT(V98/(L104-2)),4)</f>
        <v>487.26979999999998</v>
      </c>
      <c r="W101" s="77"/>
      <c r="X101" s="26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</row>
    <row r="102" spans="2:35" ht="13.5" thickBot="1">
      <c r="B102" s="69">
        <v>158762</v>
      </c>
      <c r="C102" s="69">
        <v>144</v>
      </c>
      <c r="D102" s="4">
        <f t="shared" si="18"/>
        <v>22861728</v>
      </c>
      <c r="E102" s="4">
        <f t="shared" si="19"/>
        <v>25205372644</v>
      </c>
      <c r="F102" s="4">
        <f t="shared" si="19"/>
        <v>20736</v>
      </c>
      <c r="G102" s="4">
        <f t="shared" si="20"/>
        <v>294.89019999999999</v>
      </c>
      <c r="H102" s="4">
        <f t="shared" si="21"/>
        <v>150.89019999999999</v>
      </c>
      <c r="I102" s="4">
        <f t="shared" si="22"/>
        <v>22767.852456039996</v>
      </c>
      <c r="T102" s="77"/>
      <c r="U102" s="37"/>
      <c r="V102" s="27"/>
      <c r="W102" s="37"/>
      <c r="X102" s="27">
        <f>ROUND(X98*SQRT(I116/N116),4)</f>
        <v>-6.1499999999999999E-2</v>
      </c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</row>
    <row r="103" spans="2:35">
      <c r="B103" s="69">
        <v>108746</v>
      </c>
      <c r="C103" s="69">
        <v>77</v>
      </c>
      <c r="D103" s="4">
        <f t="shared" si="18"/>
        <v>8373442</v>
      </c>
      <c r="E103" s="4">
        <f t="shared" si="19"/>
        <v>11825692516</v>
      </c>
      <c r="F103" s="4">
        <f t="shared" si="19"/>
        <v>5929</v>
      </c>
      <c r="G103" s="4">
        <f t="shared" si="20"/>
        <v>309.89499999999998</v>
      </c>
      <c r="H103" s="4">
        <f t="shared" si="21"/>
        <v>232.89500000000001</v>
      </c>
      <c r="I103" s="4">
        <f t="shared" si="22"/>
        <v>54240.081025000007</v>
      </c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</row>
    <row r="104" spans="2:35" ht="13.5" thickBot="1">
      <c r="B104" s="69">
        <v>181367</v>
      </c>
      <c r="C104" s="69">
        <v>69</v>
      </c>
      <c r="D104" s="4">
        <f t="shared" si="18"/>
        <v>12514323</v>
      </c>
      <c r="E104" s="4">
        <f t="shared" si="19"/>
        <v>32893988689</v>
      </c>
      <c r="F104" s="4">
        <f t="shared" si="19"/>
        <v>4761</v>
      </c>
      <c r="G104" s="4">
        <f t="shared" si="20"/>
        <v>288.1087</v>
      </c>
      <c r="H104" s="4">
        <f t="shared" si="21"/>
        <v>219.1087</v>
      </c>
      <c r="I104" s="4">
        <f t="shared" si="22"/>
        <v>48008.622415689999</v>
      </c>
      <c r="K104" s="69" t="s">
        <v>19</v>
      </c>
      <c r="L104" s="69">
        <f>COUNT(B97,B98:B113)</f>
        <v>17</v>
      </c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</row>
    <row r="105" spans="2:35">
      <c r="B105" s="69">
        <v>167518</v>
      </c>
      <c r="C105" s="69">
        <v>42</v>
      </c>
      <c r="D105" s="4">
        <f t="shared" si="18"/>
        <v>7035756</v>
      </c>
      <c r="E105" s="4">
        <f t="shared" si="19"/>
        <v>28062280324</v>
      </c>
      <c r="F105" s="4">
        <f t="shared" si="19"/>
        <v>1764</v>
      </c>
      <c r="G105" s="4">
        <f t="shared" si="20"/>
        <v>292.26339999999999</v>
      </c>
      <c r="H105" s="4">
        <f t="shared" si="21"/>
        <v>250.26339999999999</v>
      </c>
      <c r="I105" s="4">
        <f t="shared" si="22"/>
        <v>62631.769379559992</v>
      </c>
      <c r="K105" s="69" t="s">
        <v>20</v>
      </c>
      <c r="L105" s="69">
        <f>ROUND(AVERAGE(B97:B113),4)</f>
        <v>252709.5882</v>
      </c>
      <c r="T105" s="77"/>
      <c r="U105" s="20"/>
      <c r="V105" s="20" t="s">
        <v>55</v>
      </c>
      <c r="W105" s="20" t="s">
        <v>48</v>
      </c>
      <c r="X105" s="20" t="s">
        <v>49</v>
      </c>
      <c r="Y105" s="20" t="s">
        <v>50</v>
      </c>
      <c r="Z105" s="20" t="s">
        <v>51</v>
      </c>
      <c r="AA105" s="77"/>
      <c r="AB105" s="77"/>
      <c r="AC105" s="77"/>
      <c r="AD105" s="77"/>
      <c r="AE105" s="77"/>
      <c r="AF105" s="77"/>
      <c r="AG105" s="77"/>
      <c r="AH105" s="77"/>
      <c r="AI105" s="77"/>
    </row>
    <row r="106" spans="2:35">
      <c r="B106" s="69">
        <v>349353</v>
      </c>
      <c r="C106" s="69">
        <v>37</v>
      </c>
      <c r="D106" s="4">
        <f t="shared" si="18"/>
        <v>12926061</v>
      </c>
      <c r="E106" s="4">
        <f t="shared" si="19"/>
        <v>122047518609</v>
      </c>
      <c r="F106" s="4">
        <f t="shared" si="19"/>
        <v>1369</v>
      </c>
      <c r="G106" s="4">
        <f t="shared" si="20"/>
        <v>237.71289999999999</v>
      </c>
      <c r="H106" s="4">
        <f t="shared" si="21"/>
        <v>200.71289999999999</v>
      </c>
      <c r="I106" s="4">
        <f t="shared" si="22"/>
        <v>40285.668226409995</v>
      </c>
      <c r="K106" s="69" t="s">
        <v>21</v>
      </c>
      <c r="L106" s="69">
        <f>ROUND(AVERAGE(C97:C113),4)</f>
        <v>266.70589999999999</v>
      </c>
      <c r="T106" s="77"/>
      <c r="U106" s="76" t="s">
        <v>56</v>
      </c>
      <c r="V106" s="18" t="s">
        <v>45</v>
      </c>
      <c r="W106" s="18">
        <v>1</v>
      </c>
      <c r="X106" s="18">
        <f>V99</f>
        <v>14479.106900000001</v>
      </c>
      <c r="Y106" s="18">
        <f>X106/W106</f>
        <v>14479.106900000001</v>
      </c>
      <c r="Z106" s="18">
        <f>Y106/Y107</f>
        <v>6.0982161765669632E-2</v>
      </c>
      <c r="AA106" s="77"/>
      <c r="AB106" s="77"/>
      <c r="AC106" s="77"/>
      <c r="AD106" s="77"/>
      <c r="AE106" s="77"/>
      <c r="AF106" s="77"/>
      <c r="AG106" s="77"/>
      <c r="AH106" s="77"/>
      <c r="AI106" s="77"/>
    </row>
    <row r="107" spans="2:35">
      <c r="B107" s="69">
        <v>256937</v>
      </c>
      <c r="C107" s="69">
        <v>29</v>
      </c>
      <c r="D107" s="4">
        <f t="shared" si="18"/>
        <v>7451173</v>
      </c>
      <c r="E107" s="4">
        <f t="shared" si="19"/>
        <v>66016621969</v>
      </c>
      <c r="F107" s="4">
        <f t="shared" si="19"/>
        <v>841</v>
      </c>
      <c r="G107" s="4">
        <f t="shared" si="20"/>
        <v>265.43770000000001</v>
      </c>
      <c r="H107" s="4">
        <f t="shared" si="21"/>
        <v>236.43770000000001</v>
      </c>
      <c r="I107" s="4">
        <f t="shared" si="22"/>
        <v>55902.785981290006</v>
      </c>
      <c r="T107" s="77"/>
      <c r="U107" s="76" t="s">
        <v>57</v>
      </c>
      <c r="V107" s="18" t="s">
        <v>46</v>
      </c>
      <c r="W107" s="18">
        <f>17-2</f>
        <v>15</v>
      </c>
      <c r="X107" s="18">
        <f>V98</f>
        <v>3561477.6061</v>
      </c>
      <c r="Y107" s="18">
        <f>X107/W107</f>
        <v>237431.84040666666</v>
      </c>
      <c r="Z107" s="18"/>
      <c r="AA107" s="77"/>
      <c r="AB107" s="77"/>
      <c r="AC107" s="77"/>
      <c r="AD107" s="77"/>
      <c r="AE107" s="77"/>
      <c r="AF107" s="77"/>
      <c r="AG107" s="77"/>
      <c r="AH107" s="77"/>
      <c r="AI107" s="77"/>
    </row>
    <row r="108" spans="2:35" ht="13.5" thickBot="1">
      <c r="B108" s="69">
        <v>516874</v>
      </c>
      <c r="C108" s="69">
        <v>20</v>
      </c>
      <c r="D108" s="4">
        <f t="shared" si="18"/>
        <v>10337480</v>
      </c>
      <c r="E108" s="4">
        <f t="shared" si="19"/>
        <v>267158731876</v>
      </c>
      <c r="F108" s="4">
        <f t="shared" si="19"/>
        <v>400</v>
      </c>
      <c r="G108" s="4">
        <f t="shared" si="20"/>
        <v>187.45660000000001</v>
      </c>
      <c r="H108" s="4">
        <f t="shared" si="21"/>
        <v>167.45660000000001</v>
      </c>
      <c r="I108" s="4">
        <f t="shared" si="22"/>
        <v>28041.712883560002</v>
      </c>
      <c r="T108" s="77"/>
      <c r="U108" s="24" t="s">
        <v>58</v>
      </c>
      <c r="V108" s="19" t="s">
        <v>47</v>
      </c>
      <c r="W108" s="19">
        <f>17-1</f>
        <v>16</v>
      </c>
      <c r="X108" s="19">
        <f>V100</f>
        <v>3575465.3693882301</v>
      </c>
      <c r="Y108" s="19"/>
      <c r="Z108" s="19"/>
      <c r="AA108" s="77"/>
      <c r="AB108" s="77"/>
      <c r="AC108" s="77"/>
      <c r="AD108" s="77"/>
      <c r="AE108" s="77"/>
      <c r="AF108" s="77"/>
      <c r="AG108" s="77"/>
      <c r="AH108" s="77"/>
      <c r="AI108" s="77"/>
    </row>
    <row r="109" spans="2:35">
      <c r="B109" s="69">
        <v>331125</v>
      </c>
      <c r="C109" s="69">
        <v>12</v>
      </c>
      <c r="D109" s="4">
        <f t="shared" si="18"/>
        <v>3973500</v>
      </c>
      <c r="E109" s="4">
        <f t="shared" si="19"/>
        <v>109643765625</v>
      </c>
      <c r="F109" s="4">
        <f t="shared" si="19"/>
        <v>144</v>
      </c>
      <c r="G109" s="4">
        <f t="shared" si="20"/>
        <v>243.18129999999999</v>
      </c>
      <c r="H109" s="4">
        <f t="shared" si="21"/>
        <v>231.18129999999999</v>
      </c>
      <c r="I109" s="4">
        <f t="shared" si="22"/>
        <v>53444.793469689997</v>
      </c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</row>
    <row r="110" spans="2:35">
      <c r="B110" s="69">
        <v>297696</v>
      </c>
      <c r="C110" s="69">
        <v>15</v>
      </c>
      <c r="D110" s="4">
        <f t="shared" si="18"/>
        <v>4465440</v>
      </c>
      <c r="E110" s="4">
        <f t="shared" si="19"/>
        <v>88622908416</v>
      </c>
      <c r="F110" s="4">
        <f t="shared" si="19"/>
        <v>225</v>
      </c>
      <c r="G110" s="4">
        <f t="shared" si="20"/>
        <v>253.21</v>
      </c>
      <c r="H110" s="4">
        <f t="shared" si="21"/>
        <v>238.21</v>
      </c>
      <c r="I110" s="4">
        <f t="shared" si="22"/>
        <v>56744.004100000006</v>
      </c>
      <c r="T110" s="77"/>
      <c r="U110" s="73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</row>
    <row r="111" spans="2:35">
      <c r="B111" s="69">
        <v>258409</v>
      </c>
      <c r="C111" s="69">
        <v>15</v>
      </c>
      <c r="D111" s="4">
        <f t="shared" si="18"/>
        <v>3876135</v>
      </c>
      <c r="E111" s="4">
        <f t="shared" si="19"/>
        <v>66775211281</v>
      </c>
      <c r="F111" s="4">
        <f t="shared" si="19"/>
        <v>225</v>
      </c>
      <c r="G111" s="4">
        <f t="shared" si="20"/>
        <v>264.99610000000001</v>
      </c>
      <c r="H111" s="4">
        <f t="shared" si="21"/>
        <v>249.99610000000001</v>
      </c>
      <c r="I111" s="4">
        <f t="shared" si="22"/>
        <v>62498.050015210007</v>
      </c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</row>
    <row r="112" spans="2:35">
      <c r="B112" s="69">
        <v>268829</v>
      </c>
      <c r="C112" s="69">
        <v>10</v>
      </c>
      <c r="D112" s="4">
        <f t="shared" si="18"/>
        <v>2688290</v>
      </c>
      <c r="E112" s="4">
        <f t="shared" si="19"/>
        <v>72269031241</v>
      </c>
      <c r="F112" s="4">
        <f t="shared" si="19"/>
        <v>100</v>
      </c>
      <c r="G112" s="4">
        <f t="shared" si="20"/>
        <v>261.87009999999998</v>
      </c>
      <c r="H112" s="4">
        <f t="shared" si="21"/>
        <v>251.87010000000001</v>
      </c>
      <c r="I112" s="4">
        <f t="shared" si="22"/>
        <v>63438.547274010001</v>
      </c>
      <c r="T112" s="77"/>
      <c r="U112" s="14"/>
      <c r="V112" s="14"/>
      <c r="W112" s="14"/>
      <c r="X112" s="14"/>
      <c r="Y112" s="14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</row>
    <row r="113" spans="1:35">
      <c r="B113" s="69">
        <v>313589</v>
      </c>
      <c r="C113" s="69">
        <v>6</v>
      </c>
      <c r="D113" s="7">
        <f t="shared" si="18"/>
        <v>1881534</v>
      </c>
      <c r="E113" s="7">
        <f t="shared" si="19"/>
        <v>98338060921</v>
      </c>
      <c r="F113" s="7">
        <f t="shared" si="19"/>
        <v>36</v>
      </c>
      <c r="G113" s="4">
        <f t="shared" si="20"/>
        <v>248.44210000000001</v>
      </c>
      <c r="H113" s="4">
        <f t="shared" si="21"/>
        <v>242.44210000000001</v>
      </c>
      <c r="I113" s="4">
        <f t="shared" si="22"/>
        <v>58778.171852410007</v>
      </c>
      <c r="T113" s="77"/>
      <c r="U113" s="29" t="s">
        <v>80</v>
      </c>
      <c r="V113" s="14">
        <v>0.05</v>
      </c>
      <c r="W113" s="14"/>
      <c r="X113" s="14"/>
      <c r="Y113" s="14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</row>
    <row r="114" spans="1:35">
      <c r="A114" s="4" t="s">
        <v>18</v>
      </c>
      <c r="B114" s="4">
        <f t="shared" ref="B114:I114" si="23">SUM(B97:B113)</f>
        <v>4296063</v>
      </c>
      <c r="C114" s="4">
        <f t="shared" si="23"/>
        <v>4534</v>
      </c>
      <c r="D114" s="4">
        <f t="shared" si="23"/>
        <v>1099159471</v>
      </c>
      <c r="E114" s="4">
        <f t="shared" si="23"/>
        <v>1235801792529</v>
      </c>
      <c r="F114" s="4">
        <f t="shared" si="23"/>
        <v>4784710</v>
      </c>
      <c r="G114" s="4">
        <f t="shared" si="23"/>
        <v>4534.0007000000005</v>
      </c>
      <c r="H114" s="4">
        <f t="shared" si="23"/>
        <v>6.9999999948322511E-4</v>
      </c>
      <c r="I114" s="4">
        <f t="shared" si="23"/>
        <v>3561003.1414454505</v>
      </c>
      <c r="T114" s="77"/>
      <c r="U114" s="14"/>
      <c r="V114" s="14"/>
      <c r="W114" s="14"/>
      <c r="X114" s="14"/>
      <c r="Y114" s="14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</row>
    <row r="115" spans="1:35">
      <c r="T115" s="77"/>
      <c r="U115" s="14"/>
      <c r="V115" s="14"/>
      <c r="W115" s="14"/>
      <c r="X115" s="14"/>
      <c r="Y115" s="14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</row>
    <row r="116" spans="1:35">
      <c r="D116" s="69">
        <f>D114-(L104*L105*L106)</f>
        <v>-46625877.711676359</v>
      </c>
      <c r="I116" s="69">
        <f>E114-(L104*(L105^2))</f>
        <v>150145481069.36914</v>
      </c>
      <c r="N116" s="69">
        <f>F114-(L104*(L106^2))</f>
        <v>3575465.3693882301</v>
      </c>
      <c r="T116" s="77"/>
      <c r="U116" s="14"/>
      <c r="V116" s="14"/>
      <c r="W116" s="14"/>
      <c r="X116" s="14"/>
      <c r="Y116" s="14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</row>
    <row r="117" spans="1:35">
      <c r="T117" s="77"/>
      <c r="U117" s="29" t="s">
        <v>133</v>
      </c>
      <c r="V117" s="14">
        <f>Z106</f>
        <v>6.0982161765669632E-2</v>
      </c>
      <c r="W117" s="14"/>
      <c r="X117" s="14"/>
      <c r="Y117" s="14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</row>
    <row r="118" spans="1:35">
      <c r="T118" s="77"/>
      <c r="U118" s="14"/>
      <c r="V118" s="14"/>
      <c r="W118" s="14"/>
      <c r="X118" s="14"/>
      <c r="Y118" s="14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</row>
    <row r="119" spans="1:35">
      <c r="C119" s="69">
        <f>D116/(SQRT(I116)*SQRT(N116))</f>
        <v>-6.3636252944133567E-2</v>
      </c>
      <c r="H119" s="69">
        <f>C119^2</f>
        <v>4.0495726887697482E-3</v>
      </c>
      <c r="L119" s="69">
        <f>ROUND(D116/I116,4)</f>
        <v>-2.9999999999999997E-4</v>
      </c>
      <c r="P119" s="69">
        <f>ROUND((L106-(L119*L105)),4)</f>
        <v>342.5188</v>
      </c>
      <c r="T119" s="77"/>
      <c r="U119" s="14"/>
      <c r="V119" s="14"/>
      <c r="W119" s="14"/>
      <c r="X119" s="14"/>
      <c r="Y119" s="14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</row>
    <row r="120" spans="1:35">
      <c r="C120" s="12"/>
      <c r="D120" s="12"/>
      <c r="T120" s="77"/>
      <c r="U120" s="14" t="str">
        <f>"f(0,05);("&amp;W106&amp;","&amp;W107&amp;")="</f>
        <v>f(0,05);(1,15)=</v>
      </c>
      <c r="V120" s="14">
        <f>ROUND(_xlfn.F.INV.RT(V113,W106,W107),4)</f>
        <v>4.5430999999999999</v>
      </c>
      <c r="W120" s="14"/>
      <c r="X120" s="14"/>
      <c r="Y120" s="14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</row>
    <row r="121" spans="1:35">
      <c r="T121" s="77"/>
      <c r="U121" s="14"/>
      <c r="V121" s="14"/>
      <c r="W121" s="14"/>
      <c r="X121" s="14"/>
      <c r="Y121" s="14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</row>
    <row r="122" spans="1:35">
      <c r="L122" s="69" t="str">
        <f>"𝑦 ̂="&amp;P119&amp;"+"&amp;L119&amp;"x ̂"</f>
        <v>𝑦 ̂=342,5188+-0,0003x ̂</v>
      </c>
      <c r="T122" s="77"/>
      <c r="U122" s="14" t="str">
        <f>IF(V120&lt;=V117, "R: Como  " &amp;ROUND(V120,4) &amp;" &lt; "&amp;ROUND(V117,4)&amp;" o modelo é significativo","R: Como  " &amp;ROUND(V120,4) &amp;" &gt; "&amp;ROUND(V117,4)&amp;" o modelo não é significativo" )</f>
        <v>R: Como  4,5431 &gt; 0,061 o modelo não é significativo</v>
      </c>
      <c r="V122" s="14"/>
      <c r="W122" s="14"/>
      <c r="X122" s="14"/>
      <c r="Y122" s="14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</row>
    <row r="123" spans="1:35"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</row>
    <row r="124" spans="1: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spans="1:35">
      <c r="B125" s="3"/>
      <c r="C125" s="3"/>
      <c r="D125" s="3"/>
      <c r="E125" s="3"/>
      <c r="F125" s="3"/>
      <c r="G125" s="3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</row>
    <row r="126" spans="1:35">
      <c r="B126" s="2" t="s">
        <v>9</v>
      </c>
      <c r="C126" s="2" t="s">
        <v>10</v>
      </c>
      <c r="D126" s="2" t="s">
        <v>11</v>
      </c>
      <c r="E126" s="2" t="s">
        <v>12</v>
      </c>
      <c r="F126" s="2" t="s">
        <v>13</v>
      </c>
      <c r="G126" s="2"/>
      <c r="H126" s="4"/>
      <c r="I126" s="4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</row>
    <row r="127" spans="1:35">
      <c r="B127" s="69" t="s">
        <v>7</v>
      </c>
      <c r="C127" s="69" t="s">
        <v>2</v>
      </c>
      <c r="D127" s="4"/>
      <c r="E127" s="4"/>
      <c r="F127" s="4"/>
      <c r="G127" s="4"/>
      <c r="H127" s="4"/>
      <c r="I127" s="4"/>
      <c r="L127" s="80" t="s">
        <v>15</v>
      </c>
      <c r="M127" s="80"/>
      <c r="N127" s="69" t="str">
        <f>C127</f>
        <v>new_deaths</v>
      </c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</row>
    <row r="128" spans="1:35">
      <c r="B128" s="69">
        <v>0.17910000000000001</v>
      </c>
      <c r="C128" s="69">
        <v>1676</v>
      </c>
      <c r="D128" s="4">
        <f>B128*C128</f>
        <v>300.17160000000001</v>
      </c>
      <c r="E128" s="4">
        <f>B128^2</f>
        <v>3.2076810000000004E-2</v>
      </c>
      <c r="F128" s="4">
        <f>C128^2</f>
        <v>2808976</v>
      </c>
      <c r="G128" s="4">
        <f>ROUND($P$150+$L$150*B128,4)</f>
        <v>1698.6393</v>
      </c>
      <c r="H128" s="4">
        <f>ROUND(G128-C128,4)</f>
        <v>22.639299999999999</v>
      </c>
      <c r="I128" s="4">
        <f>H128^2</f>
        <v>512.53790448999996</v>
      </c>
      <c r="L128" s="80" t="s">
        <v>14</v>
      </c>
      <c r="M128" s="80"/>
      <c r="N128" s="80" t="str">
        <f>B127</f>
        <v>positive_rate</v>
      </c>
      <c r="O128" s="80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</row>
    <row r="129" spans="2:35">
      <c r="B129" s="69">
        <v>0.1197</v>
      </c>
      <c r="C129" s="69">
        <v>1163</v>
      </c>
      <c r="D129" s="4">
        <f t="shared" ref="D129:D144" si="24">B129*C129</f>
        <v>139.21109999999999</v>
      </c>
      <c r="E129" s="4">
        <f t="shared" ref="E129:F144" si="25">B129^2</f>
        <v>1.432809E-2</v>
      </c>
      <c r="F129" s="4">
        <f t="shared" si="25"/>
        <v>1352569</v>
      </c>
      <c r="G129" s="4">
        <f t="shared" ref="G129:G144" si="26">ROUND($P$150+$L$150*B129,4)</f>
        <v>1101.33</v>
      </c>
      <c r="H129" s="4">
        <f t="shared" ref="H129:H144" si="27">ROUND(G129-C129,4)</f>
        <v>-61.67</v>
      </c>
      <c r="I129" s="4">
        <f t="shared" ref="I129:I144" si="28">H129^2</f>
        <v>3803.1889000000001</v>
      </c>
      <c r="T129" s="77"/>
      <c r="U129" s="38" t="s">
        <v>41</v>
      </c>
      <c r="V129" s="33">
        <f>ROUND(N147-X129*D147,4)</f>
        <v>24660.5903</v>
      </c>
      <c r="W129" s="38"/>
      <c r="X129" s="33">
        <f>L150</f>
        <v>10055.7127</v>
      </c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</row>
    <row r="130" spans="2:35">
      <c r="B130" s="69">
        <v>7.2300000000000003E-2</v>
      </c>
      <c r="C130" s="69">
        <v>641</v>
      </c>
      <c r="D130" s="4">
        <f t="shared" si="24"/>
        <v>46.344300000000004</v>
      </c>
      <c r="E130" s="4">
        <f t="shared" si="25"/>
        <v>5.2272900000000008E-3</v>
      </c>
      <c r="F130" s="4">
        <f t="shared" si="25"/>
        <v>410881</v>
      </c>
      <c r="G130" s="4">
        <f t="shared" si="26"/>
        <v>624.68920000000003</v>
      </c>
      <c r="H130" s="4">
        <f t="shared" si="27"/>
        <v>-16.3108</v>
      </c>
      <c r="I130" s="4">
        <f t="shared" si="28"/>
        <v>266.04219663999999</v>
      </c>
      <c r="T130" s="77"/>
      <c r="U130" s="36" t="s">
        <v>42</v>
      </c>
      <c r="V130" s="26">
        <f>ROUND((D147^2)/I147,4)</f>
        <v>3550804.7755</v>
      </c>
      <c r="W130" s="77"/>
      <c r="X130" s="26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</row>
    <row r="131" spans="2:35">
      <c r="B131" s="69">
        <v>4.6300000000000001E-2</v>
      </c>
      <c r="C131" s="69">
        <v>355</v>
      </c>
      <c r="D131" s="4">
        <f t="shared" si="24"/>
        <v>16.436499999999999</v>
      </c>
      <c r="E131" s="4">
        <f t="shared" si="25"/>
        <v>2.1436900000000002E-3</v>
      </c>
      <c r="F131" s="4">
        <f t="shared" si="25"/>
        <v>126025</v>
      </c>
      <c r="G131" s="4">
        <f t="shared" si="26"/>
        <v>363.2407</v>
      </c>
      <c r="H131" s="4">
        <f t="shared" si="27"/>
        <v>8.2407000000000004</v>
      </c>
      <c r="I131" s="4">
        <f t="shared" si="28"/>
        <v>67.909136490000009</v>
      </c>
      <c r="T131" s="77"/>
      <c r="U131" s="36" t="s">
        <v>43</v>
      </c>
      <c r="V131" s="26">
        <f>N147</f>
        <v>3575465.3693882301</v>
      </c>
      <c r="W131" s="77"/>
      <c r="X131" s="26">
        <f>P150</f>
        <v>-102.33880000000001</v>
      </c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</row>
    <row r="132" spans="2:35">
      <c r="B132" s="69">
        <v>3.3500000000000002E-2</v>
      </c>
      <c r="C132" s="69">
        <v>223</v>
      </c>
      <c r="D132" s="4">
        <f t="shared" si="24"/>
        <v>7.4705000000000004</v>
      </c>
      <c r="E132" s="4">
        <f t="shared" si="25"/>
        <v>1.1222500000000002E-3</v>
      </c>
      <c r="F132" s="4">
        <f t="shared" si="25"/>
        <v>49729</v>
      </c>
      <c r="G132" s="4">
        <f t="shared" si="26"/>
        <v>234.52760000000001</v>
      </c>
      <c r="H132" s="4">
        <f t="shared" si="27"/>
        <v>11.5276</v>
      </c>
      <c r="I132" s="4">
        <f t="shared" si="28"/>
        <v>132.88556176</v>
      </c>
      <c r="T132" s="77"/>
      <c r="U132" s="36" t="s">
        <v>59</v>
      </c>
      <c r="V132" s="26">
        <f>ROUND(SQRT(V129/(L135-2)),4)</f>
        <v>40.546799999999998</v>
      </c>
      <c r="W132" s="77"/>
      <c r="X132" s="26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</row>
    <row r="133" spans="2:35" ht="13.5" thickBot="1">
      <c r="B133" s="69">
        <v>3.0800000000000001E-2</v>
      </c>
      <c r="C133" s="69">
        <v>144</v>
      </c>
      <c r="D133" s="4">
        <f t="shared" si="24"/>
        <v>4.4352</v>
      </c>
      <c r="E133" s="4">
        <f t="shared" si="25"/>
        <v>9.4864000000000005E-4</v>
      </c>
      <c r="F133" s="4">
        <f t="shared" si="25"/>
        <v>20736</v>
      </c>
      <c r="G133" s="4">
        <f t="shared" si="26"/>
        <v>207.37719999999999</v>
      </c>
      <c r="H133" s="4">
        <f t="shared" si="27"/>
        <v>63.377200000000002</v>
      </c>
      <c r="I133" s="4">
        <f t="shared" si="28"/>
        <v>4016.6694798400003</v>
      </c>
      <c r="T133" s="77"/>
      <c r="U133" s="37"/>
      <c r="V133" s="27"/>
      <c r="W133" s="37"/>
      <c r="X133" s="27">
        <f>ROUND(X129*SQRT(I147/N147),4)</f>
        <v>0.99650000000000005</v>
      </c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</row>
    <row r="134" spans="2:35">
      <c r="B134" s="69">
        <v>2.8299999999999999E-2</v>
      </c>
      <c r="C134" s="69">
        <v>77</v>
      </c>
      <c r="D134" s="4">
        <f t="shared" si="24"/>
        <v>2.1791</v>
      </c>
      <c r="E134" s="4">
        <f t="shared" si="25"/>
        <v>8.0088999999999996E-4</v>
      </c>
      <c r="F134" s="4">
        <f t="shared" si="25"/>
        <v>5929</v>
      </c>
      <c r="G134" s="4">
        <f t="shared" si="26"/>
        <v>182.2379</v>
      </c>
      <c r="H134" s="4">
        <f t="shared" si="27"/>
        <v>105.2379</v>
      </c>
      <c r="I134" s="4">
        <f t="shared" si="28"/>
        <v>11075.015596409999</v>
      </c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</row>
    <row r="135" spans="2:35" ht="13.5" thickBot="1">
      <c r="B135" s="69">
        <v>1.4500000000000001E-2</v>
      </c>
      <c r="C135" s="69">
        <v>69</v>
      </c>
      <c r="D135" s="4">
        <f t="shared" si="24"/>
        <v>1.0004999999999999</v>
      </c>
      <c r="E135" s="4">
        <f t="shared" si="25"/>
        <v>2.1025000000000001E-4</v>
      </c>
      <c r="F135" s="4">
        <f t="shared" si="25"/>
        <v>4761</v>
      </c>
      <c r="G135" s="4">
        <f t="shared" si="26"/>
        <v>43.469000000000001</v>
      </c>
      <c r="H135" s="4">
        <f t="shared" si="27"/>
        <v>-25.530999999999999</v>
      </c>
      <c r="I135" s="4">
        <f t="shared" si="28"/>
        <v>651.83196099999998</v>
      </c>
      <c r="K135" s="69" t="s">
        <v>19</v>
      </c>
      <c r="L135" s="69">
        <f>COUNT(B128,B129:B144)</f>
        <v>17</v>
      </c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</row>
    <row r="136" spans="2:35">
      <c r="B136" s="69">
        <v>1.7299999999999999E-2</v>
      </c>
      <c r="C136" s="69">
        <v>42</v>
      </c>
      <c r="D136" s="4">
        <f t="shared" si="24"/>
        <v>0.72660000000000002</v>
      </c>
      <c r="E136" s="4">
        <f t="shared" si="25"/>
        <v>2.9928999999999996E-4</v>
      </c>
      <c r="F136" s="4">
        <f t="shared" si="25"/>
        <v>1764</v>
      </c>
      <c r="G136" s="4">
        <f t="shared" si="26"/>
        <v>71.625</v>
      </c>
      <c r="H136" s="4">
        <f t="shared" si="27"/>
        <v>29.625</v>
      </c>
      <c r="I136" s="4">
        <f t="shared" si="28"/>
        <v>877.640625</v>
      </c>
      <c r="K136" s="69" t="s">
        <v>20</v>
      </c>
      <c r="L136" s="69">
        <f>ROUND(AVERAGE(B128:B144),4)</f>
        <v>3.6700000000000003E-2</v>
      </c>
      <c r="T136" s="77"/>
      <c r="U136" s="20"/>
      <c r="V136" s="20" t="s">
        <v>55</v>
      </c>
      <c r="W136" s="20" t="s">
        <v>48</v>
      </c>
      <c r="X136" s="20" t="s">
        <v>49</v>
      </c>
      <c r="Y136" s="20" t="s">
        <v>50</v>
      </c>
      <c r="Z136" s="20" t="s">
        <v>51</v>
      </c>
      <c r="AA136" s="77"/>
      <c r="AB136" s="77"/>
      <c r="AC136" s="77"/>
      <c r="AD136" s="77"/>
      <c r="AE136" s="77"/>
      <c r="AF136" s="77"/>
      <c r="AG136" s="77"/>
      <c r="AH136" s="77"/>
      <c r="AI136" s="77"/>
    </row>
    <row r="137" spans="2:35">
      <c r="B137" s="69">
        <v>1.21E-2</v>
      </c>
      <c r="C137" s="69">
        <v>37</v>
      </c>
      <c r="D137" s="4">
        <f t="shared" si="24"/>
        <v>0.44769999999999999</v>
      </c>
      <c r="E137" s="4">
        <f t="shared" si="25"/>
        <v>1.4641E-4</v>
      </c>
      <c r="F137" s="4">
        <f t="shared" si="25"/>
        <v>1369</v>
      </c>
      <c r="G137" s="4">
        <f t="shared" si="26"/>
        <v>19.3353</v>
      </c>
      <c r="H137" s="4">
        <f t="shared" si="27"/>
        <v>-17.6647</v>
      </c>
      <c r="I137" s="4">
        <f t="shared" si="28"/>
        <v>312.04162609000002</v>
      </c>
      <c r="K137" s="69" t="s">
        <v>21</v>
      </c>
      <c r="L137" s="69">
        <f>ROUND(AVERAGE(C128:C144),4)</f>
        <v>266.70589999999999</v>
      </c>
      <c r="T137" s="77"/>
      <c r="U137" s="76" t="s">
        <v>56</v>
      </c>
      <c r="V137" s="18" t="s">
        <v>45</v>
      </c>
      <c r="W137" s="18">
        <v>1</v>
      </c>
      <c r="X137" s="18">
        <f>V130</f>
        <v>3550804.7755</v>
      </c>
      <c r="Y137" s="18">
        <f>X137/W137</f>
        <v>3550804.7755</v>
      </c>
      <c r="Z137" s="18">
        <f>Y137/Y138</f>
        <v>2159.8052189569848</v>
      </c>
      <c r="AA137" s="77"/>
      <c r="AB137" s="77"/>
      <c r="AC137" s="77"/>
      <c r="AD137" s="77"/>
      <c r="AE137" s="77"/>
      <c r="AF137" s="77"/>
      <c r="AG137" s="77"/>
      <c r="AH137" s="77"/>
      <c r="AI137" s="77"/>
    </row>
    <row r="138" spans="2:35">
      <c r="B138" s="69">
        <v>1.35E-2</v>
      </c>
      <c r="C138" s="69">
        <v>29</v>
      </c>
      <c r="D138" s="4">
        <f t="shared" si="24"/>
        <v>0.39150000000000001</v>
      </c>
      <c r="E138" s="4">
        <f t="shared" si="25"/>
        <v>1.8224999999999998E-4</v>
      </c>
      <c r="F138" s="4">
        <f t="shared" si="25"/>
        <v>841</v>
      </c>
      <c r="G138" s="4">
        <f t="shared" si="26"/>
        <v>33.4133</v>
      </c>
      <c r="H138" s="4">
        <f t="shared" si="27"/>
        <v>4.4132999999999996</v>
      </c>
      <c r="I138" s="4">
        <f t="shared" si="28"/>
        <v>19.477216889999998</v>
      </c>
      <c r="T138" s="77"/>
      <c r="U138" s="76" t="s">
        <v>57</v>
      </c>
      <c r="V138" s="18" t="s">
        <v>46</v>
      </c>
      <c r="W138" s="18">
        <f>17-2</f>
        <v>15</v>
      </c>
      <c r="X138" s="18">
        <f>V129</f>
        <v>24660.5903</v>
      </c>
      <c r="Y138" s="18">
        <f>X138/W138</f>
        <v>1644.0393533333333</v>
      </c>
      <c r="Z138" s="18"/>
      <c r="AA138" s="77"/>
      <c r="AB138" s="77"/>
      <c r="AC138" s="77"/>
      <c r="AD138" s="77"/>
      <c r="AE138" s="77"/>
      <c r="AF138" s="77"/>
      <c r="AG138" s="77"/>
      <c r="AH138" s="77"/>
      <c r="AI138" s="77"/>
    </row>
    <row r="139" spans="2:35" ht="13.5" thickBot="1">
      <c r="B139" s="69">
        <v>8.2000000000000007E-3</v>
      </c>
      <c r="C139" s="69">
        <v>20</v>
      </c>
      <c r="D139" s="4">
        <f t="shared" si="24"/>
        <v>0.16400000000000001</v>
      </c>
      <c r="E139" s="4">
        <f t="shared" si="25"/>
        <v>6.7240000000000014E-5</v>
      </c>
      <c r="F139" s="4">
        <f t="shared" si="25"/>
        <v>400</v>
      </c>
      <c r="G139" s="4">
        <f t="shared" si="26"/>
        <v>-19.882000000000001</v>
      </c>
      <c r="H139" s="4">
        <f t="shared" si="27"/>
        <v>-39.881999999999998</v>
      </c>
      <c r="I139" s="4">
        <f t="shared" si="28"/>
        <v>1590.5739239999998</v>
      </c>
      <c r="T139" s="77"/>
      <c r="U139" s="24" t="s">
        <v>58</v>
      </c>
      <c r="V139" s="19" t="s">
        <v>47</v>
      </c>
      <c r="W139" s="19">
        <f>17-1</f>
        <v>16</v>
      </c>
      <c r="X139" s="19">
        <f>V131</f>
        <v>3575465.3693882301</v>
      </c>
      <c r="Y139" s="19"/>
      <c r="Z139" s="19"/>
      <c r="AA139" s="77"/>
      <c r="AB139" s="77"/>
      <c r="AC139" s="77"/>
      <c r="AD139" s="77"/>
      <c r="AE139" s="77"/>
      <c r="AF139" s="77"/>
      <c r="AG139" s="77"/>
      <c r="AH139" s="77"/>
      <c r="AI139" s="77"/>
    </row>
    <row r="140" spans="2:35">
      <c r="B140" s="69">
        <v>8.3000000000000001E-3</v>
      </c>
      <c r="C140" s="69">
        <v>12</v>
      </c>
      <c r="D140" s="4">
        <f t="shared" si="24"/>
        <v>9.9599999999999994E-2</v>
      </c>
      <c r="E140" s="4">
        <f t="shared" si="25"/>
        <v>6.8889999999999999E-5</v>
      </c>
      <c r="F140" s="4">
        <f t="shared" si="25"/>
        <v>144</v>
      </c>
      <c r="G140" s="4">
        <f t="shared" si="26"/>
        <v>-18.8764</v>
      </c>
      <c r="H140" s="4">
        <f t="shared" si="27"/>
        <v>-30.8764</v>
      </c>
      <c r="I140" s="4">
        <f t="shared" si="28"/>
        <v>953.35207695999998</v>
      </c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</row>
    <row r="141" spans="2:35">
      <c r="B141" s="69">
        <v>8.0000000000000002E-3</v>
      </c>
      <c r="C141" s="69">
        <v>15</v>
      </c>
      <c r="D141" s="4">
        <f t="shared" si="24"/>
        <v>0.12</v>
      </c>
      <c r="E141" s="4">
        <f t="shared" si="25"/>
        <v>6.3999999999999997E-5</v>
      </c>
      <c r="F141" s="4">
        <f t="shared" si="25"/>
        <v>225</v>
      </c>
      <c r="G141" s="4">
        <f t="shared" si="26"/>
        <v>-21.8931</v>
      </c>
      <c r="H141" s="4">
        <f t="shared" si="27"/>
        <v>-36.893099999999997</v>
      </c>
      <c r="I141" s="4">
        <f t="shared" si="28"/>
        <v>1361.1008276099997</v>
      </c>
      <c r="T141" s="77"/>
      <c r="U141" s="73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</row>
    <row r="142" spans="2:35">
      <c r="B142" s="69">
        <v>9.1999999999999998E-3</v>
      </c>
      <c r="C142" s="69">
        <v>15</v>
      </c>
      <c r="D142" s="4">
        <f t="shared" si="24"/>
        <v>0.13800000000000001</v>
      </c>
      <c r="E142" s="4">
        <f t="shared" si="25"/>
        <v>8.4640000000000003E-5</v>
      </c>
      <c r="F142" s="4">
        <f t="shared" si="25"/>
        <v>225</v>
      </c>
      <c r="G142" s="4">
        <f t="shared" si="26"/>
        <v>-9.8262</v>
      </c>
      <c r="H142" s="4">
        <f t="shared" si="27"/>
        <v>-24.8262</v>
      </c>
      <c r="I142" s="4">
        <f t="shared" si="28"/>
        <v>616.34020643999997</v>
      </c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</row>
    <row r="143" spans="2:35">
      <c r="B143" s="69">
        <v>1.0699999999999999E-2</v>
      </c>
      <c r="C143" s="69">
        <v>10</v>
      </c>
      <c r="D143" s="4">
        <f t="shared" si="24"/>
        <v>0.107</v>
      </c>
      <c r="E143" s="4">
        <f t="shared" si="25"/>
        <v>1.1448999999999998E-4</v>
      </c>
      <c r="F143" s="4">
        <f t="shared" si="25"/>
        <v>100</v>
      </c>
      <c r="G143" s="4">
        <f t="shared" si="26"/>
        <v>5.2572999999999999</v>
      </c>
      <c r="H143" s="4">
        <f t="shared" si="27"/>
        <v>-4.7427000000000001</v>
      </c>
      <c r="I143" s="4">
        <f t="shared" si="28"/>
        <v>22.49320329</v>
      </c>
      <c r="T143" s="77"/>
      <c r="U143" s="14"/>
      <c r="V143" s="14"/>
      <c r="W143" s="14"/>
      <c r="X143" s="14"/>
      <c r="Y143" s="14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</row>
    <row r="144" spans="2:35">
      <c r="B144" s="69">
        <v>1.1299999999999999E-2</v>
      </c>
      <c r="C144" s="69">
        <v>6</v>
      </c>
      <c r="D144" s="7">
        <f t="shared" si="24"/>
        <v>6.7799999999999999E-2</v>
      </c>
      <c r="E144" s="7">
        <f t="shared" si="25"/>
        <v>1.2768999999999999E-4</v>
      </c>
      <c r="F144" s="7">
        <f t="shared" si="25"/>
        <v>36</v>
      </c>
      <c r="G144" s="4">
        <f t="shared" si="26"/>
        <v>11.290800000000001</v>
      </c>
      <c r="H144" s="4">
        <f t="shared" si="27"/>
        <v>5.2907999999999999</v>
      </c>
      <c r="I144" s="4">
        <f t="shared" si="28"/>
        <v>27.992564639999998</v>
      </c>
      <c r="T144" s="77"/>
      <c r="U144" s="29" t="s">
        <v>80</v>
      </c>
      <c r="V144" s="14">
        <v>0.05</v>
      </c>
      <c r="W144" s="14"/>
      <c r="X144" s="14"/>
      <c r="Y144" s="14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</row>
    <row r="145" spans="1:35">
      <c r="A145" s="4" t="s">
        <v>18</v>
      </c>
      <c r="B145" s="4">
        <f t="shared" ref="B145:I145" si="29">SUM(B128:B144)</f>
        <v>0.62309999999999988</v>
      </c>
      <c r="C145" s="4">
        <f t="shared" si="29"/>
        <v>4534</v>
      </c>
      <c r="D145" s="4">
        <f t="shared" si="29"/>
        <v>519.51099999999997</v>
      </c>
      <c r="E145" s="4">
        <f t="shared" si="29"/>
        <v>5.8012810000000019E-2</v>
      </c>
      <c r="F145" s="4">
        <f t="shared" si="29"/>
        <v>4784710</v>
      </c>
      <c r="G145" s="4">
        <f t="shared" si="29"/>
        <v>4525.9548999999988</v>
      </c>
      <c r="H145" s="4">
        <f t="shared" si="29"/>
        <v>-8.0451000000000015</v>
      </c>
      <c r="I145" s="4">
        <f t="shared" si="29"/>
        <v>26307.09300755</v>
      </c>
      <c r="T145" s="77"/>
      <c r="U145" s="14"/>
      <c r="V145" s="14"/>
      <c r="W145" s="14"/>
      <c r="X145" s="14"/>
      <c r="Y145" s="14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</row>
    <row r="146" spans="1:35">
      <c r="T146" s="77"/>
      <c r="U146" s="14"/>
      <c r="V146" s="14"/>
      <c r="W146" s="14"/>
      <c r="X146" s="14"/>
      <c r="Y146" s="14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</row>
    <row r="147" spans="1:35">
      <c r="D147" s="69">
        <f>D145-(L135*L136*L137)</f>
        <v>353.11318898999997</v>
      </c>
      <c r="I147" s="69">
        <f>E145-(L135*(L136^2))</f>
        <v>3.511568000000001E-2</v>
      </c>
      <c r="N147" s="69">
        <f>F145-(L135*(L137^2))</f>
        <v>3575465.3693882301</v>
      </c>
      <c r="T147" s="77"/>
      <c r="U147" s="14"/>
      <c r="V147" s="14"/>
      <c r="W147" s="14"/>
      <c r="X147" s="14"/>
      <c r="Y147" s="14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</row>
    <row r="148" spans="1:35">
      <c r="T148" s="77"/>
      <c r="U148" s="29" t="s">
        <v>133</v>
      </c>
      <c r="V148" s="14">
        <f>Z137</f>
        <v>2159.8052189569848</v>
      </c>
      <c r="W148" s="14"/>
      <c r="X148" s="14"/>
      <c r="Y148" s="14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</row>
    <row r="149" spans="1:35">
      <c r="T149" s="77"/>
      <c r="U149" s="14"/>
      <c r="V149" s="14"/>
      <c r="W149" s="14"/>
      <c r="X149" s="14"/>
      <c r="Y149" s="14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</row>
    <row r="150" spans="1:35">
      <c r="C150" s="69">
        <f>D147/(SQRT(I147)*SQRT(N147))</f>
        <v>0.99654544783703103</v>
      </c>
      <c r="H150" s="69">
        <f>C150^2</f>
        <v>0.99310282960470875</v>
      </c>
      <c r="L150" s="69">
        <f>ROUND(D147/I147,4)</f>
        <v>10055.7127</v>
      </c>
      <c r="P150" s="69">
        <f>ROUND((L137-(L150*L136)),4)</f>
        <v>-102.33880000000001</v>
      </c>
      <c r="T150" s="77"/>
      <c r="U150" s="14"/>
      <c r="V150" s="14"/>
      <c r="W150" s="14"/>
      <c r="X150" s="14"/>
      <c r="Y150" s="14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</row>
    <row r="151" spans="1:35">
      <c r="C151" s="12"/>
      <c r="D151" s="12"/>
      <c r="T151" s="77"/>
      <c r="U151" s="14" t="str">
        <f>"f(0,05);("&amp;W137&amp;","&amp;W138&amp;")="</f>
        <v>f(0,05);(1,15)=</v>
      </c>
      <c r="V151" s="14">
        <f>ROUND(_xlfn.F.INV.RT(V144,W137,W138),4)</f>
        <v>4.5430999999999999</v>
      </c>
      <c r="W151" s="14"/>
      <c r="X151" s="14"/>
      <c r="Y151" s="14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</row>
    <row r="152" spans="1:35">
      <c r="T152" s="77"/>
      <c r="U152" s="14"/>
      <c r="V152" s="14"/>
      <c r="W152" s="14"/>
      <c r="X152" s="14"/>
      <c r="Y152" s="14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</row>
    <row r="153" spans="1:35">
      <c r="L153" s="69" t="str">
        <f>"𝑦 ̂="&amp;P150&amp;"+"&amp;L150&amp;"x ̂"</f>
        <v>𝑦 ̂=-102,3388+10055,7127x ̂</v>
      </c>
      <c r="T153" s="77"/>
      <c r="U153" s="14" t="str">
        <f>IF(V151&lt;=V148, "R: Como  " &amp;ROUND(V151,4) &amp;" &lt; "&amp;ROUND(V148,4)&amp;" o modelo é significativo","R: Como  " &amp;ROUND(V151,4) &amp;" &gt; "&amp;ROUND(V148,4)&amp;" o modelo não é significativo" )</f>
        <v>R: Como  4,5431 &lt; 2159,8052 o modelo é significativo</v>
      </c>
      <c r="V153" s="14"/>
      <c r="W153" s="14"/>
      <c r="X153" s="14"/>
      <c r="Y153" s="14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</row>
    <row r="154" spans="1:35"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</row>
    <row r="155" spans="1:3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spans="1:35">
      <c r="B156" s="3"/>
      <c r="C156" s="3"/>
      <c r="D156" s="3"/>
      <c r="E156" s="3"/>
      <c r="F156" s="3"/>
      <c r="G156" s="3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</row>
    <row r="157" spans="1:35">
      <c r="B157" s="2" t="s">
        <v>9</v>
      </c>
      <c r="C157" s="2" t="s">
        <v>10</v>
      </c>
      <c r="D157" s="2" t="s">
        <v>11</v>
      </c>
      <c r="E157" s="2" t="s">
        <v>12</v>
      </c>
      <c r="F157" s="2" t="s">
        <v>13</v>
      </c>
      <c r="G157" s="2"/>
      <c r="H157" s="4"/>
      <c r="I157" s="4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</row>
    <row r="158" spans="1:35">
      <c r="B158" s="69" t="s">
        <v>8</v>
      </c>
      <c r="C158" s="69" t="s">
        <v>2</v>
      </c>
      <c r="D158" s="4"/>
      <c r="E158" s="4"/>
      <c r="F158" s="4"/>
      <c r="G158" s="4"/>
      <c r="H158" s="4"/>
      <c r="I158" s="4"/>
      <c r="L158" s="80" t="s">
        <v>15</v>
      </c>
      <c r="M158" s="80"/>
      <c r="N158" s="69" t="str">
        <f>C158</f>
        <v>new_deaths</v>
      </c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</row>
    <row r="159" spans="1:35">
      <c r="B159" s="69">
        <v>116262</v>
      </c>
      <c r="C159" s="69">
        <v>1676</v>
      </c>
      <c r="D159" s="4">
        <f>B159*C159</f>
        <v>194855112</v>
      </c>
      <c r="E159" s="4">
        <f>B159^2</f>
        <v>13516852644</v>
      </c>
      <c r="F159" s="4">
        <f>C159^2</f>
        <v>2808976</v>
      </c>
      <c r="G159" s="4">
        <f>ROUND($P$181+$L$181*B159,4)</f>
        <v>570.26089999999999</v>
      </c>
      <c r="H159" s="4">
        <f>ROUND(G159-C159,4)</f>
        <v>-1105.7391</v>
      </c>
      <c r="I159" s="4">
        <f>H159^2</f>
        <v>1222658.9572688101</v>
      </c>
      <c r="L159" s="80" t="s">
        <v>14</v>
      </c>
      <c r="M159" s="80"/>
      <c r="N159" s="80" t="str">
        <f>B158</f>
        <v>people_fully_vaccinated</v>
      </c>
      <c r="O159" s="80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</row>
    <row r="160" spans="1:35">
      <c r="B160" s="69">
        <v>208089</v>
      </c>
      <c r="C160" s="69">
        <v>1163</v>
      </c>
      <c r="D160" s="4">
        <f t="shared" ref="D160:D175" si="30">B160*C160</f>
        <v>242007507</v>
      </c>
      <c r="E160" s="4">
        <f t="shared" ref="E160:F175" si="31">B160^2</f>
        <v>43301031921</v>
      </c>
      <c r="F160" s="4">
        <f t="shared" si="31"/>
        <v>1352569</v>
      </c>
      <c r="G160" s="4">
        <f t="shared" ref="G160:G175" si="32">ROUND($P$181+$L$181*B160,4)</f>
        <v>524.34739999999999</v>
      </c>
      <c r="H160" s="4">
        <f t="shared" ref="H160:H175" si="33">ROUND(G160-C160,4)</f>
        <v>-638.65260000000001</v>
      </c>
      <c r="I160" s="4">
        <f t="shared" ref="I160:I175" si="34">H160^2</f>
        <v>407877.14348676003</v>
      </c>
      <c r="T160" s="77"/>
      <c r="U160" s="38" t="s">
        <v>41</v>
      </c>
      <c r="V160" s="33">
        <f>ROUND(N178-X160*D178,4)</f>
        <v>2466290.7374</v>
      </c>
      <c r="W160" s="38"/>
      <c r="X160" s="33">
        <f>L181</f>
        <v>-5.0000000000000001E-4</v>
      </c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</row>
    <row r="161" spans="1:35">
      <c r="B161" s="69">
        <v>266858</v>
      </c>
      <c r="C161" s="69">
        <v>641</v>
      </c>
      <c r="D161" s="4">
        <f t="shared" si="30"/>
        <v>171055978</v>
      </c>
      <c r="E161" s="4">
        <f t="shared" si="31"/>
        <v>71213192164</v>
      </c>
      <c r="F161" s="4">
        <f t="shared" si="31"/>
        <v>410881</v>
      </c>
      <c r="G161" s="4">
        <f t="shared" si="32"/>
        <v>494.96289999999999</v>
      </c>
      <c r="H161" s="4">
        <f t="shared" si="33"/>
        <v>-146.03710000000001</v>
      </c>
      <c r="I161" s="4">
        <f t="shared" si="34"/>
        <v>21326.834576410001</v>
      </c>
      <c r="T161" s="77"/>
      <c r="U161" s="36" t="s">
        <v>42</v>
      </c>
      <c r="V161" s="26">
        <f>ROUND((D178^2)/I178,4)</f>
        <v>1081438.8447</v>
      </c>
      <c r="W161" s="77"/>
      <c r="X161" s="26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</row>
    <row r="162" spans="1:35">
      <c r="B162" s="69">
        <v>286470</v>
      </c>
      <c r="C162" s="69">
        <v>355</v>
      </c>
      <c r="D162" s="4">
        <f t="shared" si="30"/>
        <v>101696850</v>
      </c>
      <c r="E162" s="4">
        <f t="shared" si="31"/>
        <v>82065060900</v>
      </c>
      <c r="F162" s="4">
        <f t="shared" si="31"/>
        <v>126025</v>
      </c>
      <c r="G162" s="4">
        <f t="shared" si="32"/>
        <v>485.15690000000001</v>
      </c>
      <c r="H162" s="4">
        <f t="shared" si="33"/>
        <v>130.15690000000001</v>
      </c>
      <c r="I162" s="4">
        <f t="shared" si="34"/>
        <v>16940.818617610003</v>
      </c>
      <c r="T162" s="77"/>
      <c r="U162" s="36" t="s">
        <v>43</v>
      </c>
      <c r="V162" s="26">
        <f>N178</f>
        <v>3575465.3693882301</v>
      </c>
      <c r="W162" s="77"/>
      <c r="X162" s="26">
        <f>P181</f>
        <v>628.39189999999996</v>
      </c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</row>
    <row r="163" spans="1:35">
      <c r="B163" s="69">
        <v>317254</v>
      </c>
      <c r="C163" s="69">
        <v>223</v>
      </c>
      <c r="D163" s="4">
        <f t="shared" si="30"/>
        <v>70747642</v>
      </c>
      <c r="E163" s="4">
        <f t="shared" si="31"/>
        <v>100650100516</v>
      </c>
      <c r="F163" s="4">
        <f t="shared" si="31"/>
        <v>49729</v>
      </c>
      <c r="G163" s="4">
        <f t="shared" si="32"/>
        <v>469.76490000000001</v>
      </c>
      <c r="H163" s="4">
        <f t="shared" si="33"/>
        <v>246.76490000000001</v>
      </c>
      <c r="I163" s="4">
        <f t="shared" si="34"/>
        <v>60892.915872010002</v>
      </c>
      <c r="T163" s="77"/>
      <c r="U163" s="36" t="s">
        <v>59</v>
      </c>
      <c r="V163" s="26">
        <f>ROUND(SQRT(V160/(L166-2)),4)</f>
        <v>405.48660000000001</v>
      </c>
      <c r="W163" s="77"/>
      <c r="X163" s="26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</row>
    <row r="164" spans="1:35" ht="13.5" thickBot="1">
      <c r="B164" s="69">
        <v>371084</v>
      </c>
      <c r="C164" s="69">
        <v>144</v>
      </c>
      <c r="D164" s="4">
        <f t="shared" si="30"/>
        <v>53436096</v>
      </c>
      <c r="E164" s="4">
        <f t="shared" si="31"/>
        <v>137703335056</v>
      </c>
      <c r="F164" s="4">
        <f t="shared" si="31"/>
        <v>20736</v>
      </c>
      <c r="G164" s="4">
        <f t="shared" si="32"/>
        <v>442.84989999999999</v>
      </c>
      <c r="H164" s="4">
        <f t="shared" si="33"/>
        <v>298.84989999999999</v>
      </c>
      <c r="I164" s="4">
        <f t="shared" si="34"/>
        <v>89311.262730009999</v>
      </c>
      <c r="T164" s="77"/>
      <c r="U164" s="37"/>
      <c r="V164" s="27"/>
      <c r="W164" s="37"/>
      <c r="X164" s="27">
        <f>ROUND(X160*SQRT(I178/N178),4)</f>
        <v>-0.56410000000000005</v>
      </c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</row>
    <row r="165" spans="1:35">
      <c r="B165" s="69">
        <v>377464</v>
      </c>
      <c r="C165" s="69">
        <v>77</v>
      </c>
      <c r="D165" s="4">
        <f t="shared" si="30"/>
        <v>29064728</v>
      </c>
      <c r="E165" s="4">
        <f t="shared" si="31"/>
        <v>142479071296</v>
      </c>
      <c r="F165" s="4">
        <f t="shared" si="31"/>
        <v>5929</v>
      </c>
      <c r="G165" s="4">
        <f t="shared" si="32"/>
        <v>439.65989999999999</v>
      </c>
      <c r="H165" s="4">
        <f t="shared" si="33"/>
        <v>362.65989999999999</v>
      </c>
      <c r="I165" s="4">
        <f t="shared" si="34"/>
        <v>131522.20306800999</v>
      </c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</row>
    <row r="166" spans="1:35" ht="13.5" thickBot="1">
      <c r="B166" s="69">
        <v>510025</v>
      </c>
      <c r="C166" s="69">
        <v>69</v>
      </c>
      <c r="D166" s="4">
        <f t="shared" si="30"/>
        <v>35191725</v>
      </c>
      <c r="E166" s="4">
        <f t="shared" si="31"/>
        <v>260125500625</v>
      </c>
      <c r="F166" s="4">
        <f t="shared" si="31"/>
        <v>4761</v>
      </c>
      <c r="G166" s="4">
        <f t="shared" si="32"/>
        <v>373.37939999999998</v>
      </c>
      <c r="H166" s="4">
        <f t="shared" si="33"/>
        <v>304.37939999999998</v>
      </c>
      <c r="I166" s="4">
        <f t="shared" si="34"/>
        <v>92646.819144359979</v>
      </c>
      <c r="K166" s="69" t="s">
        <v>19</v>
      </c>
      <c r="L166" s="69">
        <f>COUNT(B159,B160:B175)</f>
        <v>17</v>
      </c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</row>
    <row r="167" spans="1:35">
      <c r="B167" s="69">
        <v>592953</v>
      </c>
      <c r="C167" s="69">
        <v>42</v>
      </c>
      <c r="D167" s="4">
        <f t="shared" si="30"/>
        <v>24904026</v>
      </c>
      <c r="E167" s="4">
        <f t="shared" si="31"/>
        <v>351593260209</v>
      </c>
      <c r="F167" s="4">
        <f t="shared" si="31"/>
        <v>1764</v>
      </c>
      <c r="G167" s="4">
        <f t="shared" si="32"/>
        <v>331.91539999999998</v>
      </c>
      <c r="H167" s="4">
        <f t="shared" si="33"/>
        <v>289.91539999999998</v>
      </c>
      <c r="I167" s="4">
        <f t="shared" si="34"/>
        <v>84050.939157159984</v>
      </c>
      <c r="K167" s="69" t="s">
        <v>20</v>
      </c>
      <c r="L167" s="69">
        <f>ROUND(AVERAGE(B159:B175),4)</f>
        <v>723372</v>
      </c>
      <c r="T167" s="77"/>
      <c r="U167" s="20"/>
      <c r="V167" s="20" t="s">
        <v>55</v>
      </c>
      <c r="W167" s="20" t="s">
        <v>48</v>
      </c>
      <c r="X167" s="20" t="s">
        <v>49</v>
      </c>
      <c r="Y167" s="20" t="s">
        <v>50</v>
      </c>
      <c r="Z167" s="20" t="s">
        <v>51</v>
      </c>
      <c r="AA167" s="77"/>
      <c r="AB167" s="77"/>
      <c r="AC167" s="77"/>
      <c r="AD167" s="77"/>
      <c r="AE167" s="77"/>
      <c r="AF167" s="77"/>
      <c r="AG167" s="77"/>
      <c r="AH167" s="77"/>
      <c r="AI167" s="77"/>
    </row>
    <row r="168" spans="1:35">
      <c r="B168" s="69">
        <v>645818</v>
      </c>
      <c r="C168" s="69">
        <v>37</v>
      </c>
      <c r="D168" s="4">
        <f t="shared" si="30"/>
        <v>23895266</v>
      </c>
      <c r="E168" s="4">
        <f t="shared" si="31"/>
        <v>417080889124</v>
      </c>
      <c r="F168" s="4">
        <f t="shared" si="31"/>
        <v>1369</v>
      </c>
      <c r="G168" s="4">
        <f t="shared" si="32"/>
        <v>305.48289999999997</v>
      </c>
      <c r="H168" s="4">
        <f t="shared" si="33"/>
        <v>268.48289999999997</v>
      </c>
      <c r="I168" s="4">
        <f t="shared" si="34"/>
        <v>72083.067592409992</v>
      </c>
      <c r="K168" s="69" t="s">
        <v>21</v>
      </c>
      <c r="L168" s="69">
        <f>ROUND(AVERAGE(C159:C175),4)</f>
        <v>266.70589999999999</v>
      </c>
      <c r="T168" s="77"/>
      <c r="U168" s="76" t="s">
        <v>56</v>
      </c>
      <c r="V168" s="18" t="s">
        <v>45</v>
      </c>
      <c r="W168" s="18">
        <v>1</v>
      </c>
      <c r="X168" s="18">
        <f>V161</f>
        <v>1081438.8447</v>
      </c>
      <c r="Y168" s="18">
        <f>X168/W168</f>
        <v>1081438.8447</v>
      </c>
      <c r="Z168" s="18">
        <f>Y168/Y169</f>
        <v>6.5773197070841007</v>
      </c>
      <c r="AA168" s="77"/>
      <c r="AB168" s="77"/>
      <c r="AC168" s="77"/>
      <c r="AD168" s="77"/>
      <c r="AE168" s="77"/>
      <c r="AF168" s="77"/>
      <c r="AG168" s="77"/>
      <c r="AH168" s="77"/>
      <c r="AI168" s="77"/>
    </row>
    <row r="169" spans="1:35">
      <c r="B169" s="69">
        <v>701102</v>
      </c>
      <c r="C169" s="69">
        <v>29</v>
      </c>
      <c r="D169" s="4">
        <f t="shared" si="30"/>
        <v>20331958</v>
      </c>
      <c r="E169" s="4">
        <f t="shared" si="31"/>
        <v>491544014404</v>
      </c>
      <c r="F169" s="4">
        <f t="shared" si="31"/>
        <v>841</v>
      </c>
      <c r="G169" s="4">
        <f t="shared" si="32"/>
        <v>277.84089999999998</v>
      </c>
      <c r="H169" s="4">
        <f t="shared" si="33"/>
        <v>248.8409</v>
      </c>
      <c r="I169" s="4">
        <f t="shared" si="34"/>
        <v>61921.79351281</v>
      </c>
      <c r="T169" s="77"/>
      <c r="U169" s="76" t="s">
        <v>57</v>
      </c>
      <c r="V169" s="18" t="s">
        <v>46</v>
      </c>
      <c r="W169" s="18">
        <f>17-2</f>
        <v>15</v>
      </c>
      <c r="X169" s="18">
        <f>V160</f>
        <v>2466290.7374</v>
      </c>
      <c r="Y169" s="18">
        <f>X169/W169</f>
        <v>164419.38249333334</v>
      </c>
      <c r="Z169" s="18"/>
      <c r="AA169" s="77"/>
      <c r="AB169" s="77"/>
      <c r="AC169" s="77"/>
      <c r="AD169" s="77"/>
      <c r="AE169" s="77"/>
      <c r="AF169" s="77"/>
      <c r="AG169" s="77"/>
      <c r="AH169" s="77"/>
      <c r="AI169" s="77"/>
    </row>
    <row r="170" spans="1:35" ht="13.5" thickBot="1">
      <c r="B170" s="69">
        <v>840420</v>
      </c>
      <c r="C170" s="69">
        <v>20</v>
      </c>
      <c r="D170" s="4">
        <f t="shared" si="30"/>
        <v>16808400</v>
      </c>
      <c r="E170" s="4">
        <f t="shared" si="31"/>
        <v>706305776400</v>
      </c>
      <c r="F170" s="4">
        <f t="shared" si="31"/>
        <v>400</v>
      </c>
      <c r="G170" s="4">
        <f t="shared" si="32"/>
        <v>208.18190000000001</v>
      </c>
      <c r="H170" s="4">
        <f t="shared" si="33"/>
        <v>188.18190000000001</v>
      </c>
      <c r="I170" s="4">
        <f t="shared" si="34"/>
        <v>35412.427487610003</v>
      </c>
      <c r="T170" s="77"/>
      <c r="U170" s="24" t="s">
        <v>58</v>
      </c>
      <c r="V170" s="19" t="s">
        <v>47</v>
      </c>
      <c r="W170" s="19">
        <f>17-1</f>
        <v>16</v>
      </c>
      <c r="X170" s="19">
        <f>V162</f>
        <v>3575465.3693882301</v>
      </c>
      <c r="Y170" s="19"/>
      <c r="Z170" s="19"/>
      <c r="AA170" s="77"/>
      <c r="AB170" s="77"/>
      <c r="AC170" s="77"/>
      <c r="AD170" s="77"/>
      <c r="AE170" s="77"/>
      <c r="AF170" s="77"/>
      <c r="AG170" s="77"/>
      <c r="AH170" s="77"/>
      <c r="AI170" s="77"/>
    </row>
    <row r="171" spans="1:35">
      <c r="B171" s="69">
        <v>930042</v>
      </c>
      <c r="C171" s="69">
        <v>12</v>
      </c>
      <c r="D171" s="4">
        <f t="shared" si="30"/>
        <v>11160504</v>
      </c>
      <c r="E171" s="4">
        <f t="shared" si="31"/>
        <v>864978121764</v>
      </c>
      <c r="F171" s="4">
        <f t="shared" si="31"/>
        <v>144</v>
      </c>
      <c r="G171" s="4">
        <f t="shared" si="32"/>
        <v>163.37090000000001</v>
      </c>
      <c r="H171" s="4">
        <f t="shared" si="33"/>
        <v>151.37090000000001</v>
      </c>
      <c r="I171" s="4">
        <f t="shared" si="34"/>
        <v>22913.149366810001</v>
      </c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</row>
    <row r="172" spans="1:35">
      <c r="B172" s="69">
        <v>1134005</v>
      </c>
      <c r="C172" s="69">
        <v>15</v>
      </c>
      <c r="D172" s="4">
        <f t="shared" si="30"/>
        <v>17010075</v>
      </c>
      <c r="E172" s="4">
        <f t="shared" si="31"/>
        <v>1285967340025</v>
      </c>
      <c r="F172" s="4">
        <f t="shared" si="31"/>
        <v>225</v>
      </c>
      <c r="G172" s="4">
        <f t="shared" si="32"/>
        <v>61.389400000000002</v>
      </c>
      <c r="H172" s="4">
        <f t="shared" si="33"/>
        <v>46.389400000000002</v>
      </c>
      <c r="I172" s="4">
        <f t="shared" si="34"/>
        <v>2151.9764323600002</v>
      </c>
      <c r="T172" s="77"/>
      <c r="U172" s="73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</row>
    <row r="173" spans="1:35">
      <c r="B173" s="69">
        <v>1411270</v>
      </c>
      <c r="C173" s="69">
        <v>15</v>
      </c>
      <c r="D173" s="4">
        <f t="shared" si="30"/>
        <v>21169050</v>
      </c>
      <c r="E173" s="4">
        <f t="shared" si="31"/>
        <v>1991683012900</v>
      </c>
      <c r="F173" s="4">
        <f t="shared" si="31"/>
        <v>225</v>
      </c>
      <c r="G173" s="4">
        <f t="shared" si="32"/>
        <v>-77.243099999999998</v>
      </c>
      <c r="H173" s="4">
        <f t="shared" si="33"/>
        <v>-92.243099999999998</v>
      </c>
      <c r="I173" s="4">
        <f t="shared" si="34"/>
        <v>8508.7894976099997</v>
      </c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</row>
    <row r="174" spans="1:35">
      <c r="B174" s="69">
        <v>1638859</v>
      </c>
      <c r="C174" s="69">
        <v>10</v>
      </c>
      <c r="D174" s="4">
        <f t="shared" si="30"/>
        <v>16388590</v>
      </c>
      <c r="E174" s="4">
        <f t="shared" si="31"/>
        <v>2685858821881</v>
      </c>
      <c r="F174" s="4">
        <f t="shared" si="31"/>
        <v>100</v>
      </c>
      <c r="G174" s="4">
        <f t="shared" si="32"/>
        <v>-191.0376</v>
      </c>
      <c r="H174" s="4">
        <f t="shared" si="33"/>
        <v>-201.0376</v>
      </c>
      <c r="I174" s="4">
        <f t="shared" si="34"/>
        <v>40416.116613760001</v>
      </c>
      <c r="T174" s="77"/>
      <c r="U174" s="14"/>
      <c r="V174" s="14"/>
      <c r="W174" s="14"/>
      <c r="X174" s="14"/>
      <c r="Y174" s="14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</row>
    <row r="175" spans="1:35">
      <c r="B175" s="69">
        <v>1949349</v>
      </c>
      <c r="C175" s="69">
        <v>6</v>
      </c>
      <c r="D175" s="7">
        <f t="shared" si="30"/>
        <v>11696094</v>
      </c>
      <c r="E175" s="7">
        <f t="shared" si="31"/>
        <v>3799961523801</v>
      </c>
      <c r="F175" s="7">
        <f t="shared" si="31"/>
        <v>36</v>
      </c>
      <c r="G175" s="4">
        <f t="shared" si="32"/>
        <v>-346.2826</v>
      </c>
      <c r="H175" s="4">
        <f t="shared" si="33"/>
        <v>-352.2826</v>
      </c>
      <c r="I175" s="4">
        <f t="shared" si="34"/>
        <v>124103.03026276</v>
      </c>
      <c r="T175" s="77"/>
      <c r="U175" s="29" t="s">
        <v>80</v>
      </c>
      <c r="V175" s="14">
        <v>0.05</v>
      </c>
      <c r="W175" s="14"/>
      <c r="X175" s="14"/>
      <c r="Y175" s="14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</row>
    <row r="176" spans="1:35">
      <c r="A176" s="4" t="s">
        <v>18</v>
      </c>
      <c r="B176" s="4">
        <f t="shared" ref="B176:I176" si="35">SUM(B159:B175)</f>
        <v>12297324</v>
      </c>
      <c r="C176" s="4">
        <f t="shared" si="35"/>
        <v>4534</v>
      </c>
      <c r="D176" s="4">
        <f t="shared" si="35"/>
        <v>1061419601</v>
      </c>
      <c r="E176" s="4">
        <f t="shared" si="35"/>
        <v>13446026905630</v>
      </c>
      <c r="F176" s="4">
        <f t="shared" si="35"/>
        <v>4784710</v>
      </c>
      <c r="G176" s="4">
        <f t="shared" si="35"/>
        <v>4534.0002999999997</v>
      </c>
      <c r="H176" s="4">
        <f t="shared" si="35"/>
        <v>2.99999999811007E-4</v>
      </c>
      <c r="I176" s="4">
        <f t="shared" si="35"/>
        <v>2494738.2446872699</v>
      </c>
      <c r="T176" s="77"/>
      <c r="U176" s="14"/>
      <c r="V176" s="14"/>
      <c r="W176" s="14"/>
      <c r="X176" s="14"/>
      <c r="Y176" s="14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</row>
    <row r="177" spans="1:35">
      <c r="T177" s="77"/>
      <c r="U177" s="14"/>
      <c r="V177" s="14"/>
      <c r="W177" s="14"/>
      <c r="X177" s="14"/>
      <c r="Y177" s="14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</row>
    <row r="178" spans="1:35">
      <c r="D178" s="69">
        <f>D176-(L166*L167*L168)</f>
        <v>-2218349264.0116</v>
      </c>
      <c r="I178" s="69">
        <f>E176-(L166*(L167^2))</f>
        <v>4550487049102</v>
      </c>
      <c r="N178" s="69">
        <f>F176-(L166*(L168^2))</f>
        <v>3575465.3693882301</v>
      </c>
      <c r="T178" s="77"/>
      <c r="U178" s="14"/>
      <c r="V178" s="14"/>
      <c r="W178" s="14"/>
      <c r="X178" s="14"/>
      <c r="Y178" s="14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</row>
    <row r="179" spans="1:35">
      <c r="T179" s="77"/>
      <c r="U179" s="29" t="s">
        <v>133</v>
      </c>
      <c r="V179" s="14">
        <f>Z168</f>
        <v>6.5773197070841007</v>
      </c>
      <c r="W179" s="14"/>
      <c r="X179" s="14"/>
      <c r="Y179" s="14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</row>
    <row r="180" spans="1:35">
      <c r="T180" s="77"/>
      <c r="U180" s="14"/>
      <c r="V180" s="14"/>
      <c r="W180" s="14"/>
      <c r="X180" s="14"/>
      <c r="Y180" s="14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</row>
    <row r="181" spans="1:35">
      <c r="C181" s="69">
        <f>D178/(SQRT(I178)*SQRT(N178))</f>
        <v>-0.54996454776877646</v>
      </c>
      <c r="H181" s="69">
        <f>C181^2</f>
        <v>0.30246100380251478</v>
      </c>
      <c r="L181" s="69">
        <f>ROUND(D178/I178,4)</f>
        <v>-5.0000000000000001E-4</v>
      </c>
      <c r="P181" s="69">
        <f>ROUND((L168-(L181*L167)),4)</f>
        <v>628.39189999999996</v>
      </c>
      <c r="T181" s="77"/>
      <c r="U181" s="14"/>
      <c r="V181" s="14"/>
      <c r="W181" s="14"/>
      <c r="X181" s="14"/>
      <c r="Y181" s="14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</row>
    <row r="182" spans="1:35">
      <c r="C182" s="12"/>
      <c r="D182" s="12"/>
      <c r="T182" s="77"/>
      <c r="U182" s="14" t="str">
        <f>"f(0,05);("&amp;W168&amp;","&amp;W169&amp;")="</f>
        <v>f(0,05);(1,15)=</v>
      </c>
      <c r="V182" s="14">
        <f>ROUND(_xlfn.F.INV.RT(V175,W168,W169),4)</f>
        <v>4.5430999999999999</v>
      </c>
      <c r="W182" s="14"/>
      <c r="X182" s="14"/>
      <c r="Y182" s="14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</row>
    <row r="183" spans="1:35">
      <c r="T183" s="77"/>
      <c r="U183" s="14"/>
      <c r="V183" s="14"/>
      <c r="W183" s="14"/>
      <c r="X183" s="14"/>
      <c r="Y183" s="14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</row>
    <row r="184" spans="1:35">
      <c r="L184" s="69" t="str">
        <f>"𝑦 ̂="&amp;P181&amp;"+"&amp;L181&amp;"x ̂"</f>
        <v>𝑦 ̂=628,3919+-0,0005x ̂</v>
      </c>
      <c r="T184" s="77"/>
      <c r="U184" s="14" t="str">
        <f>IF(V182&lt;=V179, "R: Como  " &amp;ROUND(V182,4) &amp;" &lt; "&amp;ROUND(V179,4)&amp;" o modelo é significativo","R: Como  " &amp;ROUND(V182,4) &amp;" &gt; "&amp;ROUND(V179,4)&amp;" o modelo não é significativo" )</f>
        <v>R: Como  4,5431 &lt; 6,5773 o modelo é significativo</v>
      </c>
      <c r="V184" s="14"/>
      <c r="W184" s="14"/>
      <c r="X184" s="14"/>
      <c r="Y184" s="14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</row>
    <row r="185" spans="1:35"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</row>
    <row r="186" spans="1:3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</row>
    <row r="188" spans="1:35">
      <c r="C188" s="78" t="s">
        <v>137</v>
      </c>
      <c r="D188" s="78" t="s">
        <v>137</v>
      </c>
      <c r="E188" s="78" t="s">
        <v>137</v>
      </c>
      <c r="F188" s="79" t="s">
        <v>138</v>
      </c>
      <c r="G188" s="78" t="s">
        <v>137</v>
      </c>
      <c r="H188" s="78" t="s">
        <v>137</v>
      </c>
      <c r="J188" s="78" t="s">
        <v>137</v>
      </c>
    </row>
    <row r="189" spans="1:35">
      <c r="B189" s="4" t="s">
        <v>30</v>
      </c>
      <c r="C189" s="4">
        <f>C26</f>
        <v>-0.58346433090308314</v>
      </c>
      <c r="D189" s="4">
        <f>C57</f>
        <v>0.92405019187481718</v>
      </c>
      <c r="E189" s="4">
        <f>C88</f>
        <v>0.97991482868301016</v>
      </c>
      <c r="F189" s="4">
        <f>C119</f>
        <v>-6.3636252944133567E-2</v>
      </c>
      <c r="G189" s="4">
        <f>C150</f>
        <v>0.99654544783703103</v>
      </c>
      <c r="H189" s="4">
        <f>C181</f>
        <v>-0.54996454776877646</v>
      </c>
      <c r="I189" s="12"/>
      <c r="J189" s="79" t="s">
        <v>138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35">
      <c r="B190" s="4" t="s">
        <v>39</v>
      </c>
      <c r="C190" s="4">
        <f t="shared" ref="C190:H190" si="36">C189^2</f>
        <v>0.34043062543618252</v>
      </c>
      <c r="D190" s="4">
        <f t="shared" si="36"/>
        <v>0.85386875710388643</v>
      </c>
      <c r="E190" s="4">
        <f t="shared" si="36"/>
        <v>0.96023307147285319</v>
      </c>
      <c r="F190" s="4">
        <f t="shared" si="36"/>
        <v>4.0495726887697482E-3</v>
      </c>
      <c r="G190" s="4">
        <f t="shared" si="36"/>
        <v>0.99310282960470875</v>
      </c>
      <c r="H190" s="4">
        <f t="shared" si="36"/>
        <v>0.30246100380251478</v>
      </c>
      <c r="J190" s="77"/>
    </row>
    <row r="191" spans="1:35">
      <c r="B191" s="80" t="s">
        <v>31</v>
      </c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</row>
    <row r="193" spans="1:33">
      <c r="B193" s="35" t="s">
        <v>32</v>
      </c>
      <c r="C193" s="33">
        <f>G189</f>
        <v>0.99654544783703103</v>
      </c>
      <c r="D193" s="70" t="s">
        <v>20</v>
      </c>
      <c r="E193" s="33">
        <f>L136</f>
        <v>3.6700000000000003E-2</v>
      </c>
      <c r="F193" s="81" t="s">
        <v>53</v>
      </c>
      <c r="G193" s="81"/>
      <c r="H193" s="34" t="s">
        <v>41</v>
      </c>
      <c r="I193" s="33">
        <f>ROUND(E197-K193*E195,4)</f>
        <v>24660.5903</v>
      </c>
      <c r="J193" s="38"/>
      <c r="K193" s="33">
        <f>L150</f>
        <v>10055.7127</v>
      </c>
    </row>
    <row r="194" spans="1:33">
      <c r="B194" s="30" t="s">
        <v>40</v>
      </c>
      <c r="C194" s="26">
        <f>G190</f>
        <v>0.99310282960470875</v>
      </c>
      <c r="D194" s="71" t="s">
        <v>21</v>
      </c>
      <c r="E194" s="26">
        <f>L137</f>
        <v>266.70589999999999</v>
      </c>
      <c r="F194" s="82" t="s">
        <v>54</v>
      </c>
      <c r="G194" s="82"/>
      <c r="H194" s="69" t="s">
        <v>42</v>
      </c>
      <c r="I194" s="26">
        <f>ROUND((E195^2)/E196,4)</f>
        <v>3550804.7755</v>
      </c>
      <c r="K194" s="26"/>
    </row>
    <row r="195" spans="1:33">
      <c r="B195" s="30" t="s">
        <v>19</v>
      </c>
      <c r="C195" s="14">
        <v>17</v>
      </c>
      <c r="D195" s="30" t="s">
        <v>63</v>
      </c>
      <c r="E195" s="26">
        <f>D147</f>
        <v>353.11318898999997</v>
      </c>
      <c r="F195" s="82" t="s">
        <v>52</v>
      </c>
      <c r="G195" s="82"/>
      <c r="H195" s="69" t="s">
        <v>43</v>
      </c>
      <c r="I195" s="26">
        <f>E197</f>
        <v>3575465.3693882301</v>
      </c>
      <c r="K195" s="26">
        <f>P150</f>
        <v>-102.33880000000001</v>
      </c>
    </row>
    <row r="196" spans="1:33">
      <c r="B196" s="36"/>
      <c r="C196" s="14"/>
      <c r="D196" s="30" t="s">
        <v>64</v>
      </c>
      <c r="E196" s="26">
        <f>I147</f>
        <v>3.511568000000001E-2</v>
      </c>
      <c r="H196" s="69" t="s">
        <v>59</v>
      </c>
      <c r="I196" s="26">
        <f>ROUND(SQRT(I193/(C195-2)),4)</f>
        <v>40.546799999999998</v>
      </c>
      <c r="K196" s="26"/>
    </row>
    <row r="197" spans="1:33" ht="13.5" thickBot="1">
      <c r="B197" s="37"/>
      <c r="C197" s="28"/>
      <c r="D197" s="30" t="s">
        <v>65</v>
      </c>
      <c r="E197" s="27">
        <f>N147</f>
        <v>3575465.3693882301</v>
      </c>
      <c r="H197" s="28"/>
      <c r="I197" s="27"/>
      <c r="J197" s="37"/>
      <c r="K197" s="27">
        <f>ROUND(K193*SQRT(E196/E197),4)</f>
        <v>0.99650000000000005</v>
      </c>
    </row>
    <row r="198" spans="1:33">
      <c r="A198" s="20"/>
      <c r="B198" s="20" t="s">
        <v>55</v>
      </c>
      <c r="C198" s="20" t="s">
        <v>48</v>
      </c>
      <c r="D198" s="20" t="s">
        <v>49</v>
      </c>
      <c r="E198" s="20" t="s">
        <v>50</v>
      </c>
      <c r="F198" s="20" t="s">
        <v>51</v>
      </c>
      <c r="G198" s="22"/>
    </row>
    <row r="199" spans="1:33">
      <c r="A199" s="71" t="s">
        <v>56</v>
      </c>
      <c r="B199" s="18" t="s">
        <v>45</v>
      </c>
      <c r="C199" s="18">
        <v>1</v>
      </c>
      <c r="D199" s="18">
        <f>I194</f>
        <v>3550804.7755</v>
      </c>
      <c r="E199" s="18">
        <f>D199/C199</f>
        <v>3550804.7755</v>
      </c>
      <c r="F199" s="18">
        <f>E199/E200</f>
        <v>2159.8052189569848</v>
      </c>
      <c r="G199" s="18"/>
    </row>
    <row r="200" spans="1:33">
      <c r="A200" s="71" t="s">
        <v>57</v>
      </c>
      <c r="B200" s="18" t="s">
        <v>46</v>
      </c>
      <c r="C200" s="18">
        <f>C195-2</f>
        <v>15</v>
      </c>
      <c r="D200" s="18">
        <f>I193</f>
        <v>24660.5903</v>
      </c>
      <c r="E200" s="18">
        <f>D200/C200</f>
        <v>1644.0393533333333</v>
      </c>
      <c r="F200" s="18"/>
      <c r="G200" s="18"/>
    </row>
    <row r="201" spans="1:33" ht="13.5" thickBot="1">
      <c r="A201" s="24" t="s">
        <v>58</v>
      </c>
      <c r="B201" s="19" t="s">
        <v>47</v>
      </c>
      <c r="C201" s="19">
        <f>C195-1</f>
        <v>16</v>
      </c>
      <c r="D201" s="19">
        <f>I195</f>
        <v>3575465.3693882301</v>
      </c>
      <c r="E201" s="19"/>
      <c r="F201" s="19"/>
      <c r="G201" s="19"/>
    </row>
    <row r="204" spans="1:33">
      <c r="A204" s="72"/>
      <c r="B204" s="72"/>
      <c r="C204" s="72"/>
      <c r="D204" s="72"/>
      <c r="E204" s="72"/>
      <c r="F204" s="72"/>
      <c r="G204" s="50"/>
      <c r="H204" s="50"/>
      <c r="I204" s="50"/>
      <c r="J204" s="50"/>
    </row>
    <row r="205" spans="1:33">
      <c r="A205" s="14"/>
      <c r="B205" s="18"/>
      <c r="C205" s="18"/>
      <c r="D205" s="18"/>
      <c r="E205" s="18"/>
      <c r="F205" s="18"/>
      <c r="G205" s="18"/>
      <c r="H205" s="18"/>
      <c r="I205" s="18"/>
      <c r="J205" s="18"/>
    </row>
    <row r="206" spans="1:33">
      <c r="A206" s="18"/>
      <c r="B206" s="18"/>
      <c r="C206" s="18"/>
      <c r="D206" s="18"/>
      <c r="E206" s="18"/>
      <c r="F206" s="18"/>
      <c r="G206" s="18"/>
      <c r="H206" s="18"/>
      <c r="I206" s="18"/>
      <c r="J206" s="18"/>
    </row>
    <row r="207" spans="1:33" ht="13.5" thickBot="1"/>
    <row r="208" spans="1:33">
      <c r="B208" s="39"/>
      <c r="C208" s="40" t="s">
        <v>61</v>
      </c>
      <c r="D208" s="41">
        <v>0.95</v>
      </c>
      <c r="E208" s="41"/>
      <c r="F208" s="41"/>
      <c r="G208" s="41"/>
      <c r="H208" s="41"/>
      <c r="I208" s="41"/>
      <c r="J208" s="42"/>
      <c r="K208" s="77"/>
      <c r="L208" s="39"/>
      <c r="M208" s="40" t="s">
        <v>61</v>
      </c>
      <c r="N208" s="41">
        <v>0.9</v>
      </c>
      <c r="O208" s="41"/>
      <c r="P208" s="41"/>
      <c r="Q208" s="41"/>
      <c r="R208" s="41"/>
      <c r="S208" s="41"/>
      <c r="T208" s="42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</row>
    <row r="209" spans="1:33">
      <c r="A209" s="21" t="s">
        <v>78</v>
      </c>
      <c r="B209" s="43"/>
      <c r="C209" s="44" t="s">
        <v>62</v>
      </c>
      <c r="D209" s="14">
        <f>1-D208</f>
        <v>5.0000000000000044E-2</v>
      </c>
      <c r="E209" s="14"/>
      <c r="F209" s="14"/>
      <c r="G209" s="14">
        <f>ROUND(SQRT(1/C195+(E193^2/E196)),4)</f>
        <v>0.31169999999999998</v>
      </c>
      <c r="H209" s="14"/>
      <c r="I209" s="29" t="s">
        <v>66</v>
      </c>
      <c r="J209" s="45">
        <f>ROUND(SQRT((I193)/(C195-2)),4)</f>
        <v>40.546799999999998</v>
      </c>
      <c r="K209" s="77"/>
      <c r="L209" s="43"/>
      <c r="M209" s="44" t="s">
        <v>62</v>
      </c>
      <c r="N209" s="14">
        <f>1-N208</f>
        <v>9.9999999999999978E-2</v>
      </c>
      <c r="O209" s="14"/>
      <c r="P209" s="14"/>
      <c r="Q209" s="14">
        <f>ROUND(SQRT(1/C195+(E193^2/E196)),4)</f>
        <v>0.31169999999999998</v>
      </c>
      <c r="R209" s="14"/>
      <c r="S209" s="29" t="s">
        <v>66</v>
      </c>
      <c r="T209" s="45">
        <f>ROUND(SQRT((I193)/(C195-2)),4)</f>
        <v>40.546799999999998</v>
      </c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</row>
    <row r="210" spans="1:33">
      <c r="A210" s="69" t="s">
        <v>69</v>
      </c>
      <c r="B210" s="43"/>
      <c r="C210" s="14"/>
      <c r="D210" s="14">
        <f>ROUND(_xlfn.T.INV(1-D209/2,C195-2),2)</f>
        <v>2.13</v>
      </c>
      <c r="E210" s="14"/>
      <c r="F210" s="14"/>
      <c r="G210" s="14"/>
      <c r="H210" s="14"/>
      <c r="I210" s="14"/>
      <c r="J210" s="45"/>
      <c r="K210" s="77"/>
      <c r="L210" s="43"/>
      <c r="M210" s="14"/>
      <c r="N210" s="14">
        <f>ROUND(_xlfn.T.INV(1-N209/2,C195-2),2)</f>
        <v>1.75</v>
      </c>
      <c r="O210" s="14"/>
      <c r="P210" s="14"/>
      <c r="Q210" s="14"/>
      <c r="R210" s="14"/>
      <c r="S210" s="14"/>
      <c r="T210" s="45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</row>
    <row r="211" spans="1:33">
      <c r="A211" s="21" t="s">
        <v>70</v>
      </c>
      <c r="B211" s="46"/>
      <c r="C211" s="14"/>
      <c r="D211" s="14"/>
      <c r="E211" s="14"/>
      <c r="F211" s="14"/>
      <c r="G211" s="14"/>
      <c r="H211" s="14"/>
      <c r="I211" s="14"/>
      <c r="J211" s="45"/>
      <c r="K211" s="77"/>
      <c r="L211" s="46"/>
      <c r="M211" s="14"/>
      <c r="N211" s="14"/>
      <c r="O211" s="14"/>
      <c r="P211" s="14"/>
      <c r="Q211" s="14"/>
      <c r="R211" s="14"/>
      <c r="S211" s="14"/>
      <c r="T211" s="45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</row>
    <row r="212" spans="1:33">
      <c r="B212" s="46" t="s">
        <v>60</v>
      </c>
      <c r="C212" s="14">
        <f>ROUND(D210*G209*J209,4)</f>
        <v>26.919899999999998</v>
      </c>
      <c r="D212" s="14"/>
      <c r="E212" s="29" t="s">
        <v>67</v>
      </c>
      <c r="F212" s="14">
        <f>K195-C212</f>
        <v>-129.2587</v>
      </c>
      <c r="G212" s="14"/>
      <c r="H212" s="14"/>
      <c r="I212" s="14"/>
      <c r="J212" s="45"/>
      <c r="K212" s="77"/>
      <c r="L212" s="46" t="s">
        <v>60</v>
      </c>
      <c r="M212" s="14">
        <f>ROUND(N210*Q209*T209,4)</f>
        <v>22.1173</v>
      </c>
      <c r="N212" s="14"/>
      <c r="O212" s="29" t="s">
        <v>67</v>
      </c>
      <c r="P212" s="14">
        <f>K195-M212</f>
        <v>-124.45610000000001</v>
      </c>
      <c r="Q212" s="14"/>
      <c r="R212" s="14"/>
      <c r="S212" s="14"/>
      <c r="T212" s="45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</row>
    <row r="213" spans="1:33" ht="13.5" thickBot="1">
      <c r="B213" s="47"/>
      <c r="C213" s="28"/>
      <c r="D213" s="28"/>
      <c r="E213" s="48" t="s">
        <v>68</v>
      </c>
      <c r="F213" s="28">
        <f>K195+C212</f>
        <v>-75.418900000000008</v>
      </c>
      <c r="G213" s="28"/>
      <c r="H213" s="28"/>
      <c r="I213" s="28"/>
      <c r="J213" s="49"/>
      <c r="K213" s="77"/>
      <c r="L213" s="47"/>
      <c r="M213" s="28"/>
      <c r="N213" s="28"/>
      <c r="O213" s="48" t="s">
        <v>68</v>
      </c>
      <c r="P213" s="28">
        <f>K195+M212</f>
        <v>-80.221500000000006</v>
      </c>
      <c r="Q213" s="28"/>
      <c r="R213" s="28"/>
      <c r="S213" s="28"/>
      <c r="T213" s="49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</row>
    <row r="214" spans="1:33" ht="13.5" thickBot="1"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</row>
    <row r="215" spans="1:33">
      <c r="B215" s="39"/>
      <c r="C215" s="40" t="s">
        <v>61</v>
      </c>
      <c r="D215" s="41">
        <v>0.95</v>
      </c>
      <c r="E215" s="41"/>
      <c r="F215" s="41"/>
      <c r="G215" s="41"/>
      <c r="H215" s="41"/>
      <c r="I215" s="41"/>
      <c r="J215" s="42"/>
      <c r="K215" s="77"/>
      <c r="L215" s="39"/>
      <c r="M215" s="40" t="s">
        <v>61</v>
      </c>
      <c r="N215" s="41">
        <v>0.9</v>
      </c>
      <c r="O215" s="41"/>
      <c r="P215" s="41"/>
      <c r="Q215" s="41"/>
      <c r="R215" s="41"/>
      <c r="S215" s="41"/>
      <c r="T215" s="42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</row>
    <row r="216" spans="1:33">
      <c r="A216" s="21" t="s">
        <v>78</v>
      </c>
      <c r="B216" s="43"/>
      <c r="C216" s="44" t="s">
        <v>62</v>
      </c>
      <c r="D216" s="14">
        <f>1-D215</f>
        <v>5.0000000000000044E-2</v>
      </c>
      <c r="E216" s="14"/>
      <c r="F216" s="14"/>
      <c r="G216" s="14">
        <f>ROUND(SQRT(1/E196),4)</f>
        <v>5.3364000000000003</v>
      </c>
      <c r="H216" s="14"/>
      <c r="I216" s="29" t="s">
        <v>66</v>
      </c>
      <c r="J216" s="45">
        <f>ROUND(SQRT((I193)/(C195-2)),4)</f>
        <v>40.546799999999998</v>
      </c>
      <c r="K216" s="77"/>
      <c r="L216" s="43"/>
      <c r="M216" s="44" t="s">
        <v>62</v>
      </c>
      <c r="N216" s="14">
        <f>1-N215</f>
        <v>9.9999999999999978E-2</v>
      </c>
      <c r="O216" s="14"/>
      <c r="P216" s="14"/>
      <c r="Q216" s="14">
        <f>ROUND(SQRT(1/E196),4)</f>
        <v>5.3364000000000003</v>
      </c>
      <c r="R216" s="14"/>
      <c r="S216" s="29" t="s">
        <v>66</v>
      </c>
      <c r="T216" s="45">
        <f>ROUND(SQRT((I193)/(C195-2)),4)</f>
        <v>40.546799999999998</v>
      </c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</row>
    <row r="217" spans="1:33">
      <c r="A217" s="69" t="s">
        <v>69</v>
      </c>
      <c r="B217" s="43"/>
      <c r="C217" s="14"/>
      <c r="D217" s="14">
        <f>ROUND(_xlfn.T.INV(1-D216/2,C195-2),2)</f>
        <v>2.13</v>
      </c>
      <c r="E217" s="14"/>
      <c r="F217" s="14"/>
      <c r="G217" s="14"/>
      <c r="H217" s="14"/>
      <c r="I217" s="14"/>
      <c r="J217" s="45"/>
      <c r="K217" s="77"/>
      <c r="L217" s="43"/>
      <c r="M217" s="14"/>
      <c r="N217" s="14">
        <f>ROUND(_xlfn.T.INV(1-N216/2,C195-2),2)</f>
        <v>1.75</v>
      </c>
      <c r="O217" s="14"/>
      <c r="P217" s="14"/>
      <c r="Q217" s="14"/>
      <c r="R217" s="14"/>
      <c r="S217" s="14"/>
      <c r="T217" s="45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</row>
    <row r="218" spans="1:33">
      <c r="A218" s="21" t="s">
        <v>71</v>
      </c>
      <c r="B218" s="46"/>
      <c r="C218" s="14"/>
      <c r="D218" s="14"/>
      <c r="E218" s="14"/>
      <c r="F218" s="14"/>
      <c r="G218" s="14"/>
      <c r="H218" s="14"/>
      <c r="I218" s="14"/>
      <c r="J218" s="45"/>
      <c r="K218" s="77"/>
      <c r="L218" s="46"/>
      <c r="M218" s="14"/>
      <c r="N218" s="14"/>
      <c r="O218" s="14"/>
      <c r="P218" s="14"/>
      <c r="Q218" s="14"/>
      <c r="R218" s="14"/>
      <c r="S218" s="14"/>
      <c r="T218" s="45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</row>
    <row r="219" spans="1:33">
      <c r="B219" s="46" t="s">
        <v>60</v>
      </c>
      <c r="C219" s="14">
        <f>D217*G216*J216</f>
        <v>460.87649969759997</v>
      </c>
      <c r="D219" s="14"/>
      <c r="E219" s="29" t="s">
        <v>67</v>
      </c>
      <c r="F219" s="14">
        <f>K193-C219</f>
        <v>9594.8362003023994</v>
      </c>
      <c r="G219" s="14"/>
      <c r="H219" s="14"/>
      <c r="I219" s="14"/>
      <c r="J219" s="45"/>
      <c r="K219" s="77"/>
      <c r="L219" s="46" t="s">
        <v>60</v>
      </c>
      <c r="M219" s="14">
        <f>N217*Q216*T216</f>
        <v>378.65440116000002</v>
      </c>
      <c r="N219" s="14"/>
      <c r="O219" s="29" t="s">
        <v>67</v>
      </c>
      <c r="P219" s="14">
        <f>K193-M219</f>
        <v>9677.0582988400001</v>
      </c>
      <c r="Q219" s="14"/>
      <c r="R219" s="14"/>
      <c r="S219" s="14"/>
      <c r="T219" s="45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</row>
    <row r="220" spans="1:33" ht="13.5" thickBot="1">
      <c r="B220" s="47"/>
      <c r="C220" s="28"/>
      <c r="D220" s="28"/>
      <c r="E220" s="48" t="s">
        <v>68</v>
      </c>
      <c r="F220" s="28">
        <f>K193+C219</f>
        <v>10516.589199697601</v>
      </c>
      <c r="G220" s="28"/>
      <c r="H220" s="28"/>
      <c r="I220" s="28"/>
      <c r="J220" s="49"/>
      <c r="K220" s="77"/>
      <c r="L220" s="47"/>
      <c r="M220" s="28"/>
      <c r="N220" s="28"/>
      <c r="O220" s="48" t="s">
        <v>68</v>
      </c>
      <c r="P220" s="28">
        <f>K193+M219</f>
        <v>10434.36710116</v>
      </c>
      <c r="Q220" s="28"/>
      <c r="R220" s="28"/>
      <c r="S220" s="28"/>
      <c r="T220" s="49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</row>
    <row r="221" spans="1:33"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</row>
    <row r="222" spans="1:33"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</row>
    <row r="223" spans="1:33" ht="13.5" thickBot="1"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</row>
    <row r="224" spans="1:33">
      <c r="A224" s="21" t="s">
        <v>78</v>
      </c>
      <c r="B224" s="39"/>
      <c r="C224" s="40" t="s">
        <v>61</v>
      </c>
      <c r="D224" s="41">
        <v>0.95</v>
      </c>
      <c r="E224" s="41"/>
      <c r="F224" s="41"/>
      <c r="G224" s="41"/>
      <c r="H224" s="41"/>
      <c r="I224" s="41"/>
      <c r="J224" s="42"/>
      <c r="K224" s="77"/>
      <c r="L224" s="39"/>
      <c r="M224" s="40" t="s">
        <v>61</v>
      </c>
      <c r="N224" s="41">
        <v>0.9</v>
      </c>
      <c r="O224" s="41"/>
      <c r="P224" s="41"/>
      <c r="Q224" s="41"/>
      <c r="R224" s="41"/>
      <c r="S224" s="41"/>
      <c r="T224" s="42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</row>
    <row r="225" spans="1:33">
      <c r="A225" s="21" t="s">
        <v>91</v>
      </c>
      <c r="B225" s="43"/>
      <c r="C225" s="44" t="s">
        <v>62</v>
      </c>
      <c r="D225" s="14">
        <f>1-D224</f>
        <v>5.0000000000000044E-2</v>
      </c>
      <c r="E225" s="14"/>
      <c r="F225" s="14"/>
      <c r="G225" s="14">
        <f>ROUND(SQRT(1/C195+((I227-E193)^2/E196)),4)</f>
        <v>0.79769999999999996</v>
      </c>
      <c r="H225" s="14"/>
      <c r="I225" s="29" t="s">
        <v>66</v>
      </c>
      <c r="J225" s="45">
        <f>ROUND(SQRT((I193)/(C195-2)),4)</f>
        <v>40.546799999999998</v>
      </c>
      <c r="K225" s="77"/>
      <c r="L225" s="43"/>
      <c r="M225" s="44" t="s">
        <v>62</v>
      </c>
      <c r="N225" s="14">
        <f>1-N224</f>
        <v>9.9999999999999978E-2</v>
      </c>
      <c r="O225" s="14"/>
      <c r="P225" s="14"/>
      <c r="Q225" s="14">
        <f>ROUND(SQRT(1/C195+((I227-E193)^2/E196)),4)</f>
        <v>0.79769999999999996</v>
      </c>
      <c r="R225" s="14"/>
      <c r="S225" s="29" t="s">
        <v>66</v>
      </c>
      <c r="T225" s="45">
        <f>ROUND(SQRT((I193)/(C195-2)),4)</f>
        <v>40.546799999999998</v>
      </c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</row>
    <row r="226" spans="1:33">
      <c r="A226" s="21" t="s">
        <v>92</v>
      </c>
      <c r="B226" s="43"/>
      <c r="C226" s="14"/>
      <c r="D226" s="14">
        <f>ROUND(_xlfn.T.INV(1-D225/2,17-2),2)</f>
        <v>2.13</v>
      </c>
      <c r="E226" s="14"/>
      <c r="F226" s="14"/>
      <c r="G226" s="14"/>
      <c r="H226" s="14"/>
      <c r="I226" s="14"/>
      <c r="J226" s="45"/>
      <c r="K226" s="77"/>
      <c r="L226" s="43"/>
      <c r="M226" s="14"/>
      <c r="N226" s="14">
        <f>ROUND(_xlfn.T.INV(1-N225/2,17-2),2)</f>
        <v>1.75</v>
      </c>
      <c r="O226" s="14"/>
      <c r="P226" s="14"/>
      <c r="Q226" s="14"/>
      <c r="R226" s="14"/>
      <c r="S226" s="14"/>
      <c r="T226" s="45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</row>
    <row r="227" spans="1:33">
      <c r="A227" s="21" t="s">
        <v>93</v>
      </c>
      <c r="B227" s="46"/>
      <c r="C227" s="14"/>
      <c r="D227" s="14"/>
      <c r="E227" s="14"/>
      <c r="F227" s="14"/>
      <c r="G227" s="14"/>
      <c r="H227" s="14" t="s">
        <v>127</v>
      </c>
      <c r="I227" s="14">
        <f>B128</f>
        <v>0.17910000000000001</v>
      </c>
      <c r="J227" s="45"/>
      <c r="K227" s="77"/>
      <c r="L227" s="46"/>
      <c r="M227" s="14"/>
      <c r="N227" s="14"/>
      <c r="O227" s="14"/>
      <c r="P227" s="14"/>
      <c r="Q227" s="14"/>
      <c r="R227" s="14" t="s">
        <v>127</v>
      </c>
      <c r="S227" s="14">
        <f>B128</f>
        <v>0.17910000000000001</v>
      </c>
      <c r="T227" s="45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</row>
    <row r="228" spans="1:33">
      <c r="A228" s="21" t="s">
        <v>94</v>
      </c>
      <c r="B228" s="46" t="s">
        <v>60</v>
      </c>
      <c r="C228" s="14">
        <f>ROUND(D226*G225*J225,4)</f>
        <v>68.893100000000004</v>
      </c>
      <c r="D228" s="14"/>
      <c r="E228" s="29" t="s">
        <v>67</v>
      </c>
      <c r="F228" s="14">
        <f>I228-C228</f>
        <v>1629.7462</v>
      </c>
      <c r="G228" s="14"/>
      <c r="H228" s="14" t="str">
        <f>"y("&amp;I227&amp;")="</f>
        <v>y(0,1791)=</v>
      </c>
      <c r="I228" s="14">
        <f>ROUND(K195+K193*I227,4)</f>
        <v>1698.6393</v>
      </c>
      <c r="J228" s="45"/>
      <c r="K228" s="77"/>
      <c r="L228" s="46" t="s">
        <v>60</v>
      </c>
      <c r="M228" s="14">
        <f>ROUND(N226*Q225*T225,4)</f>
        <v>56.6023</v>
      </c>
      <c r="N228" s="14"/>
      <c r="O228" s="29" t="s">
        <v>67</v>
      </c>
      <c r="P228" s="14">
        <f>S228-M228</f>
        <v>1642.037</v>
      </c>
      <c r="Q228" s="14"/>
      <c r="R228" s="14" t="str">
        <f>"y("&amp;S227&amp;")="</f>
        <v>y(0,1791)=</v>
      </c>
      <c r="S228" s="14">
        <f>ROUND(K195+K193*I227,4)</f>
        <v>1698.6393</v>
      </c>
      <c r="T228" s="45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</row>
    <row r="229" spans="1:33">
      <c r="B229" s="43"/>
      <c r="C229" s="14"/>
      <c r="D229" s="14"/>
      <c r="E229" s="29" t="s">
        <v>68</v>
      </c>
      <c r="F229" s="14">
        <f>I228+C228</f>
        <v>1767.5324000000001</v>
      </c>
      <c r="G229" s="14"/>
      <c r="H229" s="14"/>
      <c r="I229" s="14"/>
      <c r="J229" s="45"/>
      <c r="K229" s="77"/>
      <c r="L229" s="43"/>
      <c r="M229" s="14"/>
      <c r="N229" s="14"/>
      <c r="O229" s="29" t="s">
        <v>68</v>
      </c>
      <c r="P229" s="14">
        <f>S228+M228</f>
        <v>1755.2416000000001</v>
      </c>
      <c r="Q229" s="14"/>
      <c r="R229" s="14"/>
      <c r="S229" s="14"/>
      <c r="T229" s="45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</row>
    <row r="230" spans="1:33">
      <c r="B230" s="43"/>
      <c r="C230" s="14"/>
      <c r="D230" s="14"/>
      <c r="E230" s="14"/>
      <c r="F230" s="14"/>
      <c r="G230" s="14"/>
      <c r="H230" s="14"/>
      <c r="I230" s="14"/>
      <c r="J230" s="45"/>
      <c r="K230" s="77"/>
      <c r="L230" s="43"/>
      <c r="M230" s="14"/>
      <c r="N230" s="14"/>
      <c r="O230" s="14"/>
      <c r="P230" s="14"/>
      <c r="Q230" s="14"/>
      <c r="R230" s="14"/>
      <c r="S230" s="14"/>
      <c r="T230" s="45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</row>
    <row r="231" spans="1:33" ht="16.5" thickBot="1">
      <c r="B231" s="47"/>
      <c r="C231" s="28"/>
      <c r="D231" s="28"/>
      <c r="E231" s="28" t="s">
        <v>98</v>
      </c>
      <c r="F231" s="28" t="str">
        <f>"]"&amp;F228&amp;";"&amp;F229&amp;"["</f>
        <v>]1629,7462;1767,5324[</v>
      </c>
      <c r="G231" s="28"/>
      <c r="H231" s="28"/>
      <c r="I231" s="28"/>
      <c r="J231" s="49"/>
      <c r="K231" s="77"/>
      <c r="L231" s="47"/>
      <c r="M231" s="28"/>
      <c r="N231" s="28"/>
      <c r="O231" s="28" t="s">
        <v>139</v>
      </c>
      <c r="P231" s="28" t="str">
        <f>"]"&amp;P228&amp;";"&amp;P229&amp;"["</f>
        <v>]1642,037;1755,2416[</v>
      </c>
      <c r="Q231" s="28"/>
      <c r="R231" s="28"/>
      <c r="S231" s="28"/>
      <c r="T231" s="49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</row>
    <row r="232" spans="1:33"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</row>
    <row r="233" spans="1:33" ht="13.5" thickBot="1"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</row>
    <row r="234" spans="1:33">
      <c r="A234" s="21" t="s">
        <v>78</v>
      </c>
      <c r="B234" s="39"/>
      <c r="C234" s="40" t="s">
        <v>61</v>
      </c>
      <c r="D234" s="41">
        <v>0.95</v>
      </c>
      <c r="E234" s="41"/>
      <c r="F234" s="41"/>
      <c r="G234" s="41"/>
      <c r="H234" s="41"/>
      <c r="I234" s="41"/>
      <c r="J234" s="42"/>
      <c r="K234" s="77"/>
      <c r="L234" s="39"/>
      <c r="M234" s="40" t="s">
        <v>61</v>
      </c>
      <c r="N234" s="41">
        <v>0.9</v>
      </c>
      <c r="O234" s="41"/>
      <c r="P234" s="41"/>
      <c r="Q234" s="41"/>
      <c r="R234" s="41"/>
      <c r="S234" s="41"/>
      <c r="T234" s="42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</row>
    <row r="235" spans="1:33">
      <c r="A235" s="21" t="s">
        <v>99</v>
      </c>
      <c r="B235" s="43"/>
      <c r="C235" s="44" t="s">
        <v>62</v>
      </c>
      <c r="D235" s="14">
        <f>1-D234</f>
        <v>5.0000000000000044E-2</v>
      </c>
      <c r="E235" s="14"/>
      <c r="F235" s="14"/>
      <c r="G235" s="14">
        <f>ROUND(SQRT(1+1/C195+((I227-E193)^2/E196)),4)</f>
        <v>1.2791999999999999</v>
      </c>
      <c r="H235" s="14"/>
      <c r="I235" s="29" t="s">
        <v>66</v>
      </c>
      <c r="J235" s="45">
        <f>ROUND(SQRT((I193)/(C195-2)),4)</f>
        <v>40.546799999999998</v>
      </c>
      <c r="K235" s="77"/>
      <c r="L235" s="43"/>
      <c r="M235" s="44" t="s">
        <v>62</v>
      </c>
      <c r="N235" s="14">
        <f>1-N234</f>
        <v>9.9999999999999978E-2</v>
      </c>
      <c r="O235" s="14"/>
      <c r="P235" s="14"/>
      <c r="Q235" s="14">
        <f>ROUND(SQRT(1+1/C195+((I227-E193)^2/E196)),4)</f>
        <v>1.2791999999999999</v>
      </c>
      <c r="R235" s="14"/>
      <c r="S235" s="29" t="s">
        <v>66</v>
      </c>
      <c r="T235" s="45">
        <f>ROUND(SQRT((I193)/(C195-2)),4)</f>
        <v>40.546799999999998</v>
      </c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</row>
    <row r="236" spans="1:33">
      <c r="A236" s="21" t="s">
        <v>100</v>
      </c>
      <c r="B236" s="43"/>
      <c r="C236" s="14"/>
      <c r="D236" s="14">
        <f>ROUND(_xlfn.T.INV(1-D235/2,17-2),2)</f>
        <v>2.13</v>
      </c>
      <c r="E236" s="14"/>
      <c r="F236" s="14"/>
      <c r="G236" s="14"/>
      <c r="H236" s="14"/>
      <c r="I236" s="14"/>
      <c r="J236" s="45"/>
      <c r="K236" s="77"/>
      <c r="L236" s="43"/>
      <c r="M236" s="14"/>
      <c r="N236" s="14">
        <f>ROUND(_xlfn.T.INV(1-N235/2,17-2),2)</f>
        <v>1.75</v>
      </c>
      <c r="O236" s="14"/>
      <c r="P236" s="14"/>
      <c r="Q236" s="14"/>
      <c r="R236" s="14"/>
      <c r="S236" s="14"/>
      <c r="T236" s="45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</row>
    <row r="237" spans="1:33">
      <c r="A237" s="21" t="s">
        <v>101</v>
      </c>
      <c r="B237" s="46"/>
      <c r="C237" s="14"/>
      <c r="D237" s="14"/>
      <c r="E237" s="14"/>
      <c r="F237" s="14"/>
      <c r="G237" s="14"/>
      <c r="H237" s="14" t="s">
        <v>127</v>
      </c>
      <c r="I237" s="14">
        <f>B128</f>
        <v>0.17910000000000001</v>
      </c>
      <c r="J237" s="45"/>
      <c r="K237" s="77"/>
      <c r="L237" s="46"/>
      <c r="M237" s="14"/>
      <c r="N237" s="14"/>
      <c r="O237" s="14"/>
      <c r="P237" s="14"/>
      <c r="Q237" s="14"/>
      <c r="R237" s="14" t="s">
        <v>127</v>
      </c>
      <c r="S237" s="14">
        <f>B128</f>
        <v>0.17910000000000001</v>
      </c>
      <c r="T237" s="45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</row>
    <row r="238" spans="1:33">
      <c r="A238" s="21" t="s">
        <v>102</v>
      </c>
      <c r="B238" s="46" t="s">
        <v>60</v>
      </c>
      <c r="C238" s="14">
        <f>ROUND(D236*G235*J235,4)</f>
        <v>110.4777</v>
      </c>
      <c r="D238" s="14"/>
      <c r="E238" s="29" t="s">
        <v>67</v>
      </c>
      <c r="F238" s="14">
        <f>I238-C238</f>
        <v>1588.1616000000001</v>
      </c>
      <c r="G238" s="14"/>
      <c r="H238" s="14" t="str">
        <f>"y("&amp;I237&amp;")="</f>
        <v>y(0,1791)=</v>
      </c>
      <c r="I238" s="14">
        <f>ROUND(K195+K193*I227,4)</f>
        <v>1698.6393</v>
      </c>
      <c r="J238" s="45"/>
      <c r="K238" s="77"/>
      <c r="L238" s="46" t="s">
        <v>60</v>
      </c>
      <c r="M238" s="14">
        <f>ROUND(N236*Q235*T235,4)</f>
        <v>90.768100000000004</v>
      </c>
      <c r="N238" s="14"/>
      <c r="O238" s="29" t="s">
        <v>67</v>
      </c>
      <c r="P238" s="14">
        <f>S238-M238</f>
        <v>1607.8712</v>
      </c>
      <c r="Q238" s="14"/>
      <c r="R238" s="14" t="str">
        <f>"y("&amp;S237&amp;")="</f>
        <v>y(0,1791)=</v>
      </c>
      <c r="S238" s="14">
        <f>ROUND(K195+K193*I227,4)</f>
        <v>1698.6393</v>
      </c>
      <c r="T238" s="45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</row>
    <row r="239" spans="1:33">
      <c r="A239" s="21" t="s">
        <v>94</v>
      </c>
      <c r="B239" s="43"/>
      <c r="C239" s="14"/>
      <c r="D239" s="14"/>
      <c r="E239" s="29" t="s">
        <v>68</v>
      </c>
      <c r="F239" s="14">
        <f>I238+C238</f>
        <v>1809.117</v>
      </c>
      <c r="G239" s="14"/>
      <c r="H239" s="14"/>
      <c r="I239" s="14"/>
      <c r="J239" s="45"/>
      <c r="K239" s="77"/>
      <c r="L239" s="43"/>
      <c r="M239" s="14"/>
      <c r="N239" s="14"/>
      <c r="O239" s="29" t="s">
        <v>68</v>
      </c>
      <c r="P239" s="14">
        <f>S238+M238</f>
        <v>1789.4074000000001</v>
      </c>
      <c r="Q239" s="14"/>
      <c r="R239" s="14"/>
      <c r="S239" s="14"/>
      <c r="T239" s="45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</row>
    <row r="240" spans="1:33">
      <c r="B240" s="43"/>
      <c r="C240" s="14"/>
      <c r="D240" s="14"/>
      <c r="E240" s="14"/>
      <c r="F240" s="14"/>
      <c r="G240" s="14"/>
      <c r="H240" s="14"/>
      <c r="I240" s="14"/>
      <c r="J240" s="45"/>
      <c r="K240" s="77"/>
      <c r="L240" s="43"/>
      <c r="M240" s="14"/>
      <c r="N240" s="14"/>
      <c r="O240" s="14"/>
      <c r="P240" s="14"/>
      <c r="Q240" s="14"/>
      <c r="R240" s="14"/>
      <c r="S240" s="14"/>
      <c r="T240" s="45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</row>
    <row r="241" spans="1:33" ht="16.5" thickBot="1">
      <c r="B241" s="47"/>
      <c r="C241" s="28"/>
      <c r="D241" s="28"/>
      <c r="E241" s="28" t="s">
        <v>98</v>
      </c>
      <c r="F241" s="28" t="str">
        <f>"]"&amp;F238&amp;";"&amp;F239&amp;"["</f>
        <v>]1588,1616;1809,117[</v>
      </c>
      <c r="G241" s="28"/>
      <c r="H241" s="28"/>
      <c r="I241" s="28"/>
      <c r="J241" s="49"/>
      <c r="K241" s="77"/>
      <c r="L241" s="47"/>
      <c r="M241" s="28"/>
      <c r="N241" s="28"/>
      <c r="O241" s="28" t="s">
        <v>139</v>
      </c>
      <c r="P241" s="28" t="str">
        <f>"]"&amp;P238&amp;";"&amp;P239&amp;"["</f>
        <v>]1607,8712;1789,4074[</v>
      </c>
      <c r="Q241" s="28"/>
      <c r="R241" s="28"/>
      <c r="S241" s="28"/>
      <c r="T241" s="49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</row>
    <row r="242" spans="1:33"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</row>
    <row r="243" spans="1:33" ht="13.5" thickBot="1"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</row>
    <row r="244" spans="1:33">
      <c r="B244" s="39"/>
      <c r="C244" s="41"/>
      <c r="D244" s="41"/>
      <c r="E244" s="41"/>
      <c r="F244" s="41"/>
      <c r="G244" s="41"/>
      <c r="H244" s="41"/>
      <c r="I244" s="41"/>
      <c r="J244" s="41"/>
      <c r="K244" s="41"/>
      <c r="L244" s="42"/>
      <c r="M244" s="77"/>
      <c r="N244" s="39"/>
      <c r="O244" s="41"/>
      <c r="P244" s="41"/>
      <c r="Q244" s="41"/>
      <c r="R244" s="41"/>
      <c r="S244" s="41"/>
      <c r="T244" s="41"/>
      <c r="U244" s="41"/>
      <c r="V244" s="41"/>
      <c r="W244" s="41"/>
      <c r="X244" s="42"/>
      <c r="Y244" s="77"/>
      <c r="Z244" s="77"/>
      <c r="AA244" s="77"/>
      <c r="AB244" s="77"/>
      <c r="AC244" s="77"/>
      <c r="AD244" s="77"/>
      <c r="AE244" s="77"/>
      <c r="AF244" s="77"/>
      <c r="AG244" s="77"/>
    </row>
    <row r="245" spans="1:33">
      <c r="A245" s="21" t="s">
        <v>103</v>
      </c>
      <c r="B245" s="43"/>
      <c r="C245" s="14"/>
      <c r="D245" s="14"/>
      <c r="E245" s="14"/>
      <c r="F245" s="14"/>
      <c r="G245" s="29" t="str">
        <f>A248&amp;"0="</f>
        <v>a0=</v>
      </c>
      <c r="H245" s="14">
        <v>0</v>
      </c>
      <c r="I245" s="14"/>
      <c r="J245" s="14"/>
      <c r="K245" s="14"/>
      <c r="L245" s="45"/>
      <c r="M245" s="77"/>
      <c r="N245" s="43"/>
      <c r="O245" s="14"/>
      <c r="P245" s="14"/>
      <c r="Q245" s="14"/>
      <c r="R245" s="14"/>
      <c r="S245" s="29" t="str">
        <f>M248&amp;"0="</f>
        <v>0=</v>
      </c>
      <c r="T245" s="14">
        <v>0</v>
      </c>
      <c r="U245" s="14"/>
      <c r="V245" s="14"/>
      <c r="W245" s="14"/>
      <c r="X245" s="45"/>
      <c r="Y245" s="77"/>
      <c r="Z245" s="77"/>
      <c r="AA245" s="77"/>
      <c r="AB245" s="77"/>
      <c r="AC245" s="77"/>
      <c r="AD245" s="77"/>
      <c r="AE245" s="77"/>
      <c r="AF245" s="77"/>
      <c r="AG245" s="77"/>
    </row>
    <row r="246" spans="1:33">
      <c r="A246" s="21" t="s">
        <v>83</v>
      </c>
      <c r="B246" s="43"/>
      <c r="C246" s="14"/>
      <c r="D246" s="14"/>
      <c r="E246" s="14"/>
      <c r="F246" s="14"/>
      <c r="G246" s="14"/>
      <c r="H246" s="14"/>
      <c r="I246" s="14"/>
      <c r="J246" s="14"/>
      <c r="K246" s="14"/>
      <c r="L246" s="45"/>
      <c r="M246" s="77"/>
      <c r="N246" s="43"/>
      <c r="O246" s="14"/>
      <c r="P246" s="14"/>
      <c r="Q246" s="14"/>
      <c r="R246" s="14"/>
      <c r="S246" s="14"/>
      <c r="T246" s="14"/>
      <c r="U246" s="14"/>
      <c r="V246" s="14"/>
      <c r="W246" s="14"/>
      <c r="X246" s="45"/>
      <c r="Y246" s="77"/>
      <c r="Z246" s="77"/>
      <c r="AA246" s="77"/>
      <c r="AB246" s="77"/>
      <c r="AC246" s="77"/>
      <c r="AD246" s="77"/>
      <c r="AE246" s="77"/>
      <c r="AF246" s="77"/>
      <c r="AG246" s="77"/>
    </row>
    <row r="247" spans="1:33">
      <c r="A247" s="21" t="s">
        <v>104</v>
      </c>
      <c r="B247" s="43"/>
      <c r="C247" s="14"/>
      <c r="D247" s="14"/>
      <c r="E247" s="14"/>
      <c r="F247" s="14"/>
      <c r="G247" s="14"/>
      <c r="H247" s="14">
        <f>K195</f>
        <v>-102.33880000000001</v>
      </c>
      <c r="I247" s="14"/>
      <c r="J247" s="14"/>
      <c r="K247" s="14"/>
      <c r="L247" s="45"/>
      <c r="M247" s="77"/>
      <c r="N247" s="43"/>
      <c r="O247" s="14"/>
      <c r="P247" s="14"/>
      <c r="Q247" s="14"/>
      <c r="R247" s="14"/>
      <c r="S247" s="14"/>
      <c r="T247" s="14">
        <f>K195</f>
        <v>-102.33880000000001</v>
      </c>
      <c r="U247" s="14"/>
      <c r="V247" s="14"/>
      <c r="W247" s="14"/>
      <c r="X247" s="45"/>
      <c r="Y247" s="77"/>
      <c r="Z247" s="77"/>
      <c r="AA247" s="77"/>
      <c r="AB247" s="77"/>
      <c r="AC247" s="77"/>
      <c r="AD247" s="77"/>
      <c r="AE247" s="77"/>
      <c r="AF247" s="77"/>
      <c r="AG247" s="77"/>
    </row>
    <row r="248" spans="1:33">
      <c r="A248" s="21" t="s">
        <v>70</v>
      </c>
      <c r="B248" s="43"/>
      <c r="C248" s="14"/>
      <c r="D248" s="14"/>
      <c r="E248" s="14"/>
      <c r="F248" s="14"/>
      <c r="G248" s="14"/>
      <c r="H248" s="14"/>
      <c r="I248" s="14"/>
      <c r="J248" s="14"/>
      <c r="K248" s="14"/>
      <c r="L248" s="45"/>
      <c r="M248" s="77"/>
      <c r="N248" s="43"/>
      <c r="O248" s="14"/>
      <c r="P248" s="14"/>
      <c r="Q248" s="14"/>
      <c r="R248" s="14"/>
      <c r="S248" s="14"/>
      <c r="T248" s="14"/>
      <c r="U248" s="14"/>
      <c r="V248" s="14"/>
      <c r="W248" s="14"/>
      <c r="X248" s="45"/>
      <c r="Y248" s="77"/>
      <c r="Z248" s="77"/>
      <c r="AA248" s="77"/>
      <c r="AB248" s="77"/>
      <c r="AC248" s="77"/>
      <c r="AD248" s="77"/>
      <c r="AE248" s="77"/>
      <c r="AF248" s="77"/>
      <c r="AG248" s="77"/>
    </row>
    <row r="249" spans="1:33">
      <c r="B249" s="43"/>
      <c r="C249" s="14"/>
      <c r="D249" s="14">
        <f>SQRT((1/120)/(E193^2/E196))</f>
        <v>0.4661158317406382</v>
      </c>
      <c r="E249" s="14"/>
      <c r="F249" s="14"/>
      <c r="G249" s="29" t="s">
        <v>132</v>
      </c>
      <c r="H249" s="14">
        <f>I196</f>
        <v>40.546799999999998</v>
      </c>
      <c r="I249" s="14"/>
      <c r="J249" s="14"/>
      <c r="K249" s="14"/>
      <c r="L249" s="45"/>
      <c r="M249" s="77"/>
      <c r="N249" s="43"/>
      <c r="O249" s="14"/>
      <c r="P249" s="14">
        <f>SQRT((1/120)/(E193^2/E196))</f>
        <v>0.4661158317406382</v>
      </c>
      <c r="Q249" s="14"/>
      <c r="R249" s="14"/>
      <c r="S249" s="29" t="s">
        <v>132</v>
      </c>
      <c r="T249" s="14">
        <f>ROUND(SQRT((I193)/(C195-2)),4)</f>
        <v>40.546799999999998</v>
      </c>
      <c r="U249" s="14"/>
      <c r="V249" s="14"/>
      <c r="W249" s="14"/>
      <c r="X249" s="45"/>
      <c r="Y249" s="77"/>
      <c r="Z249" s="77"/>
      <c r="AA249" s="77"/>
      <c r="AB249" s="77"/>
      <c r="AC249" s="77"/>
      <c r="AD249" s="77"/>
      <c r="AE249" s="77"/>
      <c r="AF249" s="77"/>
      <c r="AG249" s="77"/>
    </row>
    <row r="250" spans="1:33">
      <c r="B250" s="43"/>
      <c r="C250" s="14"/>
      <c r="D250" s="14"/>
      <c r="E250" s="14"/>
      <c r="F250" s="14"/>
      <c r="G250" s="14"/>
      <c r="H250" s="14"/>
      <c r="I250" s="14"/>
      <c r="J250" s="14"/>
      <c r="K250" s="14"/>
      <c r="L250" s="45"/>
      <c r="M250" s="77"/>
      <c r="N250" s="43"/>
      <c r="O250" s="14"/>
      <c r="P250" s="14"/>
      <c r="Q250" s="14"/>
      <c r="R250" s="14"/>
      <c r="S250" s="14"/>
      <c r="T250" s="14"/>
      <c r="U250" s="14"/>
      <c r="V250" s="14"/>
      <c r="W250" s="14"/>
      <c r="X250" s="45"/>
      <c r="Y250" s="77"/>
      <c r="Z250" s="77"/>
      <c r="AA250" s="77"/>
      <c r="AB250" s="77"/>
      <c r="AC250" s="77"/>
      <c r="AD250" s="77"/>
      <c r="AE250" s="77"/>
      <c r="AF250" s="77"/>
      <c r="AG250" s="77"/>
    </row>
    <row r="251" spans="1:33">
      <c r="B251" s="43"/>
      <c r="C251" s="14"/>
      <c r="D251" s="14"/>
      <c r="E251" s="14"/>
      <c r="F251" s="14"/>
      <c r="G251" s="14"/>
      <c r="H251" s="14"/>
      <c r="I251" s="14"/>
      <c r="J251" s="14"/>
      <c r="K251" s="14"/>
      <c r="L251" s="45"/>
      <c r="M251" s="77"/>
      <c r="N251" s="43"/>
      <c r="O251" s="14"/>
      <c r="P251" s="14"/>
      <c r="Q251" s="14"/>
      <c r="R251" s="14"/>
      <c r="S251" s="14"/>
      <c r="T251" s="14"/>
      <c r="U251" s="14"/>
      <c r="V251" s="14"/>
      <c r="W251" s="14"/>
      <c r="X251" s="45"/>
      <c r="Y251" s="77"/>
      <c r="Z251" s="77"/>
      <c r="AA251" s="77"/>
      <c r="AB251" s="77"/>
      <c r="AC251" s="77"/>
      <c r="AD251" s="77"/>
      <c r="AE251" s="77"/>
      <c r="AF251" s="77"/>
      <c r="AG251" s="77"/>
    </row>
    <row r="252" spans="1:33">
      <c r="B252" s="43"/>
      <c r="C252" s="44" t="s">
        <v>105</v>
      </c>
      <c r="D252" s="14">
        <v>0.05</v>
      </c>
      <c r="E252" s="14"/>
      <c r="F252" s="14"/>
      <c r="G252" s="29" t="s">
        <v>108</v>
      </c>
      <c r="H252" s="14" t="str">
        <f>"]-∞;-"&amp;ROUND(D254,4)&amp;"[ U ]"&amp;ROUND(D254,4)&amp;";+∞["</f>
        <v>]-∞;-2,23[ U ]2,23;+∞[</v>
      </c>
      <c r="I252" s="14"/>
      <c r="J252" s="14"/>
      <c r="K252" s="14"/>
      <c r="L252" s="45"/>
      <c r="M252" s="77"/>
      <c r="N252" s="43"/>
      <c r="O252" s="44" t="s">
        <v>105</v>
      </c>
      <c r="P252" s="14">
        <v>0.01</v>
      </c>
      <c r="Q252" s="14"/>
      <c r="R252" s="14"/>
      <c r="S252" s="29" t="s">
        <v>108</v>
      </c>
      <c r="T252" s="14" t="str">
        <f>"]-∞;-"&amp;ROUND(P254,4)&amp;"[ U ]"&amp;ROUND(P254,4)&amp;";+∞["</f>
        <v>]-∞;-3,17[ U ]3,17;+∞[</v>
      </c>
      <c r="U252" s="14"/>
      <c r="V252" s="14"/>
      <c r="W252" s="14"/>
      <c r="X252" s="45"/>
      <c r="Y252" s="77"/>
      <c r="Z252" s="77"/>
      <c r="AA252" s="77"/>
      <c r="AB252" s="77"/>
      <c r="AC252" s="77"/>
      <c r="AD252" s="77"/>
      <c r="AE252" s="77"/>
      <c r="AF252" s="77"/>
      <c r="AG252" s="77"/>
    </row>
    <row r="253" spans="1:33">
      <c r="B253" s="43"/>
      <c r="C253" s="44"/>
      <c r="D253" s="14"/>
      <c r="E253" s="14"/>
      <c r="F253" s="14"/>
      <c r="G253" s="14"/>
      <c r="H253" s="14"/>
      <c r="I253" s="14"/>
      <c r="J253" s="14"/>
      <c r="K253" s="14"/>
      <c r="L253" s="45"/>
      <c r="M253" s="77"/>
      <c r="N253" s="43"/>
      <c r="O253" s="44"/>
      <c r="P253" s="14"/>
      <c r="Q253" s="14"/>
      <c r="R253" s="14"/>
      <c r="S253" s="14"/>
      <c r="T253" s="14"/>
      <c r="U253" s="14"/>
      <c r="V253" s="14"/>
      <c r="W253" s="14"/>
      <c r="X253" s="45"/>
      <c r="Y253" s="77"/>
      <c r="Z253" s="77"/>
      <c r="AA253" s="77"/>
      <c r="AB253" s="77"/>
      <c r="AC253" s="77"/>
      <c r="AD253" s="77"/>
      <c r="AE253" s="77"/>
      <c r="AF253" s="77"/>
      <c r="AG253" s="77"/>
    </row>
    <row r="254" spans="1:33">
      <c r="B254" s="43"/>
      <c r="C254" s="14"/>
      <c r="D254" s="14">
        <f>ROUND(_xlfn.T.INV(1-D252/2,17-(6+1)),2)</f>
        <v>2.23</v>
      </c>
      <c r="E254" s="14"/>
      <c r="F254" s="14"/>
      <c r="G254" s="14"/>
      <c r="H254" s="14"/>
      <c r="I254" s="14"/>
      <c r="J254" s="14"/>
      <c r="K254" s="14"/>
      <c r="L254" s="45"/>
      <c r="M254" s="77"/>
      <c r="N254" s="43"/>
      <c r="O254" s="14"/>
      <c r="P254" s="14">
        <f>ROUND(_xlfn.T.INV(1-P252/2,17-(6+1)),2)</f>
        <v>3.17</v>
      </c>
      <c r="Q254" s="14"/>
      <c r="R254" s="14"/>
      <c r="S254" s="14"/>
      <c r="T254" s="14"/>
      <c r="U254" s="14"/>
      <c r="V254" s="14"/>
      <c r="W254" s="14"/>
      <c r="X254" s="45"/>
      <c r="Y254" s="77"/>
      <c r="Z254" s="77"/>
      <c r="AA254" s="77"/>
      <c r="AB254" s="77"/>
      <c r="AC254" s="77"/>
      <c r="AD254" s="77"/>
      <c r="AE254" s="77"/>
      <c r="AF254" s="77"/>
      <c r="AG254" s="77"/>
    </row>
    <row r="255" spans="1:33">
      <c r="B255" s="43"/>
      <c r="C255" s="29"/>
      <c r="D255" s="14"/>
      <c r="E255" s="14"/>
      <c r="F255" s="14"/>
      <c r="G255" s="14"/>
      <c r="H255" s="14"/>
      <c r="I255" s="14"/>
      <c r="J255" s="14"/>
      <c r="K255" s="14"/>
      <c r="L255" s="45"/>
      <c r="M255" s="77"/>
      <c r="N255" s="43"/>
      <c r="O255" s="29"/>
      <c r="P255" s="14"/>
      <c r="Q255" s="14"/>
      <c r="R255" s="14"/>
      <c r="S255" s="14"/>
      <c r="T255" s="14"/>
      <c r="U255" s="14"/>
      <c r="V255" s="14"/>
      <c r="W255" s="14"/>
      <c r="X255" s="45"/>
      <c r="Y255" s="77"/>
      <c r="Z255" s="77"/>
      <c r="AA255" s="77"/>
      <c r="AB255" s="77"/>
      <c r="AC255" s="77"/>
      <c r="AD255" s="77"/>
      <c r="AE255" s="77"/>
      <c r="AF255" s="77"/>
      <c r="AG255" s="77"/>
    </row>
    <row r="256" spans="1:33">
      <c r="B256" s="43"/>
      <c r="C256" s="14"/>
      <c r="D256" s="14"/>
      <c r="E256" s="14"/>
      <c r="F256" s="14"/>
      <c r="G256" s="14"/>
      <c r="H256" s="14"/>
      <c r="I256" s="14"/>
      <c r="J256" s="14"/>
      <c r="K256" s="14"/>
      <c r="L256" s="45"/>
      <c r="M256" s="77"/>
      <c r="N256" s="43"/>
      <c r="O256" s="14"/>
      <c r="P256" s="14"/>
      <c r="Q256" s="14"/>
      <c r="R256" s="14"/>
      <c r="S256" s="14"/>
      <c r="T256" s="14"/>
      <c r="U256" s="14"/>
      <c r="V256" s="14"/>
      <c r="W256" s="14"/>
      <c r="X256" s="45"/>
      <c r="Y256" s="77"/>
      <c r="Z256" s="77"/>
      <c r="AA256" s="77"/>
      <c r="AB256" s="77"/>
      <c r="AC256" s="77"/>
      <c r="AD256" s="77"/>
      <c r="AE256" s="77"/>
      <c r="AF256" s="77"/>
      <c r="AG256" s="77"/>
    </row>
    <row r="257" spans="1:33">
      <c r="B257" s="43"/>
      <c r="C257" s="14"/>
      <c r="D257" s="14"/>
      <c r="E257" s="14"/>
      <c r="F257" s="14"/>
      <c r="G257" s="14"/>
      <c r="H257" s="14"/>
      <c r="I257" s="14"/>
      <c r="J257" s="14"/>
      <c r="K257" s="14"/>
      <c r="L257" s="45"/>
      <c r="M257" s="77"/>
      <c r="N257" s="43"/>
      <c r="O257" s="14"/>
      <c r="P257" s="14"/>
      <c r="Q257" s="14"/>
      <c r="R257" s="14"/>
      <c r="S257" s="14"/>
      <c r="T257" s="14"/>
      <c r="U257" s="14"/>
      <c r="V257" s="14"/>
      <c r="W257" s="14"/>
      <c r="X257" s="45"/>
      <c r="Y257" s="77"/>
      <c r="Z257" s="77"/>
      <c r="AA257" s="77"/>
      <c r="AB257" s="77"/>
      <c r="AC257" s="77"/>
      <c r="AD257" s="77"/>
      <c r="AE257" s="77"/>
      <c r="AF257" s="77"/>
      <c r="AG257" s="77"/>
    </row>
    <row r="258" spans="1:33">
      <c r="B258" s="43"/>
      <c r="C258" s="29" t="s">
        <v>106</v>
      </c>
      <c r="D258" s="14">
        <f>ROUND((H247-H245)/(H249*D249),4)</f>
        <v>-5.4149000000000003</v>
      </c>
      <c r="E258" s="14"/>
      <c r="F258" s="14"/>
      <c r="G258" s="14"/>
      <c r="H258" s="14"/>
      <c r="I258" s="14"/>
      <c r="J258" s="14"/>
      <c r="K258" s="14"/>
      <c r="L258" s="45"/>
      <c r="M258" s="77"/>
      <c r="N258" s="43"/>
      <c r="O258" s="29" t="s">
        <v>106</v>
      </c>
      <c r="P258" s="14">
        <f>ROUND((H247-H245)/(H249*D249),4)</f>
        <v>-5.4149000000000003</v>
      </c>
      <c r="Q258" s="14"/>
      <c r="R258" s="14"/>
      <c r="S258" s="14"/>
      <c r="T258" s="14"/>
      <c r="U258" s="14"/>
      <c r="V258" s="14"/>
      <c r="W258" s="14"/>
      <c r="X258" s="45"/>
      <c r="Y258" s="77"/>
      <c r="Z258" s="77"/>
      <c r="AA258" s="77"/>
      <c r="AB258" s="77"/>
      <c r="AC258" s="77"/>
      <c r="AD258" s="77"/>
      <c r="AE258" s="77"/>
      <c r="AF258" s="77"/>
      <c r="AG258" s="77"/>
    </row>
    <row r="259" spans="1:33">
      <c r="B259" s="43"/>
      <c r="C259" s="29" t="s">
        <v>107</v>
      </c>
      <c r="D259" s="14">
        <f>ABS(D258)</f>
        <v>5.4149000000000003</v>
      </c>
      <c r="E259" s="14"/>
      <c r="F259" s="14"/>
      <c r="G259" s="14"/>
      <c r="H259" s="14"/>
      <c r="I259" s="14"/>
      <c r="J259" s="14"/>
      <c r="K259" s="14"/>
      <c r="L259" s="45"/>
      <c r="M259" s="77"/>
      <c r="N259" s="43"/>
      <c r="O259" s="29" t="s">
        <v>107</v>
      </c>
      <c r="P259" s="14">
        <f>ABS(P258)</f>
        <v>5.4149000000000003</v>
      </c>
      <c r="Q259" s="14"/>
      <c r="R259" s="14"/>
      <c r="S259" s="14"/>
      <c r="T259" s="14"/>
      <c r="U259" s="14"/>
      <c r="V259" s="14"/>
      <c r="W259" s="14"/>
      <c r="X259" s="45"/>
      <c r="Y259" s="77"/>
      <c r="Z259" s="77"/>
      <c r="AA259" s="77"/>
      <c r="AB259" s="77"/>
      <c r="AC259" s="77"/>
      <c r="AD259" s="77"/>
      <c r="AE259" s="77"/>
      <c r="AF259" s="77"/>
      <c r="AG259" s="77"/>
    </row>
    <row r="260" spans="1:33" ht="13.5" thickBot="1">
      <c r="B260" s="47" t="str">
        <f>IF(ABS(D258)&gt;ROUND(D254,4), "Como |"&amp;ROUND(D258,2)&amp;"| &gt; "&amp;ROUND(D254,4)&amp;" então rejeita-se H0, logo a um nível de significância de "&amp;D252*100&amp;"% há evidencia estatística suficiente para se concluir que a é não nulo","Como |"&amp;ROUND(D258,2)&amp;"|  ≤ "&amp;ROUND(D254,4)&amp;" então não se rejeita H0, logo a um nível de significância de "&amp;D252*100&amp;"% há evidencia estatística suficiente para se concluir que a é nulo")</f>
        <v>Como |-5,41| &gt; 2,23 então rejeita-se H0, logo a um nível de significância de 5% há evidencia estatística suficiente para se concluir que a é não nulo</v>
      </c>
      <c r="C260" s="28"/>
      <c r="D260" s="28"/>
      <c r="E260" s="28"/>
      <c r="F260" s="28"/>
      <c r="G260" s="28"/>
      <c r="H260" s="28"/>
      <c r="I260" s="28"/>
      <c r="J260" s="28"/>
      <c r="K260" s="49"/>
      <c r="L260" s="49"/>
      <c r="M260" s="77"/>
      <c r="N260" s="47" t="str">
        <f>IF(ABS(P258)&gt;ROUND(P254,4), "Como |"&amp;ROUND(P258,2)&amp;"| &gt; "&amp;ROUND(P254,4)&amp;" então rejeita-se H0, logo a um nível de significância de "&amp;P252*100&amp;"% há evidencia estatística suficiente para se concluir que a é não nulo","Como |"&amp;ROUND(P258,2)&amp;"|  ≤ "&amp;ROUND(P254,4)&amp;" então não se rejeita H0, logo a um nível de significância de "&amp;P252*100&amp;"% há evidencia estatística suficiente para se concluir que beta2 é nulo")</f>
        <v>Como |-5,41| &gt; 3,17 então rejeita-se H0, logo a um nível de significância de 1% há evidencia estatística suficiente para se concluir que a é não nulo</v>
      </c>
      <c r="O260" s="28"/>
      <c r="P260" s="28"/>
      <c r="Q260" s="28"/>
      <c r="R260" s="28"/>
      <c r="S260" s="28"/>
      <c r="T260" s="28"/>
      <c r="U260" s="28"/>
      <c r="V260" s="28"/>
      <c r="W260" s="49"/>
      <c r="X260" s="49"/>
      <c r="Y260" s="77"/>
      <c r="Z260" s="77"/>
      <c r="AA260" s="77"/>
      <c r="AB260" s="77"/>
      <c r="AC260" s="77"/>
      <c r="AD260" s="77"/>
      <c r="AE260" s="77"/>
      <c r="AF260" s="77"/>
      <c r="AG260" s="77"/>
    </row>
    <row r="261" spans="1:33" ht="13.5" thickBot="1"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</row>
    <row r="262" spans="1:33">
      <c r="B262" s="39"/>
      <c r="C262" s="41"/>
      <c r="D262" s="41"/>
      <c r="E262" s="41"/>
      <c r="F262" s="41"/>
      <c r="G262" s="41"/>
      <c r="H262" s="41"/>
      <c r="I262" s="41"/>
      <c r="J262" s="41"/>
      <c r="K262" s="41"/>
      <c r="L262" s="42"/>
      <c r="M262" s="77"/>
      <c r="N262" s="39"/>
      <c r="O262" s="41"/>
      <c r="P262" s="41"/>
      <c r="Q262" s="41"/>
      <c r="R262" s="41"/>
      <c r="S262" s="41"/>
      <c r="T262" s="41"/>
      <c r="U262" s="41"/>
      <c r="V262" s="41"/>
      <c r="W262" s="41"/>
      <c r="X262" s="42"/>
      <c r="Y262" s="77"/>
      <c r="Z262" s="77"/>
      <c r="AA262" s="77"/>
      <c r="AB262" s="77"/>
      <c r="AC262" s="77"/>
      <c r="AD262" s="77"/>
      <c r="AE262" s="77"/>
      <c r="AF262" s="77"/>
      <c r="AG262" s="77"/>
    </row>
    <row r="263" spans="1:33">
      <c r="A263" s="21" t="s">
        <v>103</v>
      </c>
      <c r="B263" s="43"/>
      <c r="C263" s="14"/>
      <c r="D263" s="14"/>
      <c r="E263" s="14"/>
      <c r="F263" s="14"/>
      <c r="G263" s="29" t="str">
        <f>A266&amp;"0="</f>
        <v>b0=</v>
      </c>
      <c r="H263" s="14">
        <v>0</v>
      </c>
      <c r="I263" s="14"/>
      <c r="J263" s="14"/>
      <c r="K263" s="14"/>
      <c r="L263" s="45"/>
      <c r="M263" s="77"/>
      <c r="N263" s="43"/>
      <c r="O263" s="14"/>
      <c r="P263" s="14"/>
      <c r="Q263" s="14"/>
      <c r="R263" s="14"/>
      <c r="S263" s="29" t="str">
        <f>M266&amp;"0="</f>
        <v>0=</v>
      </c>
      <c r="T263" s="14">
        <v>0</v>
      </c>
      <c r="U263" s="14"/>
      <c r="V263" s="14"/>
      <c r="W263" s="14"/>
      <c r="X263" s="45"/>
      <c r="Y263" s="77"/>
      <c r="Z263" s="77"/>
      <c r="AA263" s="77"/>
      <c r="AB263" s="77"/>
      <c r="AC263" s="77"/>
      <c r="AD263" s="77"/>
      <c r="AE263" s="77"/>
      <c r="AF263" s="77"/>
      <c r="AG263" s="77"/>
    </row>
    <row r="264" spans="1:33">
      <c r="A264" s="21" t="s">
        <v>83</v>
      </c>
      <c r="B264" s="43"/>
      <c r="C264" s="14"/>
      <c r="D264" s="14"/>
      <c r="E264" s="14"/>
      <c r="F264" s="14"/>
      <c r="G264" s="14"/>
      <c r="H264" s="14"/>
      <c r="I264" s="14"/>
      <c r="J264" s="14"/>
      <c r="K264" s="14"/>
      <c r="L264" s="45"/>
      <c r="M264" s="77"/>
      <c r="N264" s="43"/>
      <c r="O264" s="14"/>
      <c r="P264" s="14"/>
      <c r="Q264" s="14"/>
      <c r="R264" s="14"/>
      <c r="S264" s="14"/>
      <c r="T264" s="14"/>
      <c r="U264" s="14"/>
      <c r="V264" s="14"/>
      <c r="W264" s="14"/>
      <c r="X264" s="45"/>
      <c r="Y264" s="77"/>
      <c r="Z264" s="77"/>
      <c r="AA264" s="77"/>
      <c r="AB264" s="77"/>
      <c r="AC264" s="77"/>
      <c r="AD264" s="77"/>
      <c r="AE264" s="77"/>
      <c r="AF264" s="77"/>
      <c r="AG264" s="77"/>
    </row>
    <row r="265" spans="1:33">
      <c r="A265" s="21" t="s">
        <v>104</v>
      </c>
      <c r="B265" s="43"/>
      <c r="C265" s="14"/>
      <c r="D265" s="14"/>
      <c r="E265" s="14"/>
      <c r="F265" s="14"/>
      <c r="G265" s="14"/>
      <c r="H265" s="14">
        <f>K193</f>
        <v>10055.7127</v>
      </c>
      <c r="I265" s="14"/>
      <c r="J265" s="14"/>
      <c r="K265" s="14"/>
      <c r="L265" s="45"/>
      <c r="M265" s="77"/>
      <c r="N265" s="43"/>
      <c r="O265" s="14"/>
      <c r="P265" s="14"/>
      <c r="Q265" s="14"/>
      <c r="R265" s="14"/>
      <c r="S265" s="14"/>
      <c r="T265" s="14">
        <f>K193</f>
        <v>10055.7127</v>
      </c>
      <c r="U265" s="14"/>
      <c r="V265" s="14"/>
      <c r="W265" s="14"/>
      <c r="X265" s="45"/>
      <c r="Y265" s="77"/>
      <c r="Z265" s="77"/>
      <c r="AA265" s="77"/>
      <c r="AB265" s="77"/>
      <c r="AC265" s="77"/>
      <c r="AD265" s="77"/>
      <c r="AE265" s="77"/>
      <c r="AF265" s="77"/>
      <c r="AG265" s="77"/>
    </row>
    <row r="266" spans="1:33">
      <c r="A266" s="21" t="s">
        <v>71</v>
      </c>
      <c r="B266" s="43"/>
      <c r="C266" s="14"/>
      <c r="D266" s="14"/>
      <c r="E266" s="14"/>
      <c r="F266" s="14"/>
      <c r="G266" s="14"/>
      <c r="H266" s="14"/>
      <c r="I266" s="14"/>
      <c r="J266" s="14"/>
      <c r="K266" s="14"/>
      <c r="L266" s="45"/>
      <c r="M266" s="77"/>
      <c r="N266" s="43"/>
      <c r="O266" s="14"/>
      <c r="P266" s="14"/>
      <c r="Q266" s="14"/>
      <c r="R266" s="14"/>
      <c r="S266" s="14"/>
      <c r="T266" s="14"/>
      <c r="U266" s="14"/>
      <c r="V266" s="14"/>
      <c r="W266" s="14"/>
      <c r="X266" s="45"/>
      <c r="Y266" s="77"/>
      <c r="Z266" s="77"/>
      <c r="AA266" s="77"/>
      <c r="AB266" s="77"/>
      <c r="AC266" s="77"/>
      <c r="AD266" s="77"/>
      <c r="AE266" s="77"/>
      <c r="AF266" s="77"/>
      <c r="AG266" s="77"/>
    </row>
    <row r="267" spans="1:33">
      <c r="B267" s="43"/>
      <c r="C267" s="14"/>
      <c r="D267" s="14">
        <f>SQRT(1/E196)</f>
        <v>5.3364133089177948</v>
      </c>
      <c r="E267" s="14"/>
      <c r="F267" s="14"/>
      <c r="G267" s="29" t="s">
        <v>132</v>
      </c>
      <c r="H267" s="14">
        <f>I196</f>
        <v>40.546799999999998</v>
      </c>
      <c r="I267" s="14"/>
      <c r="J267" s="14"/>
      <c r="K267" s="14"/>
      <c r="L267" s="45"/>
      <c r="M267" s="77"/>
      <c r="N267" s="43"/>
      <c r="O267" s="14"/>
      <c r="P267" s="14">
        <f>SQRT(1/E196)</f>
        <v>5.3364133089177948</v>
      </c>
      <c r="Q267" s="14"/>
      <c r="R267" s="14"/>
      <c r="S267" s="29" t="s">
        <v>132</v>
      </c>
      <c r="T267" s="14">
        <f>ROUND(SQRT((I193)/(C195-2)),4)</f>
        <v>40.546799999999998</v>
      </c>
      <c r="U267" s="14"/>
      <c r="V267" s="14"/>
      <c r="W267" s="14"/>
      <c r="X267" s="45"/>
      <c r="Y267" s="77"/>
      <c r="Z267" s="77"/>
      <c r="AA267" s="77"/>
      <c r="AB267" s="77"/>
      <c r="AC267" s="77"/>
      <c r="AD267" s="77"/>
      <c r="AE267" s="77"/>
      <c r="AF267" s="77"/>
      <c r="AG267" s="77"/>
    </row>
    <row r="268" spans="1:33">
      <c r="B268" s="43"/>
      <c r="C268" s="14"/>
      <c r="D268" s="14"/>
      <c r="E268" s="14"/>
      <c r="F268" s="14"/>
      <c r="G268" s="14"/>
      <c r="H268" s="14"/>
      <c r="I268" s="14"/>
      <c r="J268" s="14"/>
      <c r="K268" s="14"/>
      <c r="L268" s="45"/>
      <c r="M268" s="77"/>
      <c r="N268" s="43"/>
      <c r="O268" s="14"/>
      <c r="P268" s="14"/>
      <c r="Q268" s="14"/>
      <c r="R268" s="14"/>
      <c r="S268" s="14"/>
      <c r="T268" s="14"/>
      <c r="U268" s="14"/>
      <c r="V268" s="14"/>
      <c r="W268" s="14"/>
      <c r="X268" s="45"/>
      <c r="Y268" s="77"/>
      <c r="Z268" s="77"/>
      <c r="AA268" s="77"/>
      <c r="AB268" s="77"/>
      <c r="AC268" s="77"/>
      <c r="AD268" s="77"/>
      <c r="AE268" s="77"/>
      <c r="AF268" s="77"/>
      <c r="AG268" s="77"/>
    </row>
    <row r="269" spans="1:33">
      <c r="B269" s="43"/>
      <c r="C269" s="14"/>
      <c r="D269" s="14"/>
      <c r="E269" s="14"/>
      <c r="F269" s="14"/>
      <c r="G269" s="14"/>
      <c r="H269" s="14"/>
      <c r="I269" s="14"/>
      <c r="J269" s="14"/>
      <c r="K269" s="14"/>
      <c r="L269" s="45"/>
      <c r="M269" s="77"/>
      <c r="N269" s="43"/>
      <c r="O269" s="14"/>
      <c r="P269" s="14"/>
      <c r="Q269" s="14"/>
      <c r="R269" s="14"/>
      <c r="S269" s="14"/>
      <c r="T269" s="14"/>
      <c r="U269" s="14"/>
      <c r="V269" s="14"/>
      <c r="W269" s="14"/>
      <c r="X269" s="45"/>
      <c r="Y269" s="77"/>
      <c r="Z269" s="77"/>
      <c r="AA269" s="77"/>
      <c r="AB269" s="77"/>
      <c r="AC269" s="77"/>
      <c r="AD269" s="77"/>
      <c r="AE269" s="77"/>
      <c r="AF269" s="77"/>
      <c r="AG269" s="77"/>
    </row>
    <row r="270" spans="1:33">
      <c r="B270" s="43"/>
      <c r="C270" s="44" t="s">
        <v>105</v>
      </c>
      <c r="D270" s="14">
        <v>0.05</v>
      </c>
      <c r="E270" s="14"/>
      <c r="F270" s="14"/>
      <c r="G270" s="29" t="s">
        <v>108</v>
      </c>
      <c r="H270" s="14" t="str">
        <f>"]-∞;-"&amp;ROUND(D272,4)&amp;"[ U ]"&amp;ROUND(D272,4)&amp;";+∞["</f>
        <v>]-∞;-2,23[ U ]2,23;+∞[</v>
      </c>
      <c r="I270" s="14"/>
      <c r="J270" s="14"/>
      <c r="K270" s="14"/>
      <c r="L270" s="45"/>
      <c r="M270" s="77"/>
      <c r="N270" s="43"/>
      <c r="O270" s="44" t="s">
        <v>105</v>
      </c>
      <c r="P270" s="14">
        <v>0.01</v>
      </c>
      <c r="Q270" s="14"/>
      <c r="R270" s="14"/>
      <c r="S270" s="29" t="s">
        <v>108</v>
      </c>
      <c r="T270" s="14" t="str">
        <f>"]-∞;-"&amp;ROUND(P272,4)&amp;"[ U ]"&amp;ROUND(P272,4)&amp;";+∞["</f>
        <v>]-∞;-3,17[ U ]3,17;+∞[</v>
      </c>
      <c r="U270" s="14"/>
      <c r="V270" s="14"/>
      <c r="W270" s="14"/>
      <c r="X270" s="45"/>
      <c r="Y270" s="77"/>
      <c r="Z270" s="77"/>
      <c r="AA270" s="77"/>
      <c r="AB270" s="77"/>
      <c r="AC270" s="77"/>
      <c r="AD270" s="77"/>
      <c r="AE270" s="77"/>
      <c r="AF270" s="77"/>
      <c r="AG270" s="77"/>
    </row>
    <row r="271" spans="1:33">
      <c r="B271" s="43"/>
      <c r="C271" s="44"/>
      <c r="D271" s="14"/>
      <c r="E271" s="14"/>
      <c r="F271" s="14"/>
      <c r="G271" s="14"/>
      <c r="H271" s="14"/>
      <c r="I271" s="14"/>
      <c r="J271" s="14"/>
      <c r="K271" s="14"/>
      <c r="L271" s="45"/>
      <c r="M271" s="77"/>
      <c r="N271" s="43"/>
      <c r="O271" s="44"/>
      <c r="P271" s="14"/>
      <c r="Q271" s="14"/>
      <c r="R271" s="14"/>
      <c r="S271" s="14"/>
      <c r="T271" s="14"/>
      <c r="U271" s="14"/>
      <c r="V271" s="14"/>
      <c r="W271" s="14"/>
      <c r="X271" s="45"/>
      <c r="Y271" s="77"/>
      <c r="Z271" s="77"/>
      <c r="AA271" s="77"/>
      <c r="AB271" s="77"/>
      <c r="AC271" s="77"/>
      <c r="AD271" s="77"/>
      <c r="AE271" s="77"/>
      <c r="AF271" s="77"/>
      <c r="AG271" s="77"/>
    </row>
    <row r="272" spans="1:33">
      <c r="B272" s="43"/>
      <c r="C272" s="14"/>
      <c r="D272" s="14">
        <f>ROUND(_xlfn.T.INV(1-D270/2,17-(6+1)),2)</f>
        <v>2.23</v>
      </c>
      <c r="E272" s="14"/>
      <c r="F272" s="14"/>
      <c r="G272" s="14"/>
      <c r="H272" s="14"/>
      <c r="I272" s="14"/>
      <c r="J272" s="14"/>
      <c r="K272" s="14"/>
      <c r="L272" s="45"/>
      <c r="M272" s="77"/>
      <c r="N272" s="43"/>
      <c r="O272" s="14"/>
      <c r="P272" s="14">
        <f>ROUND(_xlfn.T.INV(1-P270/2,17-(6+1)),2)</f>
        <v>3.17</v>
      </c>
      <c r="Q272" s="14"/>
      <c r="R272" s="14"/>
      <c r="S272" s="14"/>
      <c r="T272" s="14"/>
      <c r="U272" s="14"/>
      <c r="V272" s="14"/>
      <c r="W272" s="14"/>
      <c r="X272" s="45"/>
      <c r="Y272" s="77"/>
      <c r="Z272" s="77"/>
      <c r="AA272" s="77"/>
      <c r="AB272" s="77"/>
      <c r="AC272" s="77"/>
      <c r="AD272" s="77"/>
      <c r="AE272" s="77"/>
      <c r="AF272" s="77"/>
      <c r="AG272" s="77"/>
    </row>
    <row r="273" spans="1:33">
      <c r="B273" s="43"/>
      <c r="C273" s="29"/>
      <c r="D273" s="14"/>
      <c r="E273" s="14"/>
      <c r="F273" s="14"/>
      <c r="G273" s="14"/>
      <c r="H273" s="14"/>
      <c r="I273" s="14"/>
      <c r="J273" s="14"/>
      <c r="K273" s="14"/>
      <c r="L273" s="45"/>
      <c r="M273" s="77"/>
      <c r="N273" s="43"/>
      <c r="O273" s="29"/>
      <c r="P273" s="14"/>
      <c r="Q273" s="14"/>
      <c r="R273" s="14"/>
      <c r="S273" s="14"/>
      <c r="T273" s="14"/>
      <c r="U273" s="14"/>
      <c r="V273" s="14"/>
      <c r="W273" s="14"/>
      <c r="X273" s="45"/>
      <c r="Y273" s="77"/>
      <c r="Z273" s="77"/>
      <c r="AA273" s="77"/>
      <c r="AB273" s="77"/>
      <c r="AC273" s="77"/>
      <c r="AD273" s="77"/>
      <c r="AE273" s="77"/>
      <c r="AF273" s="77"/>
      <c r="AG273" s="77"/>
    </row>
    <row r="274" spans="1:33">
      <c r="B274" s="43"/>
      <c r="C274" s="14"/>
      <c r="D274" s="14"/>
      <c r="E274" s="14"/>
      <c r="F274" s="14"/>
      <c r="G274" s="14"/>
      <c r="H274" s="14"/>
      <c r="I274" s="14"/>
      <c r="J274" s="14"/>
      <c r="K274" s="14"/>
      <c r="L274" s="45"/>
      <c r="M274" s="77"/>
      <c r="N274" s="43"/>
      <c r="O274" s="14"/>
      <c r="P274" s="14"/>
      <c r="Q274" s="14"/>
      <c r="R274" s="14"/>
      <c r="S274" s="14"/>
      <c r="T274" s="14"/>
      <c r="U274" s="14"/>
      <c r="V274" s="14"/>
      <c r="W274" s="14"/>
      <c r="X274" s="45"/>
      <c r="Y274" s="77"/>
      <c r="Z274" s="77"/>
      <c r="AA274" s="77"/>
      <c r="AB274" s="77"/>
      <c r="AC274" s="77"/>
      <c r="AD274" s="77"/>
      <c r="AE274" s="77"/>
      <c r="AF274" s="77"/>
      <c r="AG274" s="77"/>
    </row>
    <row r="275" spans="1:33">
      <c r="B275" s="43"/>
      <c r="C275" s="14"/>
      <c r="D275" s="14"/>
      <c r="E275" s="14"/>
      <c r="F275" s="14"/>
      <c r="G275" s="14"/>
      <c r="H275" s="14"/>
      <c r="I275" s="14"/>
      <c r="J275" s="14"/>
      <c r="K275" s="14"/>
      <c r="L275" s="45"/>
      <c r="M275" s="77"/>
      <c r="N275" s="43"/>
      <c r="O275" s="14"/>
      <c r="P275" s="14"/>
      <c r="Q275" s="14"/>
      <c r="R275" s="14"/>
      <c r="S275" s="14"/>
      <c r="T275" s="14"/>
      <c r="U275" s="14"/>
      <c r="V275" s="14"/>
      <c r="W275" s="14"/>
      <c r="X275" s="45"/>
      <c r="Y275" s="77"/>
      <c r="Z275" s="77"/>
      <c r="AA275" s="77"/>
      <c r="AB275" s="77"/>
      <c r="AC275" s="77"/>
      <c r="AD275" s="77"/>
      <c r="AE275" s="77"/>
      <c r="AF275" s="77"/>
      <c r="AG275" s="77"/>
    </row>
    <row r="276" spans="1:33">
      <c r="B276" s="43"/>
      <c r="C276" s="29" t="s">
        <v>106</v>
      </c>
      <c r="D276" s="14">
        <f>ROUND((H265-H263)/(H267*D267),4)</f>
        <v>46.473700000000001</v>
      </c>
      <c r="E276" s="14"/>
      <c r="F276" s="14"/>
      <c r="G276" s="14"/>
      <c r="H276" s="14"/>
      <c r="I276" s="14"/>
      <c r="J276" s="14"/>
      <c r="K276" s="14"/>
      <c r="L276" s="45"/>
      <c r="M276" s="77"/>
      <c r="N276" s="43"/>
      <c r="O276" s="29" t="s">
        <v>106</v>
      </c>
      <c r="P276" s="14">
        <f>ROUND((H265-H263)/(H267*D267),4)</f>
        <v>46.473700000000001</v>
      </c>
      <c r="Q276" s="14"/>
      <c r="R276" s="14"/>
      <c r="S276" s="14"/>
      <c r="T276" s="14"/>
      <c r="U276" s="14"/>
      <c r="V276" s="14"/>
      <c r="W276" s="14"/>
      <c r="X276" s="45"/>
      <c r="Y276" s="77"/>
      <c r="Z276" s="77"/>
      <c r="AA276" s="77"/>
      <c r="AB276" s="77"/>
      <c r="AC276" s="77"/>
      <c r="AD276" s="77"/>
      <c r="AE276" s="77"/>
      <c r="AF276" s="77"/>
      <c r="AG276" s="77"/>
    </row>
    <row r="277" spans="1:33">
      <c r="B277" s="43"/>
      <c r="C277" s="29" t="s">
        <v>107</v>
      </c>
      <c r="D277" s="14">
        <f>ABS(D276)</f>
        <v>46.473700000000001</v>
      </c>
      <c r="E277" s="14"/>
      <c r="F277" s="14"/>
      <c r="G277" s="14"/>
      <c r="H277" s="14"/>
      <c r="I277" s="14"/>
      <c r="J277" s="14"/>
      <c r="K277" s="14"/>
      <c r="L277" s="45"/>
      <c r="M277" s="77"/>
      <c r="N277" s="43"/>
      <c r="O277" s="29" t="s">
        <v>107</v>
      </c>
      <c r="P277" s="14">
        <f>ABS(P276)</f>
        <v>46.473700000000001</v>
      </c>
      <c r="Q277" s="14"/>
      <c r="R277" s="14"/>
      <c r="S277" s="14"/>
      <c r="T277" s="14"/>
      <c r="U277" s="14"/>
      <c r="V277" s="14"/>
      <c r="W277" s="14"/>
      <c r="X277" s="45"/>
      <c r="Y277" s="77"/>
      <c r="Z277" s="77"/>
      <c r="AA277" s="77"/>
      <c r="AB277" s="77"/>
      <c r="AC277" s="77"/>
      <c r="AD277" s="77"/>
      <c r="AE277" s="77"/>
      <c r="AF277" s="77"/>
      <c r="AG277" s="77"/>
    </row>
    <row r="278" spans="1:33" ht="13.5" thickBot="1">
      <c r="B278" s="47" t="str">
        <f>IF(ABS(D276)&gt;ROUND(D272,4), "Como |"&amp;ROUND(D276,2)&amp;"| &gt; "&amp;ROUND(D272,4)&amp;" então rejeita-se H0, logo a um nível de significância de "&amp;D270*100&amp;"% há evidencia estatística suficiente para se concluir que b é não nulo","Como |"&amp;ROUND(D276,2)&amp;"|  ≤ "&amp;ROUND(D272,4)&amp;" então não se rejeita H0, logo a um nível de significância de "&amp;D270*100&amp;"% há evidencia estatística suficiente para se concluir que beta2 é nulo")</f>
        <v>Como |46,47| &gt; 2,23 então rejeita-se H0, logo a um nível de significância de 5% há evidencia estatística suficiente para se concluir que b é não nulo</v>
      </c>
      <c r="C278" s="28"/>
      <c r="D278" s="28"/>
      <c r="E278" s="28"/>
      <c r="F278" s="28"/>
      <c r="G278" s="28"/>
      <c r="H278" s="28"/>
      <c r="I278" s="28"/>
      <c r="J278" s="28"/>
      <c r="K278" s="49"/>
      <c r="L278" s="49"/>
      <c r="M278" s="77"/>
      <c r="N278" s="47" t="str">
        <f>IF(ABS(P276)&gt;ROUND(P272,4), "Como |"&amp;ROUND(P276,2)&amp;"| &gt; "&amp;ROUND(P272,4)&amp;" então rejeita-se H0, logo a um nível de significância de "&amp;P270*100&amp;"% há evidencia estatística suficiente para se concluir que b é não nulo","Como |"&amp;ROUND(P276,2)&amp;"|  ≤ "&amp;ROUND(P272,4)&amp;" então não se rejeita H0, logo a um nível de significância de "&amp;P270*100&amp;"% há evidencia estatística suficiente para se concluir que beta2 é nulo")</f>
        <v>Como |46,47| &gt; 3,17 então rejeita-se H0, logo a um nível de significância de 1% há evidencia estatística suficiente para se concluir que b é não nulo</v>
      </c>
      <c r="O278" s="28"/>
      <c r="P278" s="28"/>
      <c r="Q278" s="28"/>
      <c r="R278" s="28"/>
      <c r="S278" s="28"/>
      <c r="T278" s="28"/>
      <c r="U278" s="28"/>
      <c r="V278" s="28"/>
      <c r="W278" s="49"/>
      <c r="X278" s="49"/>
      <c r="Y278" s="77"/>
      <c r="Z278" s="77"/>
      <c r="AA278" s="77"/>
      <c r="AB278" s="77"/>
      <c r="AC278" s="77"/>
      <c r="AD278" s="77"/>
      <c r="AE278" s="77"/>
      <c r="AF278" s="77"/>
      <c r="AG278" s="77"/>
    </row>
    <row r="279" spans="1:33" ht="13.5" thickBot="1"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</row>
    <row r="280" spans="1:33">
      <c r="A280" s="69" t="s">
        <v>128</v>
      </c>
      <c r="B280" s="39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2"/>
    </row>
    <row r="281" spans="1:33">
      <c r="A281" s="69" t="s">
        <v>129</v>
      </c>
      <c r="B281" s="46" t="s">
        <v>80</v>
      </c>
      <c r="C281" s="14">
        <v>0.05</v>
      </c>
      <c r="D281" s="14"/>
      <c r="E281" s="14"/>
      <c r="F281" s="14"/>
      <c r="G281" s="14"/>
      <c r="H281" s="14"/>
      <c r="I281" s="14"/>
      <c r="J281" s="14"/>
      <c r="K281" s="14"/>
      <c r="L281" s="14"/>
      <c r="M281" s="45"/>
    </row>
    <row r="282" spans="1:33">
      <c r="A282" s="69" t="s">
        <v>130</v>
      </c>
      <c r="B282" s="43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45"/>
    </row>
    <row r="283" spans="1:33">
      <c r="A283" s="69" t="s">
        <v>129</v>
      </c>
      <c r="B283" s="43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45"/>
    </row>
    <row r="284" spans="1:33">
      <c r="A284" s="69" t="s">
        <v>131</v>
      </c>
      <c r="B284" s="43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45"/>
    </row>
    <row r="285" spans="1:33">
      <c r="B285" s="46" t="s">
        <v>133</v>
      </c>
      <c r="C285" s="14">
        <f>F199</f>
        <v>2159.8052189569848</v>
      </c>
      <c r="D285" s="14"/>
      <c r="E285" s="14"/>
      <c r="F285" s="14"/>
      <c r="G285" s="14"/>
      <c r="H285" s="14"/>
      <c r="I285" s="14"/>
      <c r="J285" s="14"/>
      <c r="K285" s="14"/>
      <c r="L285" s="14"/>
      <c r="M285" s="45"/>
    </row>
    <row r="286" spans="1:33">
      <c r="B286" s="43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45"/>
    </row>
    <row r="287" spans="1:33">
      <c r="B287" s="43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45"/>
    </row>
    <row r="288" spans="1:33">
      <c r="B288" s="43" t="str">
        <f>"f(0,05);("&amp;C199&amp;","&amp;C200&amp;")="</f>
        <v>f(0,05);(1,15)=</v>
      </c>
      <c r="C288" s="14">
        <f>ROUND(_xlfn.F.INV.RT(C281,C199,C200),4)</f>
        <v>4.5430999999999999</v>
      </c>
      <c r="D288" s="14"/>
      <c r="E288" s="14"/>
      <c r="F288" s="14"/>
      <c r="G288" s="14"/>
      <c r="H288" s="14"/>
      <c r="I288" s="14"/>
      <c r="J288" s="14"/>
      <c r="K288" s="14"/>
      <c r="L288" s="14"/>
      <c r="M288" s="45"/>
    </row>
    <row r="289" spans="2:13">
      <c r="B289" s="43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45"/>
    </row>
    <row r="290" spans="2:13">
      <c r="B290" s="43" t="str">
        <f>IF(C288&lt;=C285, "R: Como  " &amp;ROUND(C288,4) &amp;" &lt; "&amp;ROUND(C285,4)&amp;" o modelo é significativo","R: Como  " &amp;ROUND(C288,4) &amp;" &gt; "&amp;ROUND(C285,4)&amp;" o modelo não é significativo" )</f>
        <v>R: Como  4,5431 &lt; 2159,8052 o modelo é significativo</v>
      </c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45"/>
    </row>
    <row r="291" spans="2:13">
      <c r="B291" s="43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45"/>
    </row>
    <row r="292" spans="2:13">
      <c r="B292" s="43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45"/>
    </row>
    <row r="293" spans="2:13">
      <c r="B293" s="43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45"/>
    </row>
    <row r="294" spans="2:13">
      <c r="B294" s="43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45"/>
    </row>
    <row r="295" spans="2:13" ht="13.5" thickBot="1">
      <c r="B295" s="47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49"/>
    </row>
  </sheetData>
  <mergeCells count="22">
    <mergeCell ref="L3:M3"/>
    <mergeCell ref="L4:M4"/>
    <mergeCell ref="N4:O4"/>
    <mergeCell ref="L34:M34"/>
    <mergeCell ref="L35:M35"/>
    <mergeCell ref="N35:O35"/>
    <mergeCell ref="L65:M65"/>
    <mergeCell ref="L66:M66"/>
    <mergeCell ref="N66:O66"/>
    <mergeCell ref="L96:M96"/>
    <mergeCell ref="L97:M97"/>
    <mergeCell ref="N97:O97"/>
    <mergeCell ref="B191:O191"/>
    <mergeCell ref="F193:G193"/>
    <mergeCell ref="F194:G194"/>
    <mergeCell ref="F195:G195"/>
    <mergeCell ref="L127:M127"/>
    <mergeCell ref="L128:M128"/>
    <mergeCell ref="N128:O128"/>
    <mergeCell ref="L158:M158"/>
    <mergeCell ref="L159:M159"/>
    <mergeCell ref="N159:O15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EAEC6-2426-4EF8-935A-303B4DAC1C2C}">
  <dimension ref="A2:EP429"/>
  <sheetViews>
    <sheetView topLeftCell="A121" zoomScale="91" zoomScaleNormal="91" workbookViewId="0">
      <selection activeCell="AB137" sqref="AB137"/>
    </sheetView>
  </sheetViews>
  <sheetFormatPr defaultRowHeight="12.75"/>
  <cols>
    <col min="1" max="1" width="10.28515625" customWidth="1"/>
    <col min="2" max="2" width="12" customWidth="1"/>
    <col min="3" max="3" width="15.42578125" customWidth="1"/>
    <col min="4" max="4" width="12.7109375" customWidth="1"/>
    <col min="5" max="5" width="12.42578125" customWidth="1"/>
    <col min="6" max="6" width="17.42578125" customWidth="1"/>
    <col min="7" max="7" width="12.28515625" customWidth="1"/>
    <col min="8" max="8" width="20.28515625" customWidth="1"/>
    <col min="9" max="9" width="11.140625" customWidth="1"/>
    <col min="10" max="10" width="13" bestFit="1" customWidth="1"/>
    <col min="11" max="12" width="9.28515625" bestFit="1" customWidth="1"/>
    <col min="14" max="15" width="13.28515625" bestFit="1" customWidth="1"/>
    <col min="16" max="16" width="13.140625" bestFit="1" customWidth="1"/>
    <col min="17" max="18" width="13.28515625" bestFit="1" customWidth="1"/>
    <col min="19" max="19" width="12.5703125" bestFit="1" customWidth="1"/>
    <col min="20" max="20" width="13.28515625" bestFit="1" customWidth="1"/>
    <col min="21" max="24" width="12.28515625" bestFit="1" customWidth="1"/>
    <col min="25" max="25" width="14.85546875" bestFit="1" customWidth="1"/>
    <col min="26" max="28" width="12.28515625" bestFit="1" customWidth="1"/>
  </cols>
  <sheetData>
    <row r="2" spans="2:146">
      <c r="B2" s="2" t="s">
        <v>10</v>
      </c>
      <c r="C2" s="2" t="s">
        <v>33</v>
      </c>
      <c r="D2" s="2" t="s">
        <v>34</v>
      </c>
      <c r="E2" s="2" t="s">
        <v>35</v>
      </c>
      <c r="F2" s="2" t="s">
        <v>36</v>
      </c>
      <c r="G2" s="2" t="s">
        <v>37</v>
      </c>
      <c r="H2" s="2" t="s">
        <v>38</v>
      </c>
      <c r="I2" s="4"/>
    </row>
    <row r="3" spans="2:146">
      <c r="B3" s="4" t="s">
        <v>1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/>
    </row>
    <row r="4" spans="2:146">
      <c r="B4" s="4">
        <v>5805</v>
      </c>
      <c r="C4" s="4">
        <v>0.82</v>
      </c>
      <c r="D4" s="4">
        <v>865</v>
      </c>
      <c r="E4" s="4">
        <v>6869</v>
      </c>
      <c r="F4" s="4">
        <v>47369</v>
      </c>
      <c r="G4" s="4">
        <v>0.2036</v>
      </c>
      <c r="H4" s="4">
        <v>80488</v>
      </c>
      <c r="I4" s="4">
        <f>ROUND($AG$140,4)+ROUND($AG$141,4)*C4+ROUND($AG$142,4)*D4+ROUND($AG$143,4)*E4+ROUND($AG$144,4)*F4+ROUND($AG$145,4)*G4+ROUND($AG$146,4)*H4</f>
        <v>7331.8436488400012</v>
      </c>
    </row>
    <row r="5" spans="2:146">
      <c r="B5" s="4">
        <v>5540</v>
      </c>
      <c r="C5" s="4">
        <v>0.76</v>
      </c>
      <c r="D5" s="4">
        <v>852</v>
      </c>
      <c r="E5" s="4">
        <v>6775</v>
      </c>
      <c r="F5" s="4">
        <v>57995</v>
      </c>
      <c r="G5" s="4">
        <v>0.19889999999999999</v>
      </c>
      <c r="H5" s="4">
        <v>82431</v>
      </c>
      <c r="I5" s="4">
        <f t="shared" ref="I5:I68" si="0">ROUND($AG$140,4)+ROUND($AG$141,4)*C5+ROUND($AG$142,4)*D5+ROUND($AG$143,4)*E5+ROUND($AG$144,4)*F5+ROUND($AG$145,4)*G5+ROUND($AG$146,4)*H5</f>
        <v>7148.8785449099996</v>
      </c>
    </row>
    <row r="6" spans="2:146">
      <c r="B6" s="4">
        <v>9083</v>
      </c>
      <c r="C6" s="4">
        <v>0.71</v>
      </c>
      <c r="D6" s="4">
        <v>877</v>
      </c>
      <c r="E6" s="4">
        <v>6684</v>
      </c>
      <c r="F6" s="4">
        <v>53401</v>
      </c>
      <c r="G6" s="4">
        <v>0.19259999999999999</v>
      </c>
      <c r="H6" s="4">
        <v>87588</v>
      </c>
      <c r="I6" s="4">
        <f t="shared" si="0"/>
        <v>6875.0973249399995</v>
      </c>
    </row>
    <row r="7" spans="2:146">
      <c r="B7" s="4">
        <v>7914</v>
      </c>
      <c r="C7" s="4">
        <v>0.67</v>
      </c>
      <c r="D7" s="4">
        <v>863</v>
      </c>
      <c r="E7" s="4">
        <v>6496</v>
      </c>
      <c r="F7" s="4">
        <v>50384</v>
      </c>
      <c r="G7" s="4">
        <v>0.17910000000000001</v>
      </c>
      <c r="H7" s="4">
        <v>96711</v>
      </c>
      <c r="I7" s="4">
        <f t="shared" si="0"/>
        <v>6136.6984622900009</v>
      </c>
    </row>
    <row r="8" spans="2:146">
      <c r="B8" s="4">
        <v>6916</v>
      </c>
      <c r="C8" s="4">
        <v>0.64</v>
      </c>
      <c r="D8" s="4">
        <v>904</v>
      </c>
      <c r="E8" s="4">
        <v>6412</v>
      </c>
      <c r="F8" s="4">
        <v>49625</v>
      </c>
      <c r="G8" s="4">
        <v>0.17030000000000001</v>
      </c>
      <c r="H8" s="4">
        <v>106652</v>
      </c>
      <c r="I8" s="4">
        <f t="shared" si="0"/>
        <v>5781.732988570001</v>
      </c>
    </row>
    <row r="9" spans="2:146">
      <c r="B9" s="4">
        <v>6132</v>
      </c>
      <c r="C9" s="4">
        <v>0.62</v>
      </c>
      <c r="D9" s="4">
        <v>891</v>
      </c>
      <c r="E9" s="4">
        <v>6158</v>
      </c>
      <c r="F9" s="4">
        <v>30356</v>
      </c>
      <c r="G9" s="4">
        <v>0.16170000000000001</v>
      </c>
      <c r="H9" s="4">
        <v>115522</v>
      </c>
      <c r="I9" s="4">
        <f t="shared" si="0"/>
        <v>5340.9960002300013</v>
      </c>
    </row>
    <row r="10" spans="2:146">
      <c r="B10" s="4">
        <v>3508</v>
      </c>
      <c r="C10" s="4">
        <v>0.59</v>
      </c>
      <c r="D10" s="4">
        <v>865</v>
      </c>
      <c r="E10" s="4">
        <v>6248</v>
      </c>
      <c r="F10" s="4">
        <v>15085</v>
      </c>
      <c r="G10" s="4">
        <v>0.14760000000000001</v>
      </c>
      <c r="H10" s="4">
        <v>116262</v>
      </c>
      <c r="I10" s="4">
        <f t="shared" si="0"/>
        <v>4082.1391334399996</v>
      </c>
    </row>
    <row r="11" spans="2:146">
      <c r="B11" s="4">
        <v>2505</v>
      </c>
      <c r="C11" s="4">
        <v>0.56000000000000005</v>
      </c>
      <c r="D11" s="4">
        <v>877</v>
      </c>
      <c r="E11" s="4">
        <v>6344</v>
      </c>
      <c r="F11" s="4">
        <v>34923</v>
      </c>
      <c r="G11" s="4">
        <v>0.1426</v>
      </c>
      <c r="H11" s="4">
        <v>118172</v>
      </c>
      <c r="I11" s="4">
        <f t="shared" si="0"/>
        <v>3805.3787849400005</v>
      </c>
    </row>
    <row r="12" spans="2:146">
      <c r="B12" s="4">
        <v>2583</v>
      </c>
      <c r="C12" s="4">
        <v>0.53</v>
      </c>
      <c r="D12" s="4">
        <v>862</v>
      </c>
      <c r="E12" s="4">
        <v>6070</v>
      </c>
      <c r="F12" s="4">
        <v>38694</v>
      </c>
      <c r="G12" s="4">
        <v>0.14180000000000001</v>
      </c>
      <c r="H12" s="4">
        <v>119614</v>
      </c>
      <c r="I12" s="4">
        <f t="shared" si="0"/>
        <v>4064.5904064200004</v>
      </c>
    </row>
    <row r="13" spans="2:146">
      <c r="B13" s="4">
        <v>4387</v>
      </c>
      <c r="C13" s="4">
        <v>0.51</v>
      </c>
      <c r="D13" s="4">
        <v>853</v>
      </c>
      <c r="E13" s="4">
        <v>5829</v>
      </c>
      <c r="F13" s="4">
        <v>37621</v>
      </c>
      <c r="G13" s="4">
        <v>0.13220000000000001</v>
      </c>
      <c r="H13" s="4">
        <v>130118</v>
      </c>
      <c r="I13" s="4">
        <f t="shared" si="0"/>
        <v>3691.4039061800004</v>
      </c>
    </row>
    <row r="14" spans="2:146">
      <c r="B14" s="4">
        <v>3480</v>
      </c>
      <c r="C14" s="4">
        <v>0.49</v>
      </c>
      <c r="D14" s="4">
        <v>836</v>
      </c>
      <c r="E14" s="4">
        <v>5570</v>
      </c>
      <c r="F14" s="4">
        <v>37347</v>
      </c>
      <c r="G14" s="4">
        <v>0.1211</v>
      </c>
      <c r="H14" s="4">
        <v>146637</v>
      </c>
      <c r="I14" s="4">
        <f t="shared" si="0"/>
        <v>3221.5429380900005</v>
      </c>
    </row>
    <row r="15" spans="2:146">
      <c r="B15" s="4">
        <v>2854</v>
      </c>
      <c r="C15" s="4">
        <v>0.48</v>
      </c>
      <c r="D15" s="4">
        <v>846</v>
      </c>
      <c r="E15" s="4">
        <v>5230</v>
      </c>
      <c r="F15" s="4">
        <v>38752</v>
      </c>
      <c r="G15" s="4">
        <v>0.10929999999999999</v>
      </c>
      <c r="H15" s="4">
        <v>171163</v>
      </c>
      <c r="I15" s="4">
        <f t="shared" si="0"/>
        <v>2916.7756546700002</v>
      </c>
    </row>
    <row r="16" spans="2:146">
      <c r="B16" s="4">
        <v>2856</v>
      </c>
      <c r="C16" s="4">
        <v>0.48</v>
      </c>
      <c r="D16" s="4">
        <v>803</v>
      </c>
      <c r="E16" s="4">
        <v>4850</v>
      </c>
      <c r="F16" s="4">
        <v>21483</v>
      </c>
      <c r="G16" s="4">
        <v>9.9000000000000005E-2</v>
      </c>
      <c r="H16" s="4">
        <v>198253</v>
      </c>
      <c r="I16" s="4">
        <f t="shared" si="0"/>
        <v>2448.5282020999998</v>
      </c>
      <c r="M16">
        <v>1</v>
      </c>
      <c r="N16" s="14">
        <f>C4</f>
        <v>0.82</v>
      </c>
      <c r="O16" s="14">
        <f t="shared" ref="O16:S16" si="1">D4</f>
        <v>865</v>
      </c>
      <c r="P16" s="14">
        <f t="shared" si="1"/>
        <v>6869</v>
      </c>
      <c r="Q16" s="14">
        <f t="shared" si="1"/>
        <v>47369</v>
      </c>
      <c r="R16" s="14">
        <f t="shared" si="1"/>
        <v>0.2036</v>
      </c>
      <c r="S16" s="14">
        <f t="shared" si="1"/>
        <v>80488</v>
      </c>
      <c r="EP16">
        <f>B4</f>
        <v>5805</v>
      </c>
    </row>
    <row r="17" spans="2:146">
      <c r="B17" s="4">
        <v>1677</v>
      </c>
      <c r="C17" s="4">
        <v>0.48</v>
      </c>
      <c r="D17" s="4">
        <v>795</v>
      </c>
      <c r="E17" s="4">
        <v>4826</v>
      </c>
      <c r="F17" s="4">
        <v>12100</v>
      </c>
      <c r="G17" s="4">
        <v>9.2100000000000001E-2</v>
      </c>
      <c r="H17" s="4">
        <v>208089</v>
      </c>
      <c r="I17" s="4">
        <f t="shared" si="0"/>
        <v>1927.7581299900003</v>
      </c>
      <c r="M17" s="13">
        <v>1</v>
      </c>
      <c r="N17" s="14">
        <f t="shared" ref="N17:S17" si="2">C5</f>
        <v>0.76</v>
      </c>
      <c r="O17" s="14">
        <f t="shared" si="2"/>
        <v>852</v>
      </c>
      <c r="P17" s="14">
        <f t="shared" si="2"/>
        <v>6775</v>
      </c>
      <c r="Q17" s="14">
        <f t="shared" si="2"/>
        <v>57995</v>
      </c>
      <c r="R17" s="14">
        <f t="shared" si="2"/>
        <v>0.19889999999999999</v>
      </c>
      <c r="S17" s="14">
        <f t="shared" si="2"/>
        <v>82431</v>
      </c>
      <c r="EP17" s="13">
        <f t="shared" ref="EP17:EP80" si="3">B5</f>
        <v>5540</v>
      </c>
    </row>
    <row r="18" spans="2:146">
      <c r="B18" s="4">
        <v>1303</v>
      </c>
      <c r="C18" s="4">
        <v>0.48</v>
      </c>
      <c r="D18" s="4">
        <v>784</v>
      </c>
      <c r="E18" s="4">
        <v>4832</v>
      </c>
      <c r="F18" s="4">
        <v>33135</v>
      </c>
      <c r="G18" s="4">
        <v>8.7300000000000003E-2</v>
      </c>
      <c r="H18" s="4">
        <v>218125</v>
      </c>
      <c r="I18" s="4">
        <f t="shared" si="0"/>
        <v>1725.0836928699991</v>
      </c>
      <c r="M18" s="13">
        <v>1</v>
      </c>
      <c r="N18" s="14">
        <f t="shared" ref="N18:S18" si="4">C6</f>
        <v>0.71</v>
      </c>
      <c r="O18" s="14">
        <f t="shared" si="4"/>
        <v>877</v>
      </c>
      <c r="P18" s="14">
        <f t="shared" si="4"/>
        <v>6684</v>
      </c>
      <c r="Q18" s="14">
        <f t="shared" si="4"/>
        <v>53401</v>
      </c>
      <c r="R18" s="14">
        <f t="shared" si="4"/>
        <v>0.19259999999999999</v>
      </c>
      <c r="S18" s="14">
        <f t="shared" si="4"/>
        <v>87588</v>
      </c>
      <c r="EP18" s="13">
        <f t="shared" si="3"/>
        <v>9083</v>
      </c>
    </row>
    <row r="19" spans="2:146">
      <c r="B19" s="4">
        <v>1502</v>
      </c>
      <c r="C19" s="4">
        <v>0.47</v>
      </c>
      <c r="D19" s="4">
        <v>752</v>
      </c>
      <c r="E19" s="4">
        <v>4482</v>
      </c>
      <c r="F19" s="4">
        <v>32083</v>
      </c>
      <c r="G19" s="4">
        <v>8.5000000000000006E-2</v>
      </c>
      <c r="H19" s="4">
        <v>223711</v>
      </c>
      <c r="I19" s="4">
        <f t="shared" si="0"/>
        <v>1898.8023725000007</v>
      </c>
      <c r="M19" s="13">
        <v>1</v>
      </c>
      <c r="N19" s="14">
        <f t="shared" ref="N19:S19" si="5">C7</f>
        <v>0.67</v>
      </c>
      <c r="O19" s="14">
        <f t="shared" si="5"/>
        <v>863</v>
      </c>
      <c r="P19" s="14">
        <f t="shared" si="5"/>
        <v>6496</v>
      </c>
      <c r="Q19" s="14">
        <f t="shared" si="5"/>
        <v>50384</v>
      </c>
      <c r="R19" s="14">
        <f t="shared" si="5"/>
        <v>0.17910000000000001</v>
      </c>
      <c r="S19" s="14">
        <f t="shared" si="5"/>
        <v>96711</v>
      </c>
      <c r="EP19" s="13">
        <f t="shared" si="3"/>
        <v>7914</v>
      </c>
    </row>
    <row r="20" spans="2:146">
      <c r="B20" s="4">
        <v>2324</v>
      </c>
      <c r="C20" s="4">
        <v>0.47</v>
      </c>
      <c r="D20" s="4">
        <v>719</v>
      </c>
      <c r="E20" s="4">
        <v>4137</v>
      </c>
      <c r="F20" s="4">
        <v>34354</v>
      </c>
      <c r="G20" s="4">
        <v>7.6399999999999996E-2</v>
      </c>
      <c r="H20" s="4">
        <v>229743</v>
      </c>
      <c r="I20" s="4">
        <f t="shared" si="0"/>
        <v>1678.0197101599997</v>
      </c>
      <c r="M20" s="13">
        <v>1</v>
      </c>
      <c r="N20" s="14">
        <f t="shared" ref="N20:S20" si="6">C8</f>
        <v>0.64</v>
      </c>
      <c r="O20" s="14">
        <f t="shared" si="6"/>
        <v>904</v>
      </c>
      <c r="P20" s="14">
        <f t="shared" si="6"/>
        <v>6412</v>
      </c>
      <c r="Q20" s="14">
        <f t="shared" si="6"/>
        <v>49625</v>
      </c>
      <c r="R20" s="14">
        <f t="shared" si="6"/>
        <v>0.17030000000000001</v>
      </c>
      <c r="S20" s="14">
        <f t="shared" si="6"/>
        <v>106652</v>
      </c>
      <c r="EP20" s="13">
        <f t="shared" si="3"/>
        <v>6916</v>
      </c>
    </row>
    <row r="21" spans="2:146">
      <c r="B21" s="4">
        <v>1944</v>
      </c>
      <c r="C21" s="4">
        <v>0.47</v>
      </c>
      <c r="D21" s="4">
        <v>688</v>
      </c>
      <c r="E21" s="4">
        <v>3819</v>
      </c>
      <c r="F21" s="4">
        <v>33985</v>
      </c>
      <c r="G21" s="4">
        <v>7.0199999999999999E-2</v>
      </c>
      <c r="H21" s="4">
        <v>237696</v>
      </c>
      <c r="I21" s="4">
        <f t="shared" si="0"/>
        <v>1567.7407163800003</v>
      </c>
      <c r="M21" s="13">
        <v>1</v>
      </c>
      <c r="N21" s="14">
        <f t="shared" ref="N21:S21" si="7">C9</f>
        <v>0.62</v>
      </c>
      <c r="O21" s="14">
        <f t="shared" si="7"/>
        <v>891</v>
      </c>
      <c r="P21" s="14">
        <f t="shared" si="7"/>
        <v>6158</v>
      </c>
      <c r="Q21" s="14">
        <f t="shared" si="7"/>
        <v>30356</v>
      </c>
      <c r="R21" s="14">
        <f t="shared" si="7"/>
        <v>0.16170000000000001</v>
      </c>
      <c r="S21" s="14">
        <f t="shared" si="7"/>
        <v>115522</v>
      </c>
      <c r="EP21" s="13">
        <f t="shared" si="3"/>
        <v>6132</v>
      </c>
    </row>
    <row r="22" spans="2:146">
      <c r="B22" s="4">
        <v>1940</v>
      </c>
      <c r="C22" s="4">
        <v>0.48</v>
      </c>
      <c r="D22" s="4">
        <v>669</v>
      </c>
      <c r="E22" s="4">
        <v>3584</v>
      </c>
      <c r="F22" s="4">
        <v>33887</v>
      </c>
      <c r="G22" s="4">
        <v>6.7400000000000002E-2</v>
      </c>
      <c r="H22" s="4">
        <v>250400</v>
      </c>
      <c r="I22" s="4">
        <f t="shared" si="0"/>
        <v>1622.8158660600002</v>
      </c>
      <c r="M22" s="13">
        <v>1</v>
      </c>
      <c r="N22" s="14">
        <f t="shared" ref="N22:S22" si="8">C10</f>
        <v>0.59</v>
      </c>
      <c r="O22" s="14">
        <f t="shared" si="8"/>
        <v>865</v>
      </c>
      <c r="P22" s="14">
        <f t="shared" si="8"/>
        <v>6248</v>
      </c>
      <c r="Q22" s="14">
        <f t="shared" si="8"/>
        <v>15085</v>
      </c>
      <c r="R22" s="14">
        <f t="shared" si="8"/>
        <v>0.14760000000000001</v>
      </c>
      <c r="S22" s="14">
        <f t="shared" si="8"/>
        <v>116262</v>
      </c>
      <c r="EP22" s="13">
        <f t="shared" si="3"/>
        <v>3508</v>
      </c>
    </row>
    <row r="23" spans="2:146">
      <c r="B23" s="4">
        <v>1570</v>
      </c>
      <c r="C23" s="4">
        <v>0.48</v>
      </c>
      <c r="D23" s="4">
        <v>656</v>
      </c>
      <c r="E23" s="4">
        <v>3284</v>
      </c>
      <c r="F23" s="4">
        <v>21848</v>
      </c>
      <c r="G23" s="4">
        <v>6.0900000000000003E-2</v>
      </c>
      <c r="H23" s="4">
        <v>263354</v>
      </c>
      <c r="I23" s="4">
        <f t="shared" si="0"/>
        <v>1442.7922387099998</v>
      </c>
      <c r="M23" s="13">
        <v>1</v>
      </c>
      <c r="N23" s="14">
        <f t="shared" ref="N23:S23" si="9">C11</f>
        <v>0.56000000000000005</v>
      </c>
      <c r="O23" s="14">
        <f t="shared" si="9"/>
        <v>877</v>
      </c>
      <c r="P23" s="14">
        <f t="shared" si="9"/>
        <v>6344</v>
      </c>
      <c r="Q23" s="14">
        <f t="shared" si="9"/>
        <v>34923</v>
      </c>
      <c r="R23" s="14">
        <f t="shared" si="9"/>
        <v>0.1426</v>
      </c>
      <c r="S23" s="14">
        <f t="shared" si="9"/>
        <v>118172</v>
      </c>
      <c r="EP23" s="13">
        <f t="shared" si="3"/>
        <v>2505</v>
      </c>
    </row>
    <row r="24" spans="2:146">
      <c r="B24" s="4">
        <v>1186</v>
      </c>
      <c r="C24" s="4">
        <v>0.49</v>
      </c>
      <c r="D24" s="4">
        <v>638</v>
      </c>
      <c r="E24" s="4">
        <v>3316</v>
      </c>
      <c r="F24" s="4">
        <v>10854</v>
      </c>
      <c r="G24" s="4">
        <v>5.8799999999999998E-2</v>
      </c>
      <c r="H24" s="4">
        <v>266858</v>
      </c>
      <c r="I24" s="4">
        <f t="shared" si="0"/>
        <v>1125.8924667199999</v>
      </c>
      <c r="M24" s="13">
        <v>1</v>
      </c>
      <c r="N24" s="14">
        <f t="shared" ref="N24:S24" si="10">C12</f>
        <v>0.53</v>
      </c>
      <c r="O24" s="14">
        <f t="shared" si="10"/>
        <v>862</v>
      </c>
      <c r="P24" s="14">
        <f t="shared" si="10"/>
        <v>6070</v>
      </c>
      <c r="Q24" s="14">
        <f t="shared" si="10"/>
        <v>38694</v>
      </c>
      <c r="R24" s="14">
        <f t="shared" si="10"/>
        <v>0.14180000000000001</v>
      </c>
      <c r="S24" s="14">
        <f t="shared" si="10"/>
        <v>119614</v>
      </c>
      <c r="EP24" s="13">
        <f t="shared" si="3"/>
        <v>2583</v>
      </c>
    </row>
    <row r="25" spans="2:146">
      <c r="B25" s="4">
        <v>549</v>
      </c>
      <c r="C25" s="4">
        <v>0.49</v>
      </c>
      <c r="D25" s="4">
        <v>627</v>
      </c>
      <c r="E25" s="4">
        <v>3322</v>
      </c>
      <c r="F25" s="4">
        <v>31296</v>
      </c>
      <c r="G25" s="4">
        <v>5.5500000000000001E-2</v>
      </c>
      <c r="H25" s="4">
        <v>269203</v>
      </c>
      <c r="I25" s="4">
        <f t="shared" si="0"/>
        <v>1017.4826974499997</v>
      </c>
      <c r="M25" s="13">
        <v>1</v>
      </c>
      <c r="N25" s="14">
        <f t="shared" ref="N25:S25" si="11">C13</f>
        <v>0.51</v>
      </c>
      <c r="O25" s="14">
        <f t="shared" si="11"/>
        <v>853</v>
      </c>
      <c r="P25" s="14">
        <f t="shared" si="11"/>
        <v>5829</v>
      </c>
      <c r="Q25" s="14">
        <f t="shared" si="11"/>
        <v>37621</v>
      </c>
      <c r="R25" s="14">
        <f t="shared" si="11"/>
        <v>0.13220000000000001</v>
      </c>
      <c r="S25" s="14">
        <f t="shared" si="11"/>
        <v>130118</v>
      </c>
      <c r="EP25" s="13">
        <f t="shared" si="3"/>
        <v>4387</v>
      </c>
    </row>
    <row r="26" spans="2:146">
      <c r="B26" s="4">
        <v>1032</v>
      </c>
      <c r="C26" s="4">
        <v>0.49</v>
      </c>
      <c r="D26" s="4">
        <v>597</v>
      </c>
      <c r="E26" s="4">
        <v>3012</v>
      </c>
      <c r="F26" s="4">
        <v>31577</v>
      </c>
      <c r="G26" s="4">
        <v>5.33E-2</v>
      </c>
      <c r="H26" s="4">
        <v>270927</v>
      </c>
      <c r="I26" s="4">
        <f t="shared" si="0"/>
        <v>1168.4903512699998</v>
      </c>
      <c r="M26" s="13">
        <v>1</v>
      </c>
      <c r="N26" s="14">
        <f t="shared" ref="N26:S26" si="12">C14</f>
        <v>0.49</v>
      </c>
      <c r="O26" s="14">
        <f t="shared" si="12"/>
        <v>836</v>
      </c>
      <c r="P26" s="14">
        <f t="shared" si="12"/>
        <v>5570</v>
      </c>
      <c r="Q26" s="14">
        <f t="shared" si="12"/>
        <v>37347</v>
      </c>
      <c r="R26" s="14">
        <f t="shared" si="12"/>
        <v>0.1211</v>
      </c>
      <c r="S26" s="14">
        <f t="shared" si="12"/>
        <v>146637</v>
      </c>
      <c r="EP26" s="13">
        <f t="shared" si="3"/>
        <v>3480</v>
      </c>
    </row>
    <row r="27" spans="2:146">
      <c r="B27" s="4">
        <v>1480</v>
      </c>
      <c r="C27" s="4">
        <v>0.5</v>
      </c>
      <c r="D27" s="4">
        <v>567</v>
      </c>
      <c r="E27" s="4">
        <v>2767</v>
      </c>
      <c r="F27" s="4">
        <v>31235</v>
      </c>
      <c r="G27" s="4">
        <v>4.9799999999999997E-2</v>
      </c>
      <c r="H27" s="4">
        <v>273148</v>
      </c>
      <c r="I27" s="4">
        <f t="shared" si="0"/>
        <v>1151.4670226199996</v>
      </c>
      <c r="M27" s="13">
        <v>1</v>
      </c>
      <c r="N27" s="14">
        <f t="shared" ref="N27:S27" si="13">C15</f>
        <v>0.48</v>
      </c>
      <c r="O27" s="14">
        <f t="shared" si="13"/>
        <v>846</v>
      </c>
      <c r="P27" s="14">
        <f t="shared" si="13"/>
        <v>5230</v>
      </c>
      <c r="Q27" s="14">
        <f t="shared" si="13"/>
        <v>38752</v>
      </c>
      <c r="R27" s="14">
        <f t="shared" si="13"/>
        <v>0.10929999999999999</v>
      </c>
      <c r="S27" s="14">
        <f t="shared" si="13"/>
        <v>171163</v>
      </c>
      <c r="EP27" s="13">
        <f t="shared" si="3"/>
        <v>2854</v>
      </c>
    </row>
    <row r="28" spans="2:146">
      <c r="B28" s="4">
        <v>1160</v>
      </c>
      <c r="C28" s="4">
        <v>0.5</v>
      </c>
      <c r="D28" s="4">
        <v>536</v>
      </c>
      <c r="E28" s="4">
        <v>2613</v>
      </c>
      <c r="F28" s="4">
        <v>30974</v>
      </c>
      <c r="G28" s="4">
        <v>4.65E-2</v>
      </c>
      <c r="H28" s="4">
        <v>276637</v>
      </c>
      <c r="I28" s="4">
        <f t="shared" si="0"/>
        <v>1024.2007533500002</v>
      </c>
      <c r="M28" s="13">
        <v>1</v>
      </c>
      <c r="N28" s="14">
        <f t="shared" ref="N28:S28" si="14">C16</f>
        <v>0.48</v>
      </c>
      <c r="O28" s="14">
        <f t="shared" si="14"/>
        <v>803</v>
      </c>
      <c r="P28" s="14">
        <f t="shared" si="14"/>
        <v>4850</v>
      </c>
      <c r="Q28" s="14">
        <f t="shared" si="14"/>
        <v>21483</v>
      </c>
      <c r="R28" s="14">
        <f t="shared" si="14"/>
        <v>9.9000000000000005E-2</v>
      </c>
      <c r="S28" s="14">
        <f t="shared" si="14"/>
        <v>198253</v>
      </c>
      <c r="EP28" s="13">
        <f t="shared" si="3"/>
        <v>2856</v>
      </c>
    </row>
    <row r="29" spans="2:146">
      <c r="B29" s="4">
        <v>1027</v>
      </c>
      <c r="C29" s="4">
        <v>0.51</v>
      </c>
      <c r="D29" s="4">
        <v>522</v>
      </c>
      <c r="E29" s="4">
        <v>2404</v>
      </c>
      <c r="F29" s="4">
        <v>32910</v>
      </c>
      <c r="G29" s="4">
        <v>4.2000000000000003E-2</v>
      </c>
      <c r="H29" s="4">
        <v>279729</v>
      </c>
      <c r="I29" s="4">
        <f t="shared" si="0"/>
        <v>966.36391280000021</v>
      </c>
      <c r="M29" s="13">
        <v>1</v>
      </c>
      <c r="N29" s="14">
        <f t="shared" ref="N29:S29" si="15">C17</f>
        <v>0.48</v>
      </c>
      <c r="O29" s="14">
        <f t="shared" si="15"/>
        <v>795</v>
      </c>
      <c r="P29" s="14">
        <f t="shared" si="15"/>
        <v>4826</v>
      </c>
      <c r="Q29" s="14">
        <f t="shared" si="15"/>
        <v>12100</v>
      </c>
      <c r="R29" s="14">
        <f t="shared" si="15"/>
        <v>9.2100000000000001E-2</v>
      </c>
      <c r="S29" s="14">
        <f t="shared" si="15"/>
        <v>208089</v>
      </c>
      <c r="EP29" s="13">
        <f t="shared" si="3"/>
        <v>1677</v>
      </c>
    </row>
    <row r="30" spans="2:146">
      <c r="B30" s="4">
        <v>1071</v>
      </c>
      <c r="C30" s="4">
        <v>0.53</v>
      </c>
      <c r="D30" s="4">
        <v>492</v>
      </c>
      <c r="E30" s="4">
        <v>2180</v>
      </c>
      <c r="F30" s="4">
        <v>20380</v>
      </c>
      <c r="G30" s="4">
        <v>3.9699999999999999E-2</v>
      </c>
      <c r="H30" s="4">
        <v>285185</v>
      </c>
      <c r="I30" s="4">
        <f t="shared" si="0"/>
        <v>915.06918142999962</v>
      </c>
      <c r="M30" s="13">
        <v>1</v>
      </c>
      <c r="N30" s="14">
        <f t="shared" ref="N30:S30" si="16">C18</f>
        <v>0.48</v>
      </c>
      <c r="O30" s="14">
        <f t="shared" si="16"/>
        <v>784</v>
      </c>
      <c r="P30" s="14">
        <f t="shared" si="16"/>
        <v>4832</v>
      </c>
      <c r="Q30" s="14">
        <f t="shared" si="16"/>
        <v>33135</v>
      </c>
      <c r="R30" s="14">
        <f t="shared" si="16"/>
        <v>8.7300000000000003E-2</v>
      </c>
      <c r="S30" s="14">
        <f t="shared" si="16"/>
        <v>218125</v>
      </c>
      <c r="EP30" s="13">
        <f t="shared" si="3"/>
        <v>1303</v>
      </c>
    </row>
    <row r="31" spans="2:146">
      <c r="B31" s="4">
        <v>718</v>
      </c>
      <c r="C31" s="4">
        <v>0.54</v>
      </c>
      <c r="D31" s="4">
        <v>484</v>
      </c>
      <c r="E31" s="4">
        <v>2165</v>
      </c>
      <c r="F31" s="4">
        <v>11439</v>
      </c>
      <c r="G31" s="4">
        <v>3.7100000000000001E-2</v>
      </c>
      <c r="H31" s="4">
        <v>286470</v>
      </c>
      <c r="I31" s="4">
        <f t="shared" si="0"/>
        <v>674.02425349000032</v>
      </c>
      <c r="M31" s="13">
        <v>1</v>
      </c>
      <c r="N31" s="14">
        <f t="shared" ref="N31:S31" si="17">C19</f>
        <v>0.47</v>
      </c>
      <c r="O31" s="14">
        <f t="shared" si="17"/>
        <v>752</v>
      </c>
      <c r="P31" s="14">
        <f t="shared" si="17"/>
        <v>4482</v>
      </c>
      <c r="Q31" s="14">
        <f t="shared" si="17"/>
        <v>32083</v>
      </c>
      <c r="R31" s="14">
        <f t="shared" si="17"/>
        <v>8.5000000000000006E-2</v>
      </c>
      <c r="S31" s="14">
        <f t="shared" si="17"/>
        <v>223711</v>
      </c>
      <c r="EP31" s="13">
        <f t="shared" si="3"/>
        <v>1502</v>
      </c>
    </row>
    <row r="32" spans="2:146">
      <c r="B32" s="4">
        <v>394</v>
      </c>
      <c r="C32" s="4">
        <v>0.56000000000000005</v>
      </c>
      <c r="D32" s="4">
        <v>469</v>
      </c>
      <c r="E32" s="4">
        <v>2167</v>
      </c>
      <c r="F32" s="4">
        <v>26639</v>
      </c>
      <c r="G32" s="4">
        <v>3.7199999999999997E-2</v>
      </c>
      <c r="H32" s="4">
        <v>290637</v>
      </c>
      <c r="I32" s="4">
        <f t="shared" si="0"/>
        <v>751.47879067999997</v>
      </c>
      <c r="M32" s="13">
        <v>1</v>
      </c>
      <c r="N32" s="14">
        <f t="shared" ref="N32:S32" si="18">C20</f>
        <v>0.47</v>
      </c>
      <c r="O32" s="14">
        <f t="shared" si="18"/>
        <v>719</v>
      </c>
      <c r="P32" s="14">
        <f t="shared" si="18"/>
        <v>4137</v>
      </c>
      <c r="Q32" s="14">
        <f t="shared" si="18"/>
        <v>34354</v>
      </c>
      <c r="R32" s="14">
        <f t="shared" si="18"/>
        <v>7.6399999999999996E-2</v>
      </c>
      <c r="S32" s="14">
        <f t="shared" si="18"/>
        <v>229743</v>
      </c>
      <c r="EP32" s="13">
        <f t="shared" si="3"/>
        <v>2324</v>
      </c>
    </row>
    <row r="33" spans="2:146">
      <c r="B33" s="4">
        <v>691</v>
      </c>
      <c r="C33" s="4">
        <v>0.56999999999999995</v>
      </c>
      <c r="D33" s="4">
        <v>446</v>
      </c>
      <c r="E33" s="4">
        <v>1997</v>
      </c>
      <c r="F33" s="4">
        <v>29735</v>
      </c>
      <c r="G33" s="4">
        <v>3.5700000000000003E-2</v>
      </c>
      <c r="H33" s="4">
        <v>291987</v>
      </c>
      <c r="I33" s="4">
        <f t="shared" si="0"/>
        <v>819.93928583000002</v>
      </c>
      <c r="M33" s="13">
        <v>1</v>
      </c>
      <c r="N33" s="14">
        <f t="shared" ref="N33:S33" si="19">C21</f>
        <v>0.47</v>
      </c>
      <c r="O33" s="14">
        <f t="shared" si="19"/>
        <v>688</v>
      </c>
      <c r="P33" s="14">
        <f t="shared" si="19"/>
        <v>3819</v>
      </c>
      <c r="Q33" s="14">
        <f t="shared" si="19"/>
        <v>33985</v>
      </c>
      <c r="R33" s="14">
        <f t="shared" si="19"/>
        <v>7.0199999999999999E-2</v>
      </c>
      <c r="S33" s="14">
        <f t="shared" si="19"/>
        <v>237696</v>
      </c>
      <c r="EP33" s="13">
        <f t="shared" si="3"/>
        <v>1944</v>
      </c>
    </row>
    <row r="34" spans="2:146">
      <c r="B34" s="4">
        <v>979</v>
      </c>
      <c r="C34" s="4">
        <v>0.59</v>
      </c>
      <c r="D34" s="4">
        <v>415</v>
      </c>
      <c r="E34" s="4">
        <v>1827</v>
      </c>
      <c r="F34" s="4">
        <v>29388</v>
      </c>
      <c r="G34" s="4">
        <v>3.3300000000000003E-2</v>
      </c>
      <c r="H34" s="4">
        <v>293652</v>
      </c>
      <c r="I34" s="4">
        <f t="shared" si="0"/>
        <v>781.38064327000052</v>
      </c>
      <c r="M34" s="13">
        <v>1</v>
      </c>
      <c r="N34" s="14">
        <f t="shared" ref="N34:S34" si="20">C22</f>
        <v>0.48</v>
      </c>
      <c r="O34" s="14">
        <f t="shared" si="20"/>
        <v>669</v>
      </c>
      <c r="P34" s="14">
        <f t="shared" si="20"/>
        <v>3584</v>
      </c>
      <c r="Q34" s="14">
        <f t="shared" si="20"/>
        <v>33887</v>
      </c>
      <c r="R34" s="14">
        <f t="shared" si="20"/>
        <v>6.7400000000000002E-2</v>
      </c>
      <c r="S34" s="14">
        <f t="shared" si="20"/>
        <v>250400</v>
      </c>
      <c r="EP34" s="13">
        <f t="shared" si="3"/>
        <v>1940</v>
      </c>
    </row>
    <row r="35" spans="2:146">
      <c r="B35" s="4">
        <v>830</v>
      </c>
      <c r="C35" s="4">
        <v>0.61</v>
      </c>
      <c r="D35" s="4">
        <v>399</v>
      </c>
      <c r="E35" s="4">
        <v>1708</v>
      </c>
      <c r="F35" s="4">
        <v>28081</v>
      </c>
      <c r="G35" s="4">
        <v>3.2000000000000001E-2</v>
      </c>
      <c r="H35" s="4">
        <v>298685</v>
      </c>
      <c r="I35" s="4">
        <f t="shared" si="0"/>
        <v>793.48072379999985</v>
      </c>
      <c r="M35" s="13">
        <v>1</v>
      </c>
      <c r="N35" s="14">
        <f t="shared" ref="N35:S35" si="21">C23</f>
        <v>0.48</v>
      </c>
      <c r="O35" s="14">
        <f t="shared" si="21"/>
        <v>656</v>
      </c>
      <c r="P35" s="14">
        <f t="shared" si="21"/>
        <v>3284</v>
      </c>
      <c r="Q35" s="14">
        <f t="shared" si="21"/>
        <v>21848</v>
      </c>
      <c r="R35" s="14">
        <f t="shared" si="21"/>
        <v>6.0900000000000003E-2</v>
      </c>
      <c r="S35" s="14">
        <f t="shared" si="21"/>
        <v>263354</v>
      </c>
      <c r="EP35" s="13">
        <f t="shared" si="3"/>
        <v>1570</v>
      </c>
    </row>
    <row r="36" spans="2:146">
      <c r="B36" s="4">
        <v>949</v>
      </c>
      <c r="C36" s="4">
        <v>0.64</v>
      </c>
      <c r="D36" s="4">
        <v>383</v>
      </c>
      <c r="E36" s="4">
        <v>1583</v>
      </c>
      <c r="F36" s="4">
        <v>28636</v>
      </c>
      <c r="G36" s="4">
        <v>3.2300000000000002E-2</v>
      </c>
      <c r="H36" s="4">
        <v>304494</v>
      </c>
      <c r="I36" s="4">
        <f t="shared" si="0"/>
        <v>937.35704637000026</v>
      </c>
      <c r="M36" s="13">
        <v>1</v>
      </c>
      <c r="N36" s="14">
        <f t="shared" ref="N36:S36" si="22">C24</f>
        <v>0.49</v>
      </c>
      <c r="O36" s="14">
        <f t="shared" si="22"/>
        <v>638</v>
      </c>
      <c r="P36" s="14">
        <f t="shared" si="22"/>
        <v>3316</v>
      </c>
      <c r="Q36" s="14">
        <f t="shared" si="22"/>
        <v>10854</v>
      </c>
      <c r="R36" s="14">
        <f t="shared" si="22"/>
        <v>5.8799999999999998E-2</v>
      </c>
      <c r="S36" s="14">
        <f t="shared" si="22"/>
        <v>266858</v>
      </c>
      <c r="EP36" s="13">
        <f t="shared" si="3"/>
        <v>1186</v>
      </c>
    </row>
    <row r="37" spans="2:146">
      <c r="B37" s="4">
        <v>1007</v>
      </c>
      <c r="C37" s="4">
        <v>0.66</v>
      </c>
      <c r="D37" s="4">
        <v>363</v>
      </c>
      <c r="E37" s="4">
        <v>1416</v>
      </c>
      <c r="F37" s="4">
        <v>19891</v>
      </c>
      <c r="G37" s="4">
        <v>3.2000000000000001E-2</v>
      </c>
      <c r="H37" s="4">
        <v>313101</v>
      </c>
      <c r="I37" s="4">
        <f t="shared" si="0"/>
        <v>1007.1186388000001</v>
      </c>
      <c r="M37" s="13">
        <v>1</v>
      </c>
      <c r="N37" s="14">
        <f t="shared" ref="N37:S37" si="23">C25</f>
        <v>0.49</v>
      </c>
      <c r="O37" s="14">
        <f t="shared" si="23"/>
        <v>627</v>
      </c>
      <c r="P37" s="14">
        <f t="shared" si="23"/>
        <v>3322</v>
      </c>
      <c r="Q37" s="14">
        <f t="shared" si="23"/>
        <v>31296</v>
      </c>
      <c r="R37" s="14">
        <f t="shared" si="23"/>
        <v>5.5500000000000001E-2</v>
      </c>
      <c r="S37" s="14">
        <f t="shared" si="23"/>
        <v>269203</v>
      </c>
      <c r="EP37" s="13">
        <f t="shared" si="3"/>
        <v>549</v>
      </c>
    </row>
    <row r="38" spans="2:146">
      <c r="B38" s="4">
        <v>682</v>
      </c>
      <c r="C38" s="4">
        <v>0.67</v>
      </c>
      <c r="D38" s="4">
        <v>354</v>
      </c>
      <c r="E38" s="4">
        <v>1414</v>
      </c>
      <c r="F38" s="4">
        <v>9396</v>
      </c>
      <c r="G38" s="4">
        <v>3.2199999999999999E-2</v>
      </c>
      <c r="H38" s="4">
        <v>317254</v>
      </c>
      <c r="I38" s="4">
        <f t="shared" si="0"/>
        <v>918.78602418000037</v>
      </c>
      <c r="M38" s="13">
        <v>1</v>
      </c>
      <c r="N38" s="14">
        <f t="shared" ref="N38:S38" si="24">C26</f>
        <v>0.49</v>
      </c>
      <c r="O38" s="14">
        <f t="shared" si="24"/>
        <v>597</v>
      </c>
      <c r="P38" s="14">
        <f t="shared" si="24"/>
        <v>3012</v>
      </c>
      <c r="Q38" s="14">
        <f t="shared" si="24"/>
        <v>31577</v>
      </c>
      <c r="R38" s="14">
        <f t="shared" si="24"/>
        <v>5.33E-2</v>
      </c>
      <c r="S38" s="14">
        <f t="shared" si="24"/>
        <v>270927</v>
      </c>
      <c r="EP38" s="13">
        <f t="shared" si="3"/>
        <v>1032</v>
      </c>
    </row>
    <row r="39" spans="2:146">
      <c r="B39" s="4">
        <v>365</v>
      </c>
      <c r="C39" s="4">
        <v>0.67</v>
      </c>
      <c r="D39" s="4">
        <v>342</v>
      </c>
      <c r="E39" s="4">
        <v>1403</v>
      </c>
      <c r="F39" s="4">
        <v>25303</v>
      </c>
      <c r="G39" s="4">
        <v>3.2300000000000002E-2</v>
      </c>
      <c r="H39" s="4">
        <v>324862</v>
      </c>
      <c r="I39" s="4">
        <f t="shared" si="0"/>
        <v>1018.3819353700003</v>
      </c>
      <c r="M39" s="13">
        <v>1</v>
      </c>
      <c r="N39" s="14">
        <f t="shared" ref="N39:S39" si="25">C27</f>
        <v>0.5</v>
      </c>
      <c r="O39" s="14">
        <f t="shared" si="25"/>
        <v>567</v>
      </c>
      <c r="P39" s="14">
        <f t="shared" si="25"/>
        <v>2767</v>
      </c>
      <c r="Q39" s="14">
        <f t="shared" si="25"/>
        <v>31235</v>
      </c>
      <c r="R39" s="14">
        <f t="shared" si="25"/>
        <v>4.9799999999999997E-2</v>
      </c>
      <c r="S39" s="14">
        <f t="shared" si="25"/>
        <v>273148</v>
      </c>
      <c r="EP39" s="13">
        <f t="shared" si="3"/>
        <v>1480</v>
      </c>
    </row>
    <row r="40" spans="2:146">
      <c r="B40" s="4">
        <v>847</v>
      </c>
      <c r="C40" s="4">
        <v>0.67</v>
      </c>
      <c r="D40" s="4">
        <v>312</v>
      </c>
      <c r="E40" s="4">
        <v>1278</v>
      </c>
      <c r="F40" s="4">
        <v>24513</v>
      </c>
      <c r="G40" s="4">
        <v>3.4299999999999997E-2</v>
      </c>
      <c r="H40" s="4">
        <v>327040</v>
      </c>
      <c r="I40" s="4">
        <f t="shared" si="0"/>
        <v>1202.3941591700002</v>
      </c>
      <c r="M40" s="13">
        <v>1</v>
      </c>
      <c r="N40" s="14">
        <f t="shared" ref="N40:S40" si="26">C28</f>
        <v>0.5</v>
      </c>
      <c r="O40" s="14">
        <f t="shared" si="26"/>
        <v>536</v>
      </c>
      <c r="P40" s="14">
        <f t="shared" si="26"/>
        <v>2613</v>
      </c>
      <c r="Q40" s="14">
        <f t="shared" si="26"/>
        <v>30974</v>
      </c>
      <c r="R40" s="14">
        <f t="shared" si="26"/>
        <v>4.65E-2</v>
      </c>
      <c r="S40" s="14">
        <f t="shared" si="26"/>
        <v>276637</v>
      </c>
      <c r="EP40" s="13">
        <f t="shared" si="3"/>
        <v>1160</v>
      </c>
    </row>
    <row r="41" spans="2:146">
      <c r="B41" s="4">
        <v>642</v>
      </c>
      <c r="C41" s="4">
        <v>0.65</v>
      </c>
      <c r="D41" s="4">
        <v>283</v>
      </c>
      <c r="E41" s="4">
        <v>1201</v>
      </c>
      <c r="F41" s="4">
        <v>26627</v>
      </c>
      <c r="G41" s="4">
        <v>3.2800000000000003E-2</v>
      </c>
      <c r="H41" s="4">
        <v>328946</v>
      </c>
      <c r="I41" s="4">
        <f t="shared" si="0"/>
        <v>1110.3790653199999</v>
      </c>
      <c r="M41" s="13">
        <v>1</v>
      </c>
      <c r="N41" s="14">
        <f t="shared" ref="N41:S41" si="27">C29</f>
        <v>0.51</v>
      </c>
      <c r="O41" s="14">
        <f t="shared" si="27"/>
        <v>522</v>
      </c>
      <c r="P41" s="14">
        <f t="shared" si="27"/>
        <v>2404</v>
      </c>
      <c r="Q41" s="14">
        <f t="shared" si="27"/>
        <v>32910</v>
      </c>
      <c r="R41" s="14">
        <f t="shared" si="27"/>
        <v>4.2000000000000003E-2</v>
      </c>
      <c r="S41" s="14">
        <f t="shared" si="27"/>
        <v>279729</v>
      </c>
      <c r="EP41" s="13">
        <f t="shared" si="3"/>
        <v>1027</v>
      </c>
    </row>
    <row r="42" spans="2:146">
      <c r="B42" s="4">
        <v>627</v>
      </c>
      <c r="C42" s="4">
        <v>0.65</v>
      </c>
      <c r="D42" s="4">
        <v>273</v>
      </c>
      <c r="E42" s="4">
        <v>1102</v>
      </c>
      <c r="F42" s="4">
        <v>24313</v>
      </c>
      <c r="G42" s="4">
        <v>3.2300000000000002E-2</v>
      </c>
      <c r="H42" s="4">
        <v>337944</v>
      </c>
      <c r="I42" s="4">
        <f t="shared" si="0"/>
        <v>1152.4998093700001</v>
      </c>
      <c r="M42" s="13">
        <v>1</v>
      </c>
      <c r="N42" s="14">
        <f t="shared" ref="N42:S42" si="28">C30</f>
        <v>0.53</v>
      </c>
      <c r="O42" s="14">
        <f t="shared" si="28"/>
        <v>492</v>
      </c>
      <c r="P42" s="14">
        <f t="shared" si="28"/>
        <v>2180</v>
      </c>
      <c r="Q42" s="14">
        <f t="shared" si="28"/>
        <v>20380</v>
      </c>
      <c r="R42" s="14">
        <f t="shared" si="28"/>
        <v>3.9699999999999999E-2</v>
      </c>
      <c r="S42" s="14">
        <f t="shared" si="28"/>
        <v>285185</v>
      </c>
      <c r="EP42" s="13">
        <f t="shared" si="3"/>
        <v>1071</v>
      </c>
    </row>
    <row r="43" spans="2:146">
      <c r="B43" s="4">
        <v>577</v>
      </c>
      <c r="C43" s="4">
        <v>0.66</v>
      </c>
      <c r="D43" s="4">
        <v>266</v>
      </c>
      <c r="E43" s="4">
        <v>1046</v>
      </c>
      <c r="F43" s="4">
        <v>27281</v>
      </c>
      <c r="G43" s="4">
        <v>3.0200000000000001E-2</v>
      </c>
      <c r="H43" s="4">
        <v>352247</v>
      </c>
      <c r="I43" s="4">
        <f t="shared" si="0"/>
        <v>1089.19343738</v>
      </c>
      <c r="M43" s="13">
        <v>1</v>
      </c>
      <c r="N43" s="14">
        <f t="shared" ref="N43:S43" si="29">C31</f>
        <v>0.54</v>
      </c>
      <c r="O43" s="14">
        <f t="shared" si="29"/>
        <v>484</v>
      </c>
      <c r="P43" s="14">
        <f t="shared" si="29"/>
        <v>2165</v>
      </c>
      <c r="Q43" s="14">
        <f t="shared" si="29"/>
        <v>11439</v>
      </c>
      <c r="R43" s="14">
        <f t="shared" si="29"/>
        <v>3.7100000000000001E-2</v>
      </c>
      <c r="S43" s="14">
        <f t="shared" si="29"/>
        <v>286470</v>
      </c>
      <c r="EP43" s="13">
        <f t="shared" si="3"/>
        <v>718</v>
      </c>
    </row>
    <row r="44" spans="2:146">
      <c r="B44" s="4">
        <v>564</v>
      </c>
      <c r="C44" s="4">
        <v>0.68</v>
      </c>
      <c r="D44" s="4">
        <v>253</v>
      </c>
      <c r="E44" s="4">
        <v>980</v>
      </c>
      <c r="F44" s="4">
        <v>21016</v>
      </c>
      <c r="G44" s="4">
        <v>2.7199999999999998E-2</v>
      </c>
      <c r="H44" s="4">
        <v>365719</v>
      </c>
      <c r="I44" s="4">
        <f t="shared" si="0"/>
        <v>894.87852768000005</v>
      </c>
      <c r="M44" s="13">
        <v>1</v>
      </c>
      <c r="N44" s="14">
        <f t="shared" ref="N44:S44" si="30">C32</f>
        <v>0.56000000000000005</v>
      </c>
      <c r="O44" s="14">
        <f t="shared" si="30"/>
        <v>469</v>
      </c>
      <c r="P44" s="14">
        <f t="shared" si="30"/>
        <v>2167</v>
      </c>
      <c r="Q44" s="14">
        <f t="shared" si="30"/>
        <v>26639</v>
      </c>
      <c r="R44" s="14">
        <f t="shared" si="30"/>
        <v>3.7199999999999997E-2</v>
      </c>
      <c r="S44" s="14">
        <f t="shared" si="30"/>
        <v>290637</v>
      </c>
      <c r="EP44" s="13">
        <f t="shared" si="3"/>
        <v>394</v>
      </c>
    </row>
    <row r="45" spans="2:146">
      <c r="B45" s="4">
        <v>541</v>
      </c>
      <c r="C45" s="4">
        <v>0.69</v>
      </c>
      <c r="D45" s="4">
        <v>242</v>
      </c>
      <c r="E45" s="4">
        <v>976</v>
      </c>
      <c r="F45" s="4">
        <v>9709</v>
      </c>
      <c r="G45" s="4">
        <v>2.6200000000000001E-2</v>
      </c>
      <c r="H45" s="4">
        <v>371084</v>
      </c>
      <c r="I45" s="4">
        <f t="shared" si="0"/>
        <v>717.31697878000011</v>
      </c>
      <c r="M45" s="13">
        <v>1</v>
      </c>
      <c r="N45" s="14">
        <f t="shared" ref="N45:S45" si="31">C33</f>
        <v>0.56999999999999995</v>
      </c>
      <c r="O45" s="14">
        <f t="shared" si="31"/>
        <v>446</v>
      </c>
      <c r="P45" s="14">
        <f t="shared" si="31"/>
        <v>1997</v>
      </c>
      <c r="Q45" s="14">
        <f t="shared" si="31"/>
        <v>29735</v>
      </c>
      <c r="R45" s="14">
        <f t="shared" si="31"/>
        <v>3.5700000000000003E-2</v>
      </c>
      <c r="S45" s="14">
        <f t="shared" si="31"/>
        <v>291987</v>
      </c>
      <c r="EP45" s="13">
        <f t="shared" si="3"/>
        <v>691</v>
      </c>
    </row>
    <row r="46" spans="2:146">
      <c r="B46" s="4">
        <v>256</v>
      </c>
      <c r="C46" s="4">
        <v>0.7</v>
      </c>
      <c r="D46" s="4">
        <v>231</v>
      </c>
      <c r="E46" s="4">
        <v>996</v>
      </c>
      <c r="F46" s="4">
        <v>26427</v>
      </c>
      <c r="G46" s="4">
        <v>2.5399999999999999E-2</v>
      </c>
      <c r="H46" s="4">
        <v>377464</v>
      </c>
      <c r="I46" s="4">
        <f t="shared" si="0"/>
        <v>732.57175225999993</v>
      </c>
      <c r="M46" s="13">
        <v>1</v>
      </c>
      <c r="N46" s="14">
        <f t="shared" ref="N46:S46" si="32">C34</f>
        <v>0.59</v>
      </c>
      <c r="O46" s="14">
        <f t="shared" si="32"/>
        <v>415</v>
      </c>
      <c r="P46" s="14">
        <f t="shared" si="32"/>
        <v>1827</v>
      </c>
      <c r="Q46" s="14">
        <f t="shared" si="32"/>
        <v>29388</v>
      </c>
      <c r="R46" s="14">
        <f t="shared" si="32"/>
        <v>3.3300000000000003E-2</v>
      </c>
      <c r="S46" s="14">
        <f t="shared" si="32"/>
        <v>293652</v>
      </c>
      <c r="EP46" s="13">
        <f t="shared" si="3"/>
        <v>979</v>
      </c>
    </row>
    <row r="47" spans="2:146">
      <c r="B47" s="4">
        <v>384</v>
      </c>
      <c r="C47" s="4">
        <v>0.71</v>
      </c>
      <c r="D47" s="4">
        <v>213</v>
      </c>
      <c r="E47" s="4">
        <v>955</v>
      </c>
      <c r="F47" s="4">
        <v>41394</v>
      </c>
      <c r="G47" s="4">
        <v>2.0299999999999999E-2</v>
      </c>
      <c r="H47" s="4">
        <v>380479</v>
      </c>
      <c r="I47" s="4">
        <f t="shared" si="0"/>
        <v>505.82574456999987</v>
      </c>
      <c r="M47" s="13">
        <v>1</v>
      </c>
      <c r="N47" s="14">
        <f t="shared" ref="N47:S47" si="33">C35</f>
        <v>0.61</v>
      </c>
      <c r="O47" s="14">
        <f t="shared" si="33"/>
        <v>399</v>
      </c>
      <c r="P47" s="14">
        <f t="shared" si="33"/>
        <v>1708</v>
      </c>
      <c r="Q47" s="14">
        <f t="shared" si="33"/>
        <v>28081</v>
      </c>
      <c r="R47" s="14">
        <f t="shared" si="33"/>
        <v>3.2000000000000001E-2</v>
      </c>
      <c r="S47" s="14">
        <f t="shared" si="33"/>
        <v>298685</v>
      </c>
      <c r="EP47" s="13">
        <f t="shared" si="3"/>
        <v>830</v>
      </c>
    </row>
    <row r="48" spans="2:146">
      <c r="B48" s="4">
        <v>673</v>
      </c>
      <c r="C48" s="4">
        <v>0.72</v>
      </c>
      <c r="D48" s="4">
        <v>205</v>
      </c>
      <c r="E48" s="4">
        <v>856</v>
      </c>
      <c r="F48" s="4">
        <v>48102</v>
      </c>
      <c r="G48" s="4">
        <v>1.83E-2</v>
      </c>
      <c r="H48" s="4">
        <v>386426</v>
      </c>
      <c r="I48" s="4">
        <f t="shared" si="0"/>
        <v>528.49798377000013</v>
      </c>
      <c r="M48" s="13">
        <v>1</v>
      </c>
      <c r="N48" s="14">
        <f t="shared" ref="N48:S48" si="34">C36</f>
        <v>0.64</v>
      </c>
      <c r="O48" s="14">
        <f t="shared" si="34"/>
        <v>383</v>
      </c>
      <c r="P48" s="14">
        <f t="shared" si="34"/>
        <v>1583</v>
      </c>
      <c r="Q48" s="14">
        <f t="shared" si="34"/>
        <v>28636</v>
      </c>
      <c r="R48" s="14">
        <f t="shared" si="34"/>
        <v>3.2300000000000002E-2</v>
      </c>
      <c r="S48" s="14">
        <f t="shared" si="34"/>
        <v>304494</v>
      </c>
      <c r="EP48" s="13">
        <f t="shared" si="3"/>
        <v>949</v>
      </c>
    </row>
    <row r="49" spans="2:146">
      <c r="B49" s="4">
        <v>485</v>
      </c>
      <c r="C49" s="4">
        <v>0.74</v>
      </c>
      <c r="D49" s="4">
        <v>187</v>
      </c>
      <c r="E49" s="4">
        <v>828</v>
      </c>
      <c r="F49" s="4">
        <v>52896</v>
      </c>
      <c r="G49" s="4">
        <v>1.5299999999999999E-2</v>
      </c>
      <c r="H49" s="4">
        <v>408323</v>
      </c>
      <c r="I49" s="4">
        <f t="shared" si="0"/>
        <v>351.99797406999994</v>
      </c>
      <c r="M49" s="13">
        <v>1</v>
      </c>
      <c r="N49" s="14">
        <f t="shared" ref="N49:S49" si="35">C37</f>
        <v>0.66</v>
      </c>
      <c r="O49" s="14">
        <f t="shared" si="35"/>
        <v>363</v>
      </c>
      <c r="P49" s="14">
        <f t="shared" si="35"/>
        <v>1416</v>
      </c>
      <c r="Q49" s="14">
        <f t="shared" si="35"/>
        <v>19891</v>
      </c>
      <c r="R49" s="14">
        <f t="shared" si="35"/>
        <v>3.2000000000000001E-2</v>
      </c>
      <c r="S49" s="14">
        <f t="shared" si="35"/>
        <v>313101</v>
      </c>
      <c r="EP49" s="13">
        <f t="shared" si="3"/>
        <v>1007</v>
      </c>
    </row>
    <row r="50" spans="2:146">
      <c r="B50" s="4">
        <v>568</v>
      </c>
      <c r="C50" s="4">
        <v>0.76</v>
      </c>
      <c r="D50" s="4">
        <v>182</v>
      </c>
      <c r="E50" s="4">
        <v>789</v>
      </c>
      <c r="F50" s="4">
        <v>53485</v>
      </c>
      <c r="G50" s="4">
        <v>1.37E-2</v>
      </c>
      <c r="H50" s="4">
        <v>441676</v>
      </c>
      <c r="I50" s="4">
        <f t="shared" si="0"/>
        <v>293.72442103000003</v>
      </c>
      <c r="M50" s="13">
        <v>1</v>
      </c>
      <c r="N50" s="14">
        <f t="shared" ref="N50:S50" si="36">C38</f>
        <v>0.67</v>
      </c>
      <c r="O50" s="14">
        <f t="shared" si="36"/>
        <v>354</v>
      </c>
      <c r="P50" s="14">
        <f t="shared" si="36"/>
        <v>1414</v>
      </c>
      <c r="Q50" s="14">
        <f t="shared" si="36"/>
        <v>9396</v>
      </c>
      <c r="R50" s="14">
        <f t="shared" si="36"/>
        <v>3.2199999999999999E-2</v>
      </c>
      <c r="S50" s="14">
        <f t="shared" si="36"/>
        <v>317254</v>
      </c>
      <c r="EP50" s="13">
        <f t="shared" si="3"/>
        <v>682</v>
      </c>
    </row>
    <row r="51" spans="2:146">
      <c r="B51" s="4">
        <v>457</v>
      </c>
      <c r="C51" s="4">
        <v>0.77</v>
      </c>
      <c r="D51" s="4">
        <v>170</v>
      </c>
      <c r="E51" s="4">
        <v>744</v>
      </c>
      <c r="F51" s="4">
        <v>33514</v>
      </c>
      <c r="G51" s="4">
        <v>1.2699999999999999E-2</v>
      </c>
      <c r="H51" s="4">
        <v>469651</v>
      </c>
      <c r="I51" s="4">
        <f t="shared" si="0"/>
        <v>99.986272129999975</v>
      </c>
      <c r="M51" s="13">
        <v>1</v>
      </c>
      <c r="N51" s="14">
        <f t="shared" ref="N51:S51" si="37">C39</f>
        <v>0.67</v>
      </c>
      <c r="O51" s="14">
        <f t="shared" si="37"/>
        <v>342</v>
      </c>
      <c r="P51" s="14">
        <f t="shared" si="37"/>
        <v>1403</v>
      </c>
      <c r="Q51" s="14">
        <f t="shared" si="37"/>
        <v>25303</v>
      </c>
      <c r="R51" s="14">
        <f t="shared" si="37"/>
        <v>3.2300000000000002E-2</v>
      </c>
      <c r="S51" s="14">
        <f t="shared" si="37"/>
        <v>324862</v>
      </c>
      <c r="EP51" s="13">
        <f t="shared" si="3"/>
        <v>365</v>
      </c>
    </row>
    <row r="52" spans="2:146">
      <c r="B52" s="4">
        <v>450</v>
      </c>
      <c r="C52" s="4">
        <v>0.79</v>
      </c>
      <c r="D52" s="4">
        <v>170</v>
      </c>
      <c r="E52" s="4">
        <v>765</v>
      </c>
      <c r="F52" s="4">
        <v>10254</v>
      </c>
      <c r="G52" s="4">
        <v>1.23E-2</v>
      </c>
      <c r="H52" s="4">
        <v>482561</v>
      </c>
      <c r="I52" s="4">
        <f t="shared" si="0"/>
        <v>-117.73304662999999</v>
      </c>
      <c r="M52" s="13">
        <v>1</v>
      </c>
      <c r="N52" s="14">
        <f t="shared" ref="N52:S52" si="38">C40</f>
        <v>0.67</v>
      </c>
      <c r="O52" s="14">
        <f t="shared" si="38"/>
        <v>312</v>
      </c>
      <c r="P52" s="14">
        <f t="shared" si="38"/>
        <v>1278</v>
      </c>
      <c r="Q52" s="14">
        <f t="shared" si="38"/>
        <v>24513</v>
      </c>
      <c r="R52" s="14">
        <f t="shared" si="38"/>
        <v>3.4299999999999997E-2</v>
      </c>
      <c r="S52" s="14">
        <f t="shared" si="38"/>
        <v>327040</v>
      </c>
      <c r="EP52" s="13">
        <f t="shared" si="3"/>
        <v>847</v>
      </c>
    </row>
    <row r="53" spans="2:146">
      <c r="B53" s="4">
        <v>248</v>
      </c>
      <c r="C53" s="4">
        <v>0.8</v>
      </c>
      <c r="D53" s="4">
        <v>165</v>
      </c>
      <c r="E53" s="4">
        <v>771</v>
      </c>
      <c r="F53" s="4">
        <v>30283</v>
      </c>
      <c r="G53" s="4">
        <v>1.21E-2</v>
      </c>
      <c r="H53" s="4">
        <v>488236</v>
      </c>
      <c r="I53" s="4">
        <f t="shared" si="0"/>
        <v>-0.20930601000009119</v>
      </c>
      <c r="M53" s="13">
        <v>1</v>
      </c>
      <c r="N53" s="14">
        <f t="shared" ref="N53:S53" si="39">C41</f>
        <v>0.65</v>
      </c>
      <c r="O53" s="14">
        <f t="shared" si="39"/>
        <v>283</v>
      </c>
      <c r="P53" s="14">
        <f t="shared" si="39"/>
        <v>1201</v>
      </c>
      <c r="Q53" s="14">
        <f t="shared" si="39"/>
        <v>26627</v>
      </c>
      <c r="R53" s="14">
        <f t="shared" si="39"/>
        <v>3.2800000000000003E-2</v>
      </c>
      <c r="S53" s="14">
        <f t="shared" si="39"/>
        <v>328946</v>
      </c>
      <c r="EP53" s="13">
        <f t="shared" si="3"/>
        <v>642</v>
      </c>
    </row>
    <row r="54" spans="2:146">
      <c r="B54" s="4">
        <v>434</v>
      </c>
      <c r="C54" s="4">
        <v>0.81</v>
      </c>
      <c r="D54" s="4">
        <v>159</v>
      </c>
      <c r="E54" s="4">
        <v>743</v>
      </c>
      <c r="F54" s="4">
        <v>31200</v>
      </c>
      <c r="G54" s="4">
        <v>1.2800000000000001E-2</v>
      </c>
      <c r="H54" s="4">
        <v>495868</v>
      </c>
      <c r="I54" s="4">
        <f t="shared" si="0"/>
        <v>73.099735320000036</v>
      </c>
      <c r="M54" s="13">
        <v>1</v>
      </c>
      <c r="N54" s="14">
        <f t="shared" ref="N54:S54" si="40">C42</f>
        <v>0.65</v>
      </c>
      <c r="O54" s="14">
        <f t="shared" si="40"/>
        <v>273</v>
      </c>
      <c r="P54" s="14">
        <f t="shared" si="40"/>
        <v>1102</v>
      </c>
      <c r="Q54" s="14">
        <f t="shared" si="40"/>
        <v>24313</v>
      </c>
      <c r="R54" s="14">
        <f t="shared" si="40"/>
        <v>3.2300000000000002E-2</v>
      </c>
      <c r="S54" s="14">
        <f t="shared" si="40"/>
        <v>337944</v>
      </c>
      <c r="EP54" s="13">
        <f t="shared" si="3"/>
        <v>627</v>
      </c>
    </row>
    <row r="55" spans="2:146">
      <c r="B55" s="4">
        <v>575</v>
      </c>
      <c r="C55" s="4">
        <v>0.82</v>
      </c>
      <c r="D55" s="4">
        <v>155</v>
      </c>
      <c r="E55" s="4">
        <v>712</v>
      </c>
      <c r="F55" s="4">
        <v>29256</v>
      </c>
      <c r="G55" s="4">
        <v>1.34E-2</v>
      </c>
      <c r="H55" s="4">
        <v>497940</v>
      </c>
      <c r="I55" s="4">
        <f t="shared" si="0"/>
        <v>128.90066545999991</v>
      </c>
      <c r="M55" s="13">
        <v>1</v>
      </c>
      <c r="N55" s="14">
        <f t="shared" ref="N55:S55" si="41">C43</f>
        <v>0.66</v>
      </c>
      <c r="O55" s="14">
        <f t="shared" si="41"/>
        <v>266</v>
      </c>
      <c r="P55" s="14">
        <f t="shared" si="41"/>
        <v>1046</v>
      </c>
      <c r="Q55" s="14">
        <f t="shared" si="41"/>
        <v>27281</v>
      </c>
      <c r="R55" s="14">
        <f t="shared" si="41"/>
        <v>3.0200000000000001E-2</v>
      </c>
      <c r="S55" s="14">
        <f t="shared" si="41"/>
        <v>352247</v>
      </c>
      <c r="EP55" s="13">
        <f t="shared" si="3"/>
        <v>577</v>
      </c>
    </row>
    <row r="56" spans="2:146">
      <c r="B56" s="4">
        <v>423</v>
      </c>
      <c r="C56" s="4">
        <v>0.83</v>
      </c>
      <c r="D56" s="4">
        <v>154</v>
      </c>
      <c r="E56" s="4">
        <v>695</v>
      </c>
      <c r="F56" s="4">
        <v>27478</v>
      </c>
      <c r="G56" s="4">
        <v>1.46E-2</v>
      </c>
      <c r="H56" s="4">
        <v>501547</v>
      </c>
      <c r="I56" s="4">
        <f t="shared" si="0"/>
        <v>217.69106274000001</v>
      </c>
      <c r="M56" s="13">
        <v>1</v>
      </c>
      <c r="N56" s="14">
        <f t="shared" ref="N56:S56" si="42">C44</f>
        <v>0.68</v>
      </c>
      <c r="O56" s="14">
        <f t="shared" si="42"/>
        <v>253</v>
      </c>
      <c r="P56" s="14">
        <f t="shared" si="42"/>
        <v>980</v>
      </c>
      <c r="Q56" s="14">
        <f t="shared" si="42"/>
        <v>21016</v>
      </c>
      <c r="R56" s="14">
        <f t="shared" si="42"/>
        <v>2.7199999999999998E-2</v>
      </c>
      <c r="S56" s="14">
        <f t="shared" si="42"/>
        <v>365719</v>
      </c>
      <c r="EP56" s="13">
        <f t="shared" si="3"/>
        <v>564</v>
      </c>
    </row>
    <row r="57" spans="2:146">
      <c r="B57" s="4">
        <v>488</v>
      </c>
      <c r="C57" s="4">
        <v>0.84</v>
      </c>
      <c r="D57" s="4">
        <v>155</v>
      </c>
      <c r="E57" s="4">
        <v>669</v>
      </c>
      <c r="F57" s="4">
        <v>30147</v>
      </c>
      <c r="G57" s="4">
        <v>1.6E-2</v>
      </c>
      <c r="H57" s="4">
        <v>506051</v>
      </c>
      <c r="I57" s="4">
        <f t="shared" si="0"/>
        <v>371.1589823999999</v>
      </c>
      <c r="M57" s="13">
        <v>1</v>
      </c>
      <c r="N57" s="14">
        <f t="shared" ref="N57:S57" si="43">C45</f>
        <v>0.69</v>
      </c>
      <c r="O57" s="14">
        <f t="shared" si="43"/>
        <v>242</v>
      </c>
      <c r="P57" s="14">
        <f t="shared" si="43"/>
        <v>976</v>
      </c>
      <c r="Q57" s="14">
        <f t="shared" si="43"/>
        <v>9709</v>
      </c>
      <c r="R57" s="14">
        <f t="shared" si="43"/>
        <v>2.6200000000000001E-2</v>
      </c>
      <c r="S57" s="14">
        <f t="shared" si="43"/>
        <v>371084</v>
      </c>
      <c r="EP57" s="13">
        <f t="shared" si="3"/>
        <v>541</v>
      </c>
    </row>
    <row r="58" spans="2:146">
      <c r="B58" s="4">
        <v>344</v>
      </c>
      <c r="C58" s="4">
        <v>0.86</v>
      </c>
      <c r="D58" s="4">
        <v>148</v>
      </c>
      <c r="E58" s="4">
        <v>618</v>
      </c>
      <c r="F58" s="4">
        <v>22158</v>
      </c>
      <c r="G58" s="4">
        <v>1.6400000000000001E-2</v>
      </c>
      <c r="H58" s="4">
        <v>508507</v>
      </c>
      <c r="I58" s="4">
        <f t="shared" si="0"/>
        <v>388.71945316000006</v>
      </c>
      <c r="M58" s="13">
        <v>1</v>
      </c>
      <c r="N58" s="14">
        <f t="shared" ref="N58:S58" si="44">C46</f>
        <v>0.7</v>
      </c>
      <c r="O58" s="14">
        <f t="shared" si="44"/>
        <v>231</v>
      </c>
      <c r="P58" s="14">
        <f t="shared" si="44"/>
        <v>996</v>
      </c>
      <c r="Q58" s="14">
        <f t="shared" si="44"/>
        <v>26427</v>
      </c>
      <c r="R58" s="14">
        <f t="shared" si="44"/>
        <v>2.5399999999999999E-2</v>
      </c>
      <c r="S58" s="14">
        <f t="shared" si="44"/>
        <v>377464</v>
      </c>
      <c r="EP58" s="13">
        <f t="shared" si="3"/>
        <v>256</v>
      </c>
    </row>
    <row r="59" spans="2:146">
      <c r="B59" s="4">
        <v>365</v>
      </c>
      <c r="C59" s="4">
        <v>0.89</v>
      </c>
      <c r="D59" s="4">
        <v>142</v>
      </c>
      <c r="E59" s="4">
        <v>633</v>
      </c>
      <c r="F59" s="4">
        <v>10845</v>
      </c>
      <c r="G59" s="4">
        <v>1.5900000000000001E-2</v>
      </c>
      <c r="H59" s="4">
        <v>510025</v>
      </c>
      <c r="I59" s="4">
        <f t="shared" si="0"/>
        <v>246.39928621000024</v>
      </c>
      <c r="M59" s="13">
        <v>1</v>
      </c>
      <c r="N59" s="14">
        <f t="shared" ref="N59:S59" si="45">C47</f>
        <v>0.71</v>
      </c>
      <c r="O59" s="14">
        <f t="shared" si="45"/>
        <v>213</v>
      </c>
      <c r="P59" s="14">
        <f t="shared" si="45"/>
        <v>955</v>
      </c>
      <c r="Q59" s="14">
        <f t="shared" si="45"/>
        <v>41394</v>
      </c>
      <c r="R59" s="14">
        <f t="shared" si="45"/>
        <v>2.0299999999999999E-2</v>
      </c>
      <c r="S59" s="14">
        <f t="shared" si="45"/>
        <v>380479</v>
      </c>
      <c r="EP59" s="13">
        <f t="shared" si="3"/>
        <v>384</v>
      </c>
    </row>
    <row r="60" spans="2:146">
      <c r="B60" s="4">
        <v>309</v>
      </c>
      <c r="C60" s="4">
        <v>0.92</v>
      </c>
      <c r="D60" s="4">
        <v>136</v>
      </c>
      <c r="E60" s="4">
        <v>623</v>
      </c>
      <c r="F60" s="4">
        <v>30192</v>
      </c>
      <c r="G60" s="4">
        <v>1.6199999999999999E-2</v>
      </c>
      <c r="H60" s="4">
        <v>511095</v>
      </c>
      <c r="I60" s="4">
        <f t="shared" si="0"/>
        <v>418.48060878000001</v>
      </c>
      <c r="M60" s="13">
        <v>1</v>
      </c>
      <c r="N60" s="14">
        <f t="shared" ref="N60:S60" si="46">C48</f>
        <v>0.72</v>
      </c>
      <c r="O60" s="14">
        <f t="shared" si="46"/>
        <v>205</v>
      </c>
      <c r="P60" s="14">
        <f t="shared" si="46"/>
        <v>856</v>
      </c>
      <c r="Q60" s="14">
        <f t="shared" si="46"/>
        <v>48102</v>
      </c>
      <c r="R60" s="14">
        <f t="shared" si="46"/>
        <v>1.83E-2</v>
      </c>
      <c r="S60" s="14">
        <f t="shared" si="46"/>
        <v>386426</v>
      </c>
      <c r="EP60" s="13">
        <f t="shared" si="3"/>
        <v>673</v>
      </c>
    </row>
    <row r="61" spans="2:146">
      <c r="B61" s="4">
        <v>388</v>
      </c>
      <c r="C61" s="4">
        <v>0.94</v>
      </c>
      <c r="D61" s="4">
        <v>129</v>
      </c>
      <c r="E61" s="4">
        <v>584</v>
      </c>
      <c r="F61" s="4">
        <v>29244</v>
      </c>
      <c r="G61" s="4">
        <v>1.61E-2</v>
      </c>
      <c r="H61" s="4">
        <v>513723</v>
      </c>
      <c r="I61" s="4">
        <f t="shared" si="0"/>
        <v>440.67812359000004</v>
      </c>
      <c r="M61" s="13">
        <v>1</v>
      </c>
      <c r="N61" s="14">
        <f t="shared" ref="N61:S61" si="47">C49</f>
        <v>0.74</v>
      </c>
      <c r="O61" s="14">
        <f t="shared" si="47"/>
        <v>187</v>
      </c>
      <c r="P61" s="14">
        <f t="shared" si="47"/>
        <v>828</v>
      </c>
      <c r="Q61" s="14">
        <f t="shared" si="47"/>
        <v>52896</v>
      </c>
      <c r="R61" s="14">
        <f t="shared" si="47"/>
        <v>1.5299999999999999E-2</v>
      </c>
      <c r="S61" s="14">
        <f t="shared" si="47"/>
        <v>408323</v>
      </c>
      <c r="EP61" s="13">
        <f t="shared" si="3"/>
        <v>485</v>
      </c>
    </row>
    <row r="62" spans="2:146">
      <c r="B62" s="4">
        <v>618</v>
      </c>
      <c r="C62" s="4">
        <v>0.97</v>
      </c>
      <c r="D62" s="4">
        <v>127</v>
      </c>
      <c r="E62" s="4">
        <v>558</v>
      </c>
      <c r="F62" s="4">
        <v>28880</v>
      </c>
      <c r="G62" s="4">
        <v>1.6400000000000001E-2</v>
      </c>
      <c r="H62" s="4">
        <v>517319</v>
      </c>
      <c r="I62" s="4">
        <f t="shared" si="0"/>
        <v>498.70934616000011</v>
      </c>
      <c r="M62" s="13">
        <v>1</v>
      </c>
      <c r="N62" s="14">
        <f t="shared" ref="N62:S62" si="48">C50</f>
        <v>0.76</v>
      </c>
      <c r="O62" s="14">
        <f t="shared" si="48"/>
        <v>182</v>
      </c>
      <c r="P62" s="14">
        <f t="shared" si="48"/>
        <v>789</v>
      </c>
      <c r="Q62" s="14">
        <f t="shared" si="48"/>
        <v>53485</v>
      </c>
      <c r="R62" s="14">
        <f t="shared" si="48"/>
        <v>1.37E-2</v>
      </c>
      <c r="S62" s="14">
        <f t="shared" si="48"/>
        <v>441676</v>
      </c>
      <c r="EP62" s="13">
        <f t="shared" si="3"/>
        <v>568</v>
      </c>
    </row>
    <row r="63" spans="2:146">
      <c r="B63" s="4">
        <v>592</v>
      </c>
      <c r="C63" s="4">
        <v>0.98</v>
      </c>
      <c r="D63" s="4">
        <v>129</v>
      </c>
      <c r="E63" s="4">
        <v>538</v>
      </c>
      <c r="F63" s="4">
        <v>28742</v>
      </c>
      <c r="G63" s="4">
        <v>1.72E-2</v>
      </c>
      <c r="H63" s="4">
        <v>527026</v>
      </c>
      <c r="I63" s="4">
        <f t="shared" si="0"/>
        <v>587.36349868000002</v>
      </c>
      <c r="M63" s="13">
        <v>1</v>
      </c>
      <c r="N63" s="14">
        <f t="shared" ref="N63:S63" si="49">C51</f>
        <v>0.77</v>
      </c>
      <c r="O63" s="14">
        <f t="shared" si="49"/>
        <v>170</v>
      </c>
      <c r="P63" s="14">
        <f t="shared" si="49"/>
        <v>744</v>
      </c>
      <c r="Q63" s="14">
        <f t="shared" si="49"/>
        <v>33514</v>
      </c>
      <c r="R63" s="14">
        <f t="shared" si="49"/>
        <v>1.2699999999999999E-2</v>
      </c>
      <c r="S63" s="14">
        <f t="shared" si="49"/>
        <v>469651</v>
      </c>
      <c r="EP63" s="13">
        <f t="shared" si="3"/>
        <v>457</v>
      </c>
    </row>
    <row r="64" spans="2:146">
      <c r="B64" s="4">
        <v>548</v>
      </c>
      <c r="C64" s="4">
        <v>0.98</v>
      </c>
      <c r="D64" s="4">
        <v>131</v>
      </c>
      <c r="E64" s="4">
        <v>513</v>
      </c>
      <c r="F64" s="4">
        <v>14921</v>
      </c>
      <c r="G64" s="4">
        <v>1.9199999999999998E-2</v>
      </c>
      <c r="H64" s="4">
        <v>569074</v>
      </c>
      <c r="I64" s="4">
        <f t="shared" si="0"/>
        <v>653.84082248000004</v>
      </c>
      <c r="M64" s="13">
        <v>1</v>
      </c>
      <c r="N64" s="14">
        <f t="shared" ref="N64:S64" si="50">C52</f>
        <v>0.79</v>
      </c>
      <c r="O64" s="14">
        <f t="shared" si="50"/>
        <v>170</v>
      </c>
      <c r="P64" s="14">
        <f t="shared" si="50"/>
        <v>765</v>
      </c>
      <c r="Q64" s="14">
        <f t="shared" si="50"/>
        <v>10254</v>
      </c>
      <c r="R64" s="14">
        <f t="shared" si="50"/>
        <v>1.23E-2</v>
      </c>
      <c r="S64" s="14">
        <f t="shared" si="50"/>
        <v>482561</v>
      </c>
      <c r="EP64" s="13">
        <f t="shared" si="3"/>
        <v>450</v>
      </c>
    </row>
    <row r="65" spans="2:146">
      <c r="B65" s="4">
        <v>280</v>
      </c>
      <c r="C65" s="4">
        <v>0.97</v>
      </c>
      <c r="D65" s="4">
        <v>126</v>
      </c>
      <c r="E65" s="4">
        <v>512</v>
      </c>
      <c r="F65" s="4">
        <v>23135</v>
      </c>
      <c r="G65" s="4">
        <v>1.8700000000000001E-2</v>
      </c>
      <c r="H65" s="4">
        <v>585830</v>
      </c>
      <c r="I65" s="4">
        <f t="shared" si="0"/>
        <v>662.14490353000042</v>
      </c>
      <c r="M65" s="13">
        <v>1</v>
      </c>
      <c r="N65" s="14">
        <f t="shared" ref="N65:S65" si="51">C53</f>
        <v>0.8</v>
      </c>
      <c r="O65" s="14">
        <f t="shared" si="51"/>
        <v>165</v>
      </c>
      <c r="P65" s="14">
        <f t="shared" si="51"/>
        <v>771</v>
      </c>
      <c r="Q65" s="14">
        <f t="shared" si="51"/>
        <v>30283</v>
      </c>
      <c r="R65" s="14">
        <f t="shared" si="51"/>
        <v>1.21E-2</v>
      </c>
      <c r="S65" s="14">
        <f t="shared" si="51"/>
        <v>488236</v>
      </c>
      <c r="EP65" s="13">
        <f t="shared" si="3"/>
        <v>248</v>
      </c>
    </row>
    <row r="66" spans="2:146">
      <c r="B66" s="4">
        <v>193</v>
      </c>
      <c r="C66" s="4">
        <v>1</v>
      </c>
      <c r="D66" s="4">
        <v>117</v>
      </c>
      <c r="E66" s="4">
        <v>517</v>
      </c>
      <c r="F66" s="4">
        <v>12404</v>
      </c>
      <c r="G66" s="4">
        <v>1.7500000000000002E-2</v>
      </c>
      <c r="H66" s="4">
        <v>592953</v>
      </c>
      <c r="I66" s="4">
        <f t="shared" si="0"/>
        <v>480.77565825000022</v>
      </c>
      <c r="M66" s="13">
        <v>1</v>
      </c>
      <c r="N66" s="14">
        <f t="shared" ref="N66:S66" si="52">C54</f>
        <v>0.81</v>
      </c>
      <c r="O66" s="14">
        <f t="shared" si="52"/>
        <v>159</v>
      </c>
      <c r="P66" s="14">
        <f t="shared" si="52"/>
        <v>743</v>
      </c>
      <c r="Q66" s="14">
        <f t="shared" si="52"/>
        <v>31200</v>
      </c>
      <c r="R66" s="14">
        <f t="shared" si="52"/>
        <v>1.2800000000000001E-2</v>
      </c>
      <c r="S66" s="14">
        <f t="shared" si="52"/>
        <v>495868</v>
      </c>
      <c r="EP66" s="13">
        <f t="shared" si="3"/>
        <v>434</v>
      </c>
    </row>
    <row r="67" spans="2:146">
      <c r="B67" s="4">
        <v>159</v>
      </c>
      <c r="C67" s="4">
        <v>1.06</v>
      </c>
      <c r="D67" s="4">
        <v>112</v>
      </c>
      <c r="E67" s="4">
        <v>536</v>
      </c>
      <c r="F67" s="4">
        <v>59246</v>
      </c>
      <c r="G67" s="4">
        <v>1.41E-2</v>
      </c>
      <c r="H67" s="4">
        <v>596680</v>
      </c>
      <c r="I67" s="4">
        <f t="shared" si="0"/>
        <v>596.69765579</v>
      </c>
      <c r="M67" s="13">
        <v>1</v>
      </c>
      <c r="N67" s="14">
        <f t="shared" ref="N67:S67" si="53">C55</f>
        <v>0.82</v>
      </c>
      <c r="O67" s="14">
        <f t="shared" si="53"/>
        <v>155</v>
      </c>
      <c r="P67" s="14">
        <f t="shared" si="53"/>
        <v>712</v>
      </c>
      <c r="Q67" s="14">
        <f t="shared" si="53"/>
        <v>29256</v>
      </c>
      <c r="R67" s="14">
        <f t="shared" si="53"/>
        <v>1.34E-2</v>
      </c>
      <c r="S67" s="14">
        <f t="shared" si="53"/>
        <v>497940</v>
      </c>
      <c r="EP67" s="13">
        <f t="shared" si="3"/>
        <v>575</v>
      </c>
    </row>
    <row r="68" spans="2:146">
      <c r="B68" s="4">
        <v>874</v>
      </c>
      <c r="C68" s="4">
        <v>1.1399999999999999</v>
      </c>
      <c r="D68" s="4">
        <v>113</v>
      </c>
      <c r="E68" s="4">
        <v>504</v>
      </c>
      <c r="F68" s="4">
        <v>63682</v>
      </c>
      <c r="G68" s="4">
        <v>1.41E-2</v>
      </c>
      <c r="H68" s="4">
        <v>602600</v>
      </c>
      <c r="I68" s="4">
        <f t="shared" si="0"/>
        <v>713.11535978999996</v>
      </c>
      <c r="M68" s="13">
        <v>1</v>
      </c>
      <c r="N68" s="14">
        <f t="shared" ref="N68:S68" si="54">C56</f>
        <v>0.83</v>
      </c>
      <c r="O68" s="14">
        <f t="shared" si="54"/>
        <v>154</v>
      </c>
      <c r="P68" s="14">
        <f t="shared" si="54"/>
        <v>695</v>
      </c>
      <c r="Q68" s="14">
        <f t="shared" si="54"/>
        <v>27478</v>
      </c>
      <c r="R68" s="14">
        <f t="shared" si="54"/>
        <v>1.46E-2</v>
      </c>
      <c r="S68" s="14">
        <f t="shared" si="54"/>
        <v>501547</v>
      </c>
      <c r="EP68" s="13">
        <f t="shared" si="3"/>
        <v>423</v>
      </c>
    </row>
    <row r="69" spans="2:146">
      <c r="B69" s="4">
        <v>663</v>
      </c>
      <c r="C69" s="4">
        <v>1.1399999999999999</v>
      </c>
      <c r="D69" s="4">
        <v>116</v>
      </c>
      <c r="E69" s="4">
        <v>488</v>
      </c>
      <c r="F69" s="4">
        <v>63338</v>
      </c>
      <c r="G69" s="4">
        <v>1.2500000000000001E-2</v>
      </c>
      <c r="H69" s="4">
        <v>605682</v>
      </c>
      <c r="I69" s="4">
        <f t="shared" ref="I69:I123" si="55">ROUND($AG$140,4)+ROUND($AG$141,4)*C69+ROUND($AG$142,4)*D69+ROUND($AG$143,4)*E69+ROUND($AG$144,4)*F69+ROUND($AG$145,4)*G69+ROUND($AG$146,4)*H69</f>
        <v>635.66798074999986</v>
      </c>
      <c r="M69" s="13">
        <v>1</v>
      </c>
      <c r="N69" s="14">
        <f t="shared" ref="N69:S69" si="56">C57</f>
        <v>0.84</v>
      </c>
      <c r="O69" s="14">
        <f t="shared" si="56"/>
        <v>155</v>
      </c>
      <c r="P69" s="14">
        <f t="shared" si="56"/>
        <v>669</v>
      </c>
      <c r="Q69" s="14">
        <f t="shared" si="56"/>
        <v>30147</v>
      </c>
      <c r="R69" s="14">
        <f t="shared" si="56"/>
        <v>1.6E-2</v>
      </c>
      <c r="S69" s="14">
        <f t="shared" si="56"/>
        <v>506051</v>
      </c>
      <c r="EP69" s="13">
        <f t="shared" si="3"/>
        <v>488</v>
      </c>
    </row>
    <row r="70" spans="2:146">
      <c r="B70" s="4">
        <v>602</v>
      </c>
      <c r="C70" s="4">
        <v>1.1299999999999999</v>
      </c>
      <c r="D70" s="4">
        <v>122</v>
      </c>
      <c r="E70" s="4">
        <v>495</v>
      </c>
      <c r="F70" s="4">
        <v>58289</v>
      </c>
      <c r="G70" s="4">
        <v>1.1299999999999999E-2</v>
      </c>
      <c r="H70" s="4">
        <v>616121</v>
      </c>
      <c r="I70" s="4">
        <f t="shared" si="55"/>
        <v>525.18108346999998</v>
      </c>
      <c r="M70" s="13">
        <v>1</v>
      </c>
      <c r="N70" s="14">
        <f t="shared" ref="N70:S70" si="57">C58</f>
        <v>0.86</v>
      </c>
      <c r="O70" s="14">
        <f t="shared" si="57"/>
        <v>148</v>
      </c>
      <c r="P70" s="14">
        <f t="shared" si="57"/>
        <v>618</v>
      </c>
      <c r="Q70" s="14">
        <f t="shared" si="57"/>
        <v>22158</v>
      </c>
      <c r="R70" s="14">
        <f t="shared" si="57"/>
        <v>1.6400000000000001E-2</v>
      </c>
      <c r="S70" s="14">
        <f t="shared" si="57"/>
        <v>508507</v>
      </c>
      <c r="EP70" s="13">
        <f t="shared" si="3"/>
        <v>344</v>
      </c>
    </row>
    <row r="71" spans="2:146">
      <c r="B71" s="4">
        <v>694</v>
      </c>
      <c r="C71" s="4">
        <v>1.1200000000000001</v>
      </c>
      <c r="D71" s="4">
        <v>128</v>
      </c>
      <c r="E71" s="4">
        <v>486</v>
      </c>
      <c r="F71" s="4">
        <v>60156</v>
      </c>
      <c r="G71" s="4">
        <v>1.0200000000000001E-2</v>
      </c>
      <c r="H71" s="4">
        <v>631127</v>
      </c>
      <c r="I71" s="4">
        <f t="shared" si="55"/>
        <v>493.50019738000003</v>
      </c>
      <c r="M71" s="13">
        <v>1</v>
      </c>
      <c r="N71" s="14">
        <f t="shared" ref="N71:S71" si="58">C59</f>
        <v>0.89</v>
      </c>
      <c r="O71" s="14">
        <f t="shared" si="58"/>
        <v>142</v>
      </c>
      <c r="P71" s="14">
        <f t="shared" si="58"/>
        <v>633</v>
      </c>
      <c r="Q71" s="14">
        <f t="shared" si="58"/>
        <v>10845</v>
      </c>
      <c r="R71" s="14">
        <f t="shared" si="58"/>
        <v>1.5900000000000001E-2</v>
      </c>
      <c r="S71" s="14">
        <f t="shared" si="58"/>
        <v>510025</v>
      </c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P71" s="13">
        <f t="shared" si="3"/>
        <v>365</v>
      </c>
    </row>
    <row r="72" spans="2:146">
      <c r="B72" s="4">
        <v>601</v>
      </c>
      <c r="C72" s="4">
        <v>1.1000000000000001</v>
      </c>
      <c r="D72" s="4">
        <v>119</v>
      </c>
      <c r="E72" s="4">
        <v>466</v>
      </c>
      <c r="F72" s="4">
        <v>31800</v>
      </c>
      <c r="G72" s="4">
        <v>1.09E-2</v>
      </c>
      <c r="H72" s="4">
        <v>643712</v>
      </c>
      <c r="I72" s="4">
        <f t="shared" si="55"/>
        <v>312.35854971000015</v>
      </c>
      <c r="M72" s="13">
        <v>1</v>
      </c>
      <c r="N72" s="14">
        <f t="shared" ref="N72:S72" si="59">C60</f>
        <v>0.92</v>
      </c>
      <c r="O72" s="14">
        <f t="shared" si="59"/>
        <v>136</v>
      </c>
      <c r="P72" s="14">
        <f t="shared" si="59"/>
        <v>623</v>
      </c>
      <c r="Q72" s="14">
        <f t="shared" si="59"/>
        <v>30192</v>
      </c>
      <c r="R72" s="14">
        <f t="shared" si="59"/>
        <v>1.6199999999999999E-2</v>
      </c>
      <c r="S72" s="14">
        <f t="shared" si="59"/>
        <v>511095</v>
      </c>
      <c r="W72">
        <f t="array" ref="W72:EL78">TRANSPOSE(M16:S135)</f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P72" s="13">
        <f t="shared" si="3"/>
        <v>309</v>
      </c>
    </row>
    <row r="73" spans="2:146">
      <c r="B73" s="4">
        <v>566</v>
      </c>
      <c r="C73" s="4">
        <v>1.07</v>
      </c>
      <c r="D73" s="4">
        <v>113</v>
      </c>
      <c r="E73" s="4">
        <v>466</v>
      </c>
      <c r="F73" s="4">
        <v>12842</v>
      </c>
      <c r="G73" s="4">
        <v>1.1900000000000001E-2</v>
      </c>
      <c r="H73" s="4">
        <v>645818</v>
      </c>
      <c r="I73" s="4">
        <f t="shared" si="55"/>
        <v>201.18567261000032</v>
      </c>
      <c r="M73" s="13">
        <v>1</v>
      </c>
      <c r="N73" s="14">
        <f t="shared" ref="N73:S73" si="60">C61</f>
        <v>0.94</v>
      </c>
      <c r="O73" s="14">
        <f t="shared" si="60"/>
        <v>129</v>
      </c>
      <c r="P73" s="14">
        <f t="shared" si="60"/>
        <v>584</v>
      </c>
      <c r="Q73" s="14">
        <f t="shared" si="60"/>
        <v>29244</v>
      </c>
      <c r="R73" s="14">
        <f t="shared" si="60"/>
        <v>1.61E-2</v>
      </c>
      <c r="S73" s="14">
        <f t="shared" si="60"/>
        <v>513723</v>
      </c>
      <c r="W73">
        <v>0.82</v>
      </c>
      <c r="X73">
        <v>0.76</v>
      </c>
      <c r="Y73">
        <v>0.71</v>
      </c>
      <c r="Z73">
        <v>0.67</v>
      </c>
      <c r="AA73">
        <v>0.64</v>
      </c>
      <c r="AB73" s="13">
        <v>0.62</v>
      </c>
      <c r="AC73" s="13">
        <v>0.59</v>
      </c>
      <c r="AD73" s="13">
        <v>0.56000000000000005</v>
      </c>
      <c r="AE73" s="13">
        <v>0.53</v>
      </c>
      <c r="AF73" s="13">
        <v>0.51</v>
      </c>
      <c r="AG73" s="13">
        <v>0.49</v>
      </c>
      <c r="AH73" s="13">
        <v>0.48</v>
      </c>
      <c r="AI73" s="13">
        <v>0.48</v>
      </c>
      <c r="AJ73" s="13">
        <v>0.48</v>
      </c>
      <c r="AK73" s="13">
        <v>0.48</v>
      </c>
      <c r="AL73" s="13">
        <v>0.47</v>
      </c>
      <c r="AM73" s="13">
        <v>0.47</v>
      </c>
      <c r="AN73" s="13">
        <v>0.47</v>
      </c>
      <c r="AO73" s="13">
        <v>0.48</v>
      </c>
      <c r="AP73" s="13">
        <v>0.48</v>
      </c>
      <c r="AQ73" s="13">
        <v>0.49</v>
      </c>
      <c r="AR73" s="13">
        <v>0.49</v>
      </c>
      <c r="AS73" s="13">
        <v>0.49</v>
      </c>
      <c r="AT73" s="13">
        <v>0.5</v>
      </c>
      <c r="AU73" s="13">
        <v>0.5</v>
      </c>
      <c r="AV73" s="13">
        <v>0.51</v>
      </c>
      <c r="AW73" s="13">
        <v>0.53</v>
      </c>
      <c r="AX73" s="13">
        <v>0.54</v>
      </c>
      <c r="AY73" s="13">
        <v>0.56000000000000005</v>
      </c>
      <c r="AZ73" s="13">
        <v>0.56999999999999995</v>
      </c>
      <c r="BA73" s="13">
        <v>0.59</v>
      </c>
      <c r="BB73" s="13">
        <v>0.61</v>
      </c>
      <c r="BC73" s="13">
        <v>0.64</v>
      </c>
      <c r="BD73" s="13">
        <v>0.66</v>
      </c>
      <c r="BE73" s="13">
        <v>0.67</v>
      </c>
      <c r="BF73" s="13">
        <v>0.67</v>
      </c>
      <c r="BG73" s="13">
        <v>0.67</v>
      </c>
      <c r="BH73" s="13">
        <v>0.65</v>
      </c>
      <c r="BI73" s="13">
        <v>0.65</v>
      </c>
      <c r="BJ73" s="13">
        <v>0.66</v>
      </c>
      <c r="BK73" s="13">
        <v>0.68</v>
      </c>
      <c r="BL73" s="13">
        <v>0.69</v>
      </c>
      <c r="BM73" s="13">
        <v>0.7</v>
      </c>
      <c r="BN73" s="13">
        <v>0.71</v>
      </c>
      <c r="BO73" s="13">
        <v>0.72</v>
      </c>
      <c r="BP73" s="13">
        <v>0.74</v>
      </c>
      <c r="BQ73" s="13">
        <v>0.76</v>
      </c>
      <c r="BR73" s="13">
        <v>0.77</v>
      </c>
      <c r="BS73" s="13">
        <v>0.79</v>
      </c>
      <c r="BT73" s="13">
        <v>0.8</v>
      </c>
      <c r="BU73" s="13">
        <v>0.81</v>
      </c>
      <c r="BV73" s="13">
        <v>0.82</v>
      </c>
      <c r="BW73" s="13">
        <v>0.83</v>
      </c>
      <c r="BX73" s="13">
        <v>0.84</v>
      </c>
      <c r="BY73" s="13">
        <v>0.86</v>
      </c>
      <c r="BZ73" s="13">
        <v>0.89</v>
      </c>
      <c r="CA73" s="13">
        <v>0.92</v>
      </c>
      <c r="CB73" s="13">
        <v>0.94</v>
      </c>
      <c r="CC73" s="13">
        <v>0.97</v>
      </c>
      <c r="CD73" s="13">
        <v>0.98</v>
      </c>
      <c r="CE73" s="13">
        <v>0.98</v>
      </c>
      <c r="CF73" s="13">
        <v>0.97</v>
      </c>
      <c r="CG73" s="13">
        <v>1</v>
      </c>
      <c r="CH73" s="13">
        <v>1.06</v>
      </c>
      <c r="CI73" s="13">
        <v>1.1399999999999999</v>
      </c>
      <c r="CJ73" s="13">
        <v>1.1399999999999999</v>
      </c>
      <c r="CK73" s="13">
        <v>1.1299999999999999</v>
      </c>
      <c r="CL73" s="13">
        <v>1.1200000000000001</v>
      </c>
      <c r="CM73" s="13">
        <v>1.1000000000000001</v>
      </c>
      <c r="CN73" s="13">
        <v>1.07</v>
      </c>
      <c r="CO73" s="13">
        <v>1.04</v>
      </c>
      <c r="CP73" s="13">
        <v>1.01</v>
      </c>
      <c r="CQ73" s="13">
        <v>1.01</v>
      </c>
      <c r="CR73" s="13">
        <v>1</v>
      </c>
      <c r="CS73" s="13">
        <v>1</v>
      </c>
      <c r="CT73" s="13">
        <v>1</v>
      </c>
      <c r="CU73" s="13">
        <v>0.99</v>
      </c>
      <c r="CV73" s="13">
        <v>0.98</v>
      </c>
      <c r="CW73" s="13">
        <v>0.97</v>
      </c>
      <c r="CX73" s="13">
        <v>0.97</v>
      </c>
      <c r="CY73" s="13">
        <v>0.97</v>
      </c>
      <c r="CZ73" s="13">
        <v>0.96</v>
      </c>
      <c r="DA73" s="13">
        <v>0.96</v>
      </c>
      <c r="DB73" s="13">
        <v>0.94</v>
      </c>
      <c r="DC73" s="13">
        <v>0.92</v>
      </c>
      <c r="DD73" s="13">
        <v>0.91</v>
      </c>
      <c r="DE73" s="13">
        <v>0.9</v>
      </c>
      <c r="DF73" s="13">
        <v>0.89</v>
      </c>
      <c r="DG73" s="13">
        <v>0.88</v>
      </c>
      <c r="DH73" s="13">
        <v>0.87</v>
      </c>
      <c r="DI73" s="13">
        <v>0.86</v>
      </c>
      <c r="DJ73" s="13">
        <v>0.86</v>
      </c>
      <c r="DK73" s="13">
        <v>0.85</v>
      </c>
      <c r="DL73" s="13">
        <v>0.85</v>
      </c>
      <c r="DM73" s="13">
        <v>0.87</v>
      </c>
      <c r="DN73" s="13">
        <v>0.89</v>
      </c>
      <c r="DO73" s="13">
        <v>0.91</v>
      </c>
      <c r="DP73" s="13">
        <v>0.93</v>
      </c>
      <c r="DQ73" s="13">
        <v>0.95</v>
      </c>
      <c r="DR73" s="13">
        <v>0.97</v>
      </c>
      <c r="DS73" s="13">
        <v>1</v>
      </c>
      <c r="DT73" s="13">
        <v>1.02</v>
      </c>
      <c r="DU73" s="13">
        <v>1.04</v>
      </c>
      <c r="DV73" s="13">
        <v>1.05</v>
      </c>
      <c r="DW73" s="13">
        <v>1.06</v>
      </c>
      <c r="DX73" s="13">
        <v>1.07</v>
      </c>
      <c r="DY73" s="13">
        <v>1.08</v>
      </c>
      <c r="DZ73" s="13">
        <v>1.0900000000000001</v>
      </c>
      <c r="EA73" s="13">
        <v>1.1000000000000001</v>
      </c>
      <c r="EB73" s="13">
        <v>1.1200000000000001</v>
      </c>
      <c r="EC73" s="13">
        <v>1.1200000000000001</v>
      </c>
      <c r="ED73" s="13">
        <v>1.1200000000000001</v>
      </c>
      <c r="EE73" s="13">
        <v>1.1100000000000001</v>
      </c>
      <c r="EF73" s="13">
        <v>1.1200000000000001</v>
      </c>
      <c r="EG73" s="13">
        <v>1.1299999999999999</v>
      </c>
      <c r="EH73" s="13">
        <v>1.1399999999999999</v>
      </c>
      <c r="EI73" s="13">
        <v>1.1599999999999999</v>
      </c>
      <c r="EJ73" s="13">
        <v>1.1599999999999999</v>
      </c>
      <c r="EK73" s="13">
        <v>1.1599999999999999</v>
      </c>
      <c r="EL73" s="13">
        <v>1.1599999999999999</v>
      </c>
      <c r="EP73" s="13">
        <f t="shared" si="3"/>
        <v>388</v>
      </c>
    </row>
    <row r="74" spans="2:146">
      <c r="B74" s="4">
        <v>271</v>
      </c>
      <c r="C74" s="4">
        <v>1.04</v>
      </c>
      <c r="D74" s="4">
        <v>119</v>
      </c>
      <c r="E74" s="4">
        <v>479</v>
      </c>
      <c r="F74" s="4">
        <v>38795</v>
      </c>
      <c r="G74" s="4">
        <v>1.2999999999999999E-2</v>
      </c>
      <c r="H74" s="4">
        <v>651251</v>
      </c>
      <c r="I74" s="4">
        <f t="shared" si="55"/>
        <v>457.16910670000004</v>
      </c>
      <c r="M74" s="13">
        <v>1</v>
      </c>
      <c r="N74" s="14">
        <f t="shared" ref="N74:S74" si="61">C62</f>
        <v>0.97</v>
      </c>
      <c r="O74" s="14">
        <f t="shared" si="61"/>
        <v>127</v>
      </c>
      <c r="P74" s="14">
        <f t="shared" si="61"/>
        <v>558</v>
      </c>
      <c r="Q74" s="14">
        <f t="shared" si="61"/>
        <v>28880</v>
      </c>
      <c r="R74" s="14">
        <f t="shared" si="61"/>
        <v>1.6400000000000001E-2</v>
      </c>
      <c r="S74" s="14">
        <f t="shared" si="61"/>
        <v>517319</v>
      </c>
      <c r="W74">
        <v>865</v>
      </c>
      <c r="X74">
        <v>852</v>
      </c>
      <c r="Y74">
        <v>877</v>
      </c>
      <c r="Z74">
        <v>863</v>
      </c>
      <c r="AA74">
        <v>904</v>
      </c>
      <c r="AB74">
        <v>891</v>
      </c>
      <c r="AC74">
        <v>865</v>
      </c>
      <c r="AD74">
        <v>877</v>
      </c>
      <c r="AE74">
        <v>862</v>
      </c>
      <c r="AF74">
        <v>853</v>
      </c>
      <c r="AG74">
        <v>836</v>
      </c>
      <c r="AH74">
        <v>846</v>
      </c>
      <c r="AI74">
        <v>803</v>
      </c>
      <c r="AJ74">
        <v>795</v>
      </c>
      <c r="AK74">
        <v>784</v>
      </c>
      <c r="AL74">
        <v>752</v>
      </c>
      <c r="AM74">
        <v>719</v>
      </c>
      <c r="AN74">
        <v>688</v>
      </c>
      <c r="AO74">
        <v>669</v>
      </c>
      <c r="AP74">
        <v>656</v>
      </c>
      <c r="AQ74">
        <v>638</v>
      </c>
      <c r="AR74">
        <v>627</v>
      </c>
      <c r="AS74">
        <v>597</v>
      </c>
      <c r="AT74">
        <v>567</v>
      </c>
      <c r="AU74">
        <v>536</v>
      </c>
      <c r="AV74">
        <v>522</v>
      </c>
      <c r="AW74">
        <v>492</v>
      </c>
      <c r="AX74">
        <v>484</v>
      </c>
      <c r="AY74">
        <v>469</v>
      </c>
      <c r="AZ74">
        <v>446</v>
      </c>
      <c r="BA74">
        <v>415</v>
      </c>
      <c r="BB74">
        <v>399</v>
      </c>
      <c r="BC74">
        <v>383</v>
      </c>
      <c r="BD74">
        <v>363</v>
      </c>
      <c r="BE74">
        <v>354</v>
      </c>
      <c r="BF74">
        <v>342</v>
      </c>
      <c r="BG74">
        <v>312</v>
      </c>
      <c r="BH74">
        <v>283</v>
      </c>
      <c r="BI74">
        <v>273</v>
      </c>
      <c r="BJ74">
        <v>266</v>
      </c>
      <c r="BK74">
        <v>253</v>
      </c>
      <c r="BL74">
        <v>242</v>
      </c>
      <c r="BM74">
        <v>231</v>
      </c>
      <c r="BN74">
        <v>213</v>
      </c>
      <c r="BO74">
        <v>205</v>
      </c>
      <c r="BP74">
        <v>187</v>
      </c>
      <c r="BQ74">
        <v>182</v>
      </c>
      <c r="BR74">
        <v>170</v>
      </c>
      <c r="BS74">
        <v>170</v>
      </c>
      <c r="BT74">
        <v>165</v>
      </c>
      <c r="BU74">
        <v>159</v>
      </c>
      <c r="BV74">
        <v>155</v>
      </c>
      <c r="BW74">
        <v>154</v>
      </c>
      <c r="BX74">
        <v>155</v>
      </c>
      <c r="BY74">
        <v>148</v>
      </c>
      <c r="BZ74">
        <v>142</v>
      </c>
      <c r="CA74">
        <v>136</v>
      </c>
      <c r="CB74">
        <v>129</v>
      </c>
      <c r="CC74">
        <v>127</v>
      </c>
      <c r="CD74">
        <v>129</v>
      </c>
      <c r="CE74">
        <v>131</v>
      </c>
      <c r="CF74">
        <v>126</v>
      </c>
      <c r="CG74">
        <v>117</v>
      </c>
      <c r="CH74">
        <v>112</v>
      </c>
      <c r="CI74">
        <v>113</v>
      </c>
      <c r="CJ74">
        <v>116</v>
      </c>
      <c r="CK74">
        <v>122</v>
      </c>
      <c r="CL74">
        <v>128</v>
      </c>
      <c r="CM74">
        <v>119</v>
      </c>
      <c r="CN74">
        <v>113</v>
      </c>
      <c r="CO74">
        <v>119</v>
      </c>
      <c r="CP74">
        <v>118</v>
      </c>
      <c r="CQ74">
        <v>116</v>
      </c>
      <c r="CR74">
        <v>109</v>
      </c>
      <c r="CS74">
        <v>101</v>
      </c>
      <c r="CT74">
        <v>103</v>
      </c>
      <c r="CU74">
        <v>109</v>
      </c>
      <c r="CV74">
        <v>112</v>
      </c>
      <c r="CW74">
        <v>113</v>
      </c>
      <c r="CX74">
        <v>110</v>
      </c>
      <c r="CY74">
        <v>104</v>
      </c>
      <c r="CZ74">
        <v>98</v>
      </c>
      <c r="DA74">
        <v>98</v>
      </c>
      <c r="DB74">
        <v>98</v>
      </c>
      <c r="DC74">
        <v>91</v>
      </c>
      <c r="DD74">
        <v>86</v>
      </c>
      <c r="DE74">
        <v>88</v>
      </c>
      <c r="DF74">
        <v>89</v>
      </c>
      <c r="DG74">
        <v>89</v>
      </c>
      <c r="DH74">
        <v>84</v>
      </c>
      <c r="DI74">
        <v>85</v>
      </c>
      <c r="DJ74">
        <v>90</v>
      </c>
      <c r="DK74">
        <v>87</v>
      </c>
      <c r="DL74">
        <v>83</v>
      </c>
      <c r="DM74">
        <v>77</v>
      </c>
      <c r="DN74">
        <v>75</v>
      </c>
      <c r="DO74">
        <v>74</v>
      </c>
      <c r="DP74">
        <v>74</v>
      </c>
      <c r="DQ74">
        <v>73</v>
      </c>
      <c r="DR74">
        <v>71</v>
      </c>
      <c r="DS74">
        <v>71</v>
      </c>
      <c r="DT74">
        <v>70</v>
      </c>
      <c r="DU74">
        <v>72</v>
      </c>
      <c r="DV74">
        <v>71</v>
      </c>
      <c r="DW74">
        <v>76</v>
      </c>
      <c r="DX74">
        <v>72</v>
      </c>
      <c r="DY74">
        <v>66</v>
      </c>
      <c r="DZ74">
        <v>56</v>
      </c>
      <c r="EA74">
        <v>58</v>
      </c>
      <c r="EB74">
        <v>55</v>
      </c>
      <c r="EC74">
        <v>59</v>
      </c>
      <c r="ED74">
        <v>58</v>
      </c>
      <c r="EE74">
        <v>57</v>
      </c>
      <c r="EF74">
        <v>52</v>
      </c>
      <c r="EG74">
        <v>53</v>
      </c>
      <c r="EH74">
        <v>53</v>
      </c>
      <c r="EI74">
        <v>52</v>
      </c>
      <c r="EJ74">
        <v>49</v>
      </c>
      <c r="EK74">
        <v>54</v>
      </c>
      <c r="EL74">
        <v>52</v>
      </c>
      <c r="EP74" s="13">
        <f t="shared" si="3"/>
        <v>618</v>
      </c>
    </row>
    <row r="75" spans="2:146">
      <c r="B75" s="4">
        <v>408</v>
      </c>
      <c r="C75" s="4">
        <v>1.01</v>
      </c>
      <c r="D75" s="4">
        <v>118</v>
      </c>
      <c r="E75" s="4">
        <v>459</v>
      </c>
      <c r="F75" s="4">
        <v>41484</v>
      </c>
      <c r="G75" s="4">
        <v>1.24E-2</v>
      </c>
      <c r="H75" s="4">
        <v>653413</v>
      </c>
      <c r="I75" s="4">
        <f t="shared" si="55"/>
        <v>445.28375055999993</v>
      </c>
      <c r="M75" s="13">
        <v>1</v>
      </c>
      <c r="N75" s="14">
        <f t="shared" ref="N75:S75" si="62">C63</f>
        <v>0.98</v>
      </c>
      <c r="O75" s="14">
        <f t="shared" si="62"/>
        <v>129</v>
      </c>
      <c r="P75" s="14">
        <f t="shared" si="62"/>
        <v>538</v>
      </c>
      <c r="Q75" s="14">
        <f t="shared" si="62"/>
        <v>28742</v>
      </c>
      <c r="R75" s="14">
        <f t="shared" si="62"/>
        <v>1.72E-2</v>
      </c>
      <c r="S75" s="14">
        <f t="shared" si="62"/>
        <v>527026</v>
      </c>
      <c r="W75">
        <v>6869</v>
      </c>
      <c r="X75">
        <v>6775</v>
      </c>
      <c r="Y75">
        <v>6684</v>
      </c>
      <c r="Z75">
        <v>6496</v>
      </c>
      <c r="AA75">
        <v>6412</v>
      </c>
      <c r="AB75">
        <v>6158</v>
      </c>
      <c r="AC75">
        <v>6248</v>
      </c>
      <c r="AD75">
        <v>6344</v>
      </c>
      <c r="AE75">
        <v>6070</v>
      </c>
      <c r="AF75">
        <v>5829</v>
      </c>
      <c r="AG75">
        <v>5570</v>
      </c>
      <c r="AH75">
        <v>5230</v>
      </c>
      <c r="AI75">
        <v>4850</v>
      </c>
      <c r="AJ75">
        <v>4826</v>
      </c>
      <c r="AK75">
        <v>4832</v>
      </c>
      <c r="AL75">
        <v>4482</v>
      </c>
      <c r="AM75">
        <v>4137</v>
      </c>
      <c r="AN75">
        <v>3819</v>
      </c>
      <c r="AO75">
        <v>3584</v>
      </c>
      <c r="AP75">
        <v>3284</v>
      </c>
      <c r="AQ75">
        <v>3316</v>
      </c>
      <c r="AR75">
        <v>3322</v>
      </c>
      <c r="AS75">
        <v>3012</v>
      </c>
      <c r="AT75">
        <v>2767</v>
      </c>
      <c r="AU75">
        <v>2613</v>
      </c>
      <c r="AV75">
        <v>2404</v>
      </c>
      <c r="AW75">
        <v>2180</v>
      </c>
      <c r="AX75">
        <v>2165</v>
      </c>
      <c r="AY75">
        <v>2167</v>
      </c>
      <c r="AZ75">
        <v>1997</v>
      </c>
      <c r="BA75">
        <v>1827</v>
      </c>
      <c r="BB75">
        <v>1708</v>
      </c>
      <c r="BC75">
        <v>1583</v>
      </c>
      <c r="BD75">
        <v>1416</v>
      </c>
      <c r="BE75">
        <v>1414</v>
      </c>
      <c r="BF75">
        <v>1403</v>
      </c>
      <c r="BG75">
        <v>1278</v>
      </c>
      <c r="BH75">
        <v>1201</v>
      </c>
      <c r="BI75">
        <v>1102</v>
      </c>
      <c r="BJ75">
        <v>1046</v>
      </c>
      <c r="BK75">
        <v>980</v>
      </c>
      <c r="BL75">
        <v>976</v>
      </c>
      <c r="BM75">
        <v>996</v>
      </c>
      <c r="BN75">
        <v>955</v>
      </c>
      <c r="BO75">
        <v>856</v>
      </c>
      <c r="BP75">
        <v>828</v>
      </c>
      <c r="BQ75">
        <v>789</v>
      </c>
      <c r="BR75">
        <v>744</v>
      </c>
      <c r="BS75">
        <v>765</v>
      </c>
      <c r="BT75">
        <v>771</v>
      </c>
      <c r="BU75">
        <v>743</v>
      </c>
      <c r="BV75">
        <v>712</v>
      </c>
      <c r="BW75">
        <v>695</v>
      </c>
      <c r="BX75">
        <v>669</v>
      </c>
      <c r="BY75">
        <v>618</v>
      </c>
      <c r="BZ75">
        <v>633</v>
      </c>
      <c r="CA75">
        <v>623</v>
      </c>
      <c r="CB75">
        <v>584</v>
      </c>
      <c r="CC75">
        <v>558</v>
      </c>
      <c r="CD75">
        <v>538</v>
      </c>
      <c r="CE75">
        <v>513</v>
      </c>
      <c r="CF75">
        <v>512</v>
      </c>
      <c r="CG75">
        <v>517</v>
      </c>
      <c r="CH75">
        <v>536</v>
      </c>
      <c r="CI75">
        <v>504</v>
      </c>
      <c r="CJ75">
        <v>488</v>
      </c>
      <c r="CK75">
        <v>495</v>
      </c>
      <c r="CL75">
        <v>486</v>
      </c>
      <c r="CM75">
        <v>466</v>
      </c>
      <c r="CN75">
        <v>466</v>
      </c>
      <c r="CO75">
        <v>479</v>
      </c>
      <c r="CP75">
        <v>459</v>
      </c>
      <c r="CQ75">
        <v>447</v>
      </c>
      <c r="CR75">
        <v>423</v>
      </c>
      <c r="CS75">
        <v>429</v>
      </c>
      <c r="CT75">
        <v>415</v>
      </c>
      <c r="CU75">
        <v>428</v>
      </c>
      <c r="CV75">
        <v>454</v>
      </c>
      <c r="CW75">
        <v>429</v>
      </c>
      <c r="CX75">
        <v>397</v>
      </c>
      <c r="CY75">
        <v>395</v>
      </c>
      <c r="CZ75">
        <v>384</v>
      </c>
      <c r="DA75">
        <v>342</v>
      </c>
      <c r="DB75">
        <v>348</v>
      </c>
      <c r="DC75">
        <v>365</v>
      </c>
      <c r="DD75">
        <v>346</v>
      </c>
      <c r="DE75">
        <v>332</v>
      </c>
      <c r="DF75">
        <v>324</v>
      </c>
      <c r="DG75">
        <v>324</v>
      </c>
      <c r="DH75">
        <v>302</v>
      </c>
      <c r="DI75">
        <v>311</v>
      </c>
      <c r="DJ75">
        <v>322</v>
      </c>
      <c r="DK75">
        <v>296</v>
      </c>
      <c r="DL75">
        <v>297</v>
      </c>
      <c r="DM75">
        <v>283</v>
      </c>
      <c r="DN75">
        <v>280</v>
      </c>
      <c r="DO75">
        <v>260</v>
      </c>
      <c r="DP75">
        <v>268</v>
      </c>
      <c r="DQ75">
        <v>277</v>
      </c>
      <c r="DR75">
        <v>257</v>
      </c>
      <c r="DS75">
        <v>248</v>
      </c>
      <c r="DT75">
        <v>244</v>
      </c>
      <c r="DU75">
        <v>236</v>
      </c>
      <c r="DV75">
        <v>223</v>
      </c>
      <c r="DW75">
        <v>245</v>
      </c>
      <c r="DX75">
        <v>246</v>
      </c>
      <c r="DY75">
        <v>233</v>
      </c>
      <c r="DZ75">
        <v>211</v>
      </c>
      <c r="EA75">
        <v>208</v>
      </c>
      <c r="EB75">
        <v>207</v>
      </c>
      <c r="EC75">
        <v>210</v>
      </c>
      <c r="ED75">
        <v>220</v>
      </c>
      <c r="EE75">
        <v>239</v>
      </c>
      <c r="EF75">
        <v>237</v>
      </c>
      <c r="EG75">
        <v>233</v>
      </c>
      <c r="EH75">
        <v>233</v>
      </c>
      <c r="EI75">
        <v>246</v>
      </c>
      <c r="EJ75">
        <v>244</v>
      </c>
      <c r="EK75">
        <v>271</v>
      </c>
      <c r="EL75">
        <v>283</v>
      </c>
      <c r="EP75" s="13">
        <f t="shared" si="3"/>
        <v>592</v>
      </c>
    </row>
    <row r="76" spans="2:146">
      <c r="B76" s="4">
        <v>684</v>
      </c>
      <c r="C76" s="4">
        <v>1.01</v>
      </c>
      <c r="D76" s="4">
        <v>116</v>
      </c>
      <c r="E76" s="4">
        <v>447</v>
      </c>
      <c r="F76" s="4">
        <v>41634</v>
      </c>
      <c r="G76" s="4">
        <v>1.34E-2</v>
      </c>
      <c r="H76" s="4">
        <v>655193</v>
      </c>
      <c r="I76" s="4">
        <f t="shared" si="55"/>
        <v>520.76966245999995</v>
      </c>
      <c r="M76" s="13">
        <v>1</v>
      </c>
      <c r="N76" s="14">
        <f t="shared" ref="N76:S76" si="63">C64</f>
        <v>0.98</v>
      </c>
      <c r="O76" s="14">
        <f t="shared" si="63"/>
        <v>131</v>
      </c>
      <c r="P76" s="14">
        <f t="shared" si="63"/>
        <v>513</v>
      </c>
      <c r="Q76" s="14">
        <f t="shared" si="63"/>
        <v>14921</v>
      </c>
      <c r="R76" s="14">
        <f t="shared" si="63"/>
        <v>1.9199999999999998E-2</v>
      </c>
      <c r="S76" s="14">
        <f t="shared" si="63"/>
        <v>569074</v>
      </c>
      <c r="W76">
        <v>47369</v>
      </c>
      <c r="X76">
        <v>57995</v>
      </c>
      <c r="Y76">
        <v>53401</v>
      </c>
      <c r="Z76">
        <v>50384</v>
      </c>
      <c r="AA76">
        <v>49625</v>
      </c>
      <c r="AB76">
        <v>30356</v>
      </c>
      <c r="AC76">
        <v>15085</v>
      </c>
      <c r="AD76">
        <v>34923</v>
      </c>
      <c r="AE76">
        <v>38694</v>
      </c>
      <c r="AF76">
        <v>37621</v>
      </c>
      <c r="AG76">
        <v>37347</v>
      </c>
      <c r="AH76">
        <v>38752</v>
      </c>
      <c r="AI76">
        <v>21483</v>
      </c>
      <c r="AJ76">
        <v>12100</v>
      </c>
      <c r="AK76">
        <v>33135</v>
      </c>
      <c r="AL76">
        <v>32083</v>
      </c>
      <c r="AM76">
        <v>34354</v>
      </c>
      <c r="AN76">
        <v>33985</v>
      </c>
      <c r="AO76">
        <v>33887</v>
      </c>
      <c r="AP76">
        <v>21848</v>
      </c>
      <c r="AQ76">
        <v>10854</v>
      </c>
      <c r="AR76">
        <v>31296</v>
      </c>
      <c r="AS76">
        <v>31577</v>
      </c>
      <c r="AT76">
        <v>31235</v>
      </c>
      <c r="AU76">
        <v>30974</v>
      </c>
      <c r="AV76">
        <v>32910</v>
      </c>
      <c r="AW76">
        <v>20380</v>
      </c>
      <c r="AX76">
        <v>11439</v>
      </c>
      <c r="AY76">
        <v>26639</v>
      </c>
      <c r="AZ76">
        <v>29735</v>
      </c>
      <c r="BA76">
        <v>29388</v>
      </c>
      <c r="BB76">
        <v>28081</v>
      </c>
      <c r="BC76">
        <v>28636</v>
      </c>
      <c r="BD76">
        <v>19891</v>
      </c>
      <c r="BE76">
        <v>9396</v>
      </c>
      <c r="BF76">
        <v>25303</v>
      </c>
      <c r="BG76">
        <v>24513</v>
      </c>
      <c r="BH76">
        <v>26627</v>
      </c>
      <c r="BI76">
        <v>24313</v>
      </c>
      <c r="BJ76">
        <v>27281</v>
      </c>
      <c r="BK76">
        <v>21016</v>
      </c>
      <c r="BL76">
        <v>9709</v>
      </c>
      <c r="BM76">
        <v>26427</v>
      </c>
      <c r="BN76">
        <v>41394</v>
      </c>
      <c r="BO76">
        <v>48102</v>
      </c>
      <c r="BP76">
        <v>52896</v>
      </c>
      <c r="BQ76">
        <v>53485</v>
      </c>
      <c r="BR76">
        <v>33514</v>
      </c>
      <c r="BS76">
        <v>10254</v>
      </c>
      <c r="BT76">
        <v>30283</v>
      </c>
      <c r="BU76">
        <v>31200</v>
      </c>
      <c r="BV76">
        <v>29256</v>
      </c>
      <c r="BW76">
        <v>27478</v>
      </c>
      <c r="BX76">
        <v>30147</v>
      </c>
      <c r="BY76">
        <v>22158</v>
      </c>
      <c r="BZ76">
        <v>10845</v>
      </c>
      <c r="CA76">
        <v>30192</v>
      </c>
      <c r="CB76">
        <v>29244</v>
      </c>
      <c r="CC76">
        <v>28880</v>
      </c>
      <c r="CD76">
        <v>28742</v>
      </c>
      <c r="CE76">
        <v>14921</v>
      </c>
      <c r="CF76">
        <v>23135</v>
      </c>
      <c r="CG76">
        <v>12404</v>
      </c>
      <c r="CH76">
        <v>59246</v>
      </c>
      <c r="CI76">
        <v>63682</v>
      </c>
      <c r="CJ76">
        <v>63338</v>
      </c>
      <c r="CK76">
        <v>58289</v>
      </c>
      <c r="CL76">
        <v>60156</v>
      </c>
      <c r="CM76">
        <v>31800</v>
      </c>
      <c r="CN76">
        <v>12842</v>
      </c>
      <c r="CO76">
        <v>38795</v>
      </c>
      <c r="CP76">
        <v>41484</v>
      </c>
      <c r="CQ76">
        <v>41634</v>
      </c>
      <c r="CR76">
        <v>42082</v>
      </c>
      <c r="CS76">
        <v>47052</v>
      </c>
      <c r="CT76">
        <v>31461</v>
      </c>
      <c r="CU76">
        <v>14429</v>
      </c>
      <c r="CV76">
        <v>78716</v>
      </c>
      <c r="CW76">
        <v>96934</v>
      </c>
      <c r="CX76">
        <v>98744</v>
      </c>
      <c r="CY76">
        <v>98063</v>
      </c>
      <c r="CZ76">
        <v>88546</v>
      </c>
      <c r="DA76">
        <v>41386</v>
      </c>
      <c r="DB76">
        <v>14485</v>
      </c>
      <c r="DC76">
        <v>53464</v>
      </c>
      <c r="DD76">
        <v>57452</v>
      </c>
      <c r="DE76">
        <v>53345</v>
      </c>
      <c r="DF76">
        <v>54101</v>
      </c>
      <c r="DG76">
        <v>64169</v>
      </c>
      <c r="DH76">
        <v>31454</v>
      </c>
      <c r="DI76">
        <v>17140</v>
      </c>
      <c r="DJ76">
        <v>52011</v>
      </c>
      <c r="DK76">
        <v>52560</v>
      </c>
      <c r="DL76">
        <v>49255</v>
      </c>
      <c r="DM76">
        <v>48583</v>
      </c>
      <c r="DN76">
        <v>47849</v>
      </c>
      <c r="DO76">
        <v>31498</v>
      </c>
      <c r="DP76">
        <v>15940</v>
      </c>
      <c r="DQ76">
        <v>39435</v>
      </c>
      <c r="DR76">
        <v>41873</v>
      </c>
      <c r="DS76">
        <v>43813</v>
      </c>
      <c r="DT76">
        <v>40249</v>
      </c>
      <c r="DU76">
        <v>46370</v>
      </c>
      <c r="DV76">
        <v>30962</v>
      </c>
      <c r="DW76">
        <v>15707</v>
      </c>
      <c r="DX76">
        <v>43293</v>
      </c>
      <c r="DY76">
        <v>41470</v>
      </c>
      <c r="DZ76">
        <v>44399</v>
      </c>
      <c r="EA76">
        <v>44577</v>
      </c>
      <c r="EB76">
        <v>45378</v>
      </c>
      <c r="EC76">
        <v>33560</v>
      </c>
      <c r="ED76">
        <v>16152</v>
      </c>
      <c r="EE76">
        <v>42680</v>
      </c>
      <c r="EF76">
        <v>43590</v>
      </c>
      <c r="EG76">
        <v>50409</v>
      </c>
      <c r="EH76">
        <v>53947</v>
      </c>
      <c r="EI76">
        <v>59275</v>
      </c>
      <c r="EJ76">
        <v>43319</v>
      </c>
      <c r="EK76">
        <v>20369</v>
      </c>
      <c r="EL76">
        <v>49817</v>
      </c>
      <c r="EP76" s="13">
        <f t="shared" si="3"/>
        <v>548</v>
      </c>
    </row>
    <row r="77" spans="2:146">
      <c r="B77" s="4">
        <v>501</v>
      </c>
      <c r="C77" s="4">
        <v>1</v>
      </c>
      <c r="D77" s="4">
        <v>109</v>
      </c>
      <c r="E77" s="4">
        <v>423</v>
      </c>
      <c r="F77" s="4">
        <v>42082</v>
      </c>
      <c r="G77" s="4">
        <v>1.3899999999999999E-2</v>
      </c>
      <c r="H77" s="4">
        <v>666086</v>
      </c>
      <c r="I77" s="4">
        <f t="shared" si="55"/>
        <v>559.18385540999998</v>
      </c>
      <c r="M77" s="13">
        <v>1</v>
      </c>
      <c r="N77" s="14">
        <f t="shared" ref="N77:S77" si="64">C65</f>
        <v>0.97</v>
      </c>
      <c r="O77" s="14">
        <f t="shared" si="64"/>
        <v>126</v>
      </c>
      <c r="P77" s="14">
        <f t="shared" si="64"/>
        <v>512</v>
      </c>
      <c r="Q77" s="14">
        <f t="shared" si="64"/>
        <v>23135</v>
      </c>
      <c r="R77" s="14">
        <f t="shared" si="64"/>
        <v>1.8700000000000001E-2</v>
      </c>
      <c r="S77" s="14">
        <f t="shared" si="64"/>
        <v>585830</v>
      </c>
      <c r="W77">
        <v>0.2036</v>
      </c>
      <c r="X77">
        <v>0.19889999999999999</v>
      </c>
      <c r="Y77">
        <v>0.19259999999999999</v>
      </c>
      <c r="Z77">
        <v>0.17910000000000001</v>
      </c>
      <c r="AA77">
        <v>0.17030000000000001</v>
      </c>
      <c r="AB77">
        <v>0.16170000000000001</v>
      </c>
      <c r="AC77">
        <v>0.14760000000000001</v>
      </c>
      <c r="AD77">
        <v>0.1426</v>
      </c>
      <c r="AE77">
        <v>0.14180000000000001</v>
      </c>
      <c r="AF77">
        <v>0.13220000000000001</v>
      </c>
      <c r="AG77">
        <v>0.1211</v>
      </c>
      <c r="AH77">
        <v>0.10929999999999999</v>
      </c>
      <c r="AI77">
        <v>9.9000000000000005E-2</v>
      </c>
      <c r="AJ77">
        <v>9.2100000000000001E-2</v>
      </c>
      <c r="AK77">
        <v>8.7300000000000003E-2</v>
      </c>
      <c r="AL77">
        <v>8.5000000000000006E-2</v>
      </c>
      <c r="AM77">
        <v>7.6399999999999996E-2</v>
      </c>
      <c r="AN77">
        <v>7.0199999999999999E-2</v>
      </c>
      <c r="AO77">
        <v>6.7400000000000002E-2</v>
      </c>
      <c r="AP77">
        <v>6.0900000000000003E-2</v>
      </c>
      <c r="AQ77">
        <v>5.8799999999999998E-2</v>
      </c>
      <c r="AR77">
        <v>5.5500000000000001E-2</v>
      </c>
      <c r="AS77">
        <v>5.33E-2</v>
      </c>
      <c r="AT77">
        <v>4.9799999999999997E-2</v>
      </c>
      <c r="AU77">
        <v>4.65E-2</v>
      </c>
      <c r="AV77">
        <v>4.2000000000000003E-2</v>
      </c>
      <c r="AW77">
        <v>3.9699999999999999E-2</v>
      </c>
      <c r="AX77">
        <v>3.7100000000000001E-2</v>
      </c>
      <c r="AY77">
        <v>3.7199999999999997E-2</v>
      </c>
      <c r="AZ77">
        <v>3.5700000000000003E-2</v>
      </c>
      <c r="BA77">
        <v>3.3300000000000003E-2</v>
      </c>
      <c r="BB77">
        <v>3.2000000000000001E-2</v>
      </c>
      <c r="BC77">
        <v>3.2300000000000002E-2</v>
      </c>
      <c r="BD77">
        <v>3.2000000000000001E-2</v>
      </c>
      <c r="BE77">
        <v>3.2199999999999999E-2</v>
      </c>
      <c r="BF77">
        <v>3.2300000000000002E-2</v>
      </c>
      <c r="BG77">
        <v>3.4299999999999997E-2</v>
      </c>
      <c r="BH77">
        <v>3.2800000000000003E-2</v>
      </c>
      <c r="BI77">
        <v>3.2300000000000002E-2</v>
      </c>
      <c r="BJ77">
        <v>3.0200000000000001E-2</v>
      </c>
      <c r="BK77">
        <v>2.7199999999999998E-2</v>
      </c>
      <c r="BL77">
        <v>2.6200000000000001E-2</v>
      </c>
      <c r="BM77">
        <v>2.5399999999999999E-2</v>
      </c>
      <c r="BN77">
        <v>2.0299999999999999E-2</v>
      </c>
      <c r="BO77">
        <v>1.83E-2</v>
      </c>
      <c r="BP77">
        <v>1.5299999999999999E-2</v>
      </c>
      <c r="BQ77">
        <v>1.37E-2</v>
      </c>
      <c r="BR77">
        <v>1.2699999999999999E-2</v>
      </c>
      <c r="BS77">
        <v>1.23E-2</v>
      </c>
      <c r="BT77">
        <v>1.21E-2</v>
      </c>
      <c r="BU77">
        <v>1.2800000000000001E-2</v>
      </c>
      <c r="BV77">
        <v>1.34E-2</v>
      </c>
      <c r="BW77">
        <v>1.46E-2</v>
      </c>
      <c r="BX77">
        <v>1.6E-2</v>
      </c>
      <c r="BY77">
        <v>1.6400000000000001E-2</v>
      </c>
      <c r="BZ77">
        <v>1.5900000000000001E-2</v>
      </c>
      <c r="CA77">
        <v>1.6199999999999999E-2</v>
      </c>
      <c r="CB77">
        <v>1.61E-2</v>
      </c>
      <c r="CC77">
        <v>1.6400000000000001E-2</v>
      </c>
      <c r="CD77">
        <v>1.72E-2</v>
      </c>
      <c r="CE77">
        <v>1.9199999999999998E-2</v>
      </c>
      <c r="CF77">
        <v>1.8700000000000001E-2</v>
      </c>
      <c r="CG77">
        <v>1.7500000000000002E-2</v>
      </c>
      <c r="CH77">
        <v>1.41E-2</v>
      </c>
      <c r="CI77">
        <v>1.41E-2</v>
      </c>
      <c r="CJ77">
        <v>1.2500000000000001E-2</v>
      </c>
      <c r="CK77">
        <v>1.1299999999999999E-2</v>
      </c>
      <c r="CL77">
        <v>1.0200000000000001E-2</v>
      </c>
      <c r="CM77">
        <v>1.09E-2</v>
      </c>
      <c r="CN77">
        <v>1.1900000000000001E-2</v>
      </c>
      <c r="CO77">
        <v>1.2999999999999999E-2</v>
      </c>
      <c r="CP77">
        <v>1.24E-2</v>
      </c>
      <c r="CQ77">
        <v>1.34E-2</v>
      </c>
      <c r="CR77">
        <v>1.3899999999999999E-2</v>
      </c>
      <c r="CS77">
        <v>1.4E-2</v>
      </c>
      <c r="CT77">
        <v>1.4200000000000001E-2</v>
      </c>
      <c r="CU77">
        <v>1.3599999999999999E-2</v>
      </c>
      <c r="CV77">
        <v>1.1599999999999999E-2</v>
      </c>
      <c r="CW77">
        <v>9.9000000000000008E-3</v>
      </c>
      <c r="CX77">
        <v>8.3000000000000001E-3</v>
      </c>
      <c r="CY77">
        <v>7.6E-3</v>
      </c>
      <c r="CZ77">
        <v>6.8999999999999999E-3</v>
      </c>
      <c r="DA77">
        <v>6.6E-3</v>
      </c>
      <c r="DB77">
        <v>6.7000000000000002E-3</v>
      </c>
      <c r="DC77">
        <v>7.0000000000000001E-3</v>
      </c>
      <c r="DD77">
        <v>7.4000000000000003E-3</v>
      </c>
      <c r="DE77">
        <v>8.0999999999999996E-3</v>
      </c>
      <c r="DF77">
        <v>8.6999999999999994E-3</v>
      </c>
      <c r="DG77">
        <v>9.1000000000000004E-3</v>
      </c>
      <c r="DH77">
        <v>9.1000000000000004E-3</v>
      </c>
      <c r="DI77">
        <v>8.6E-3</v>
      </c>
      <c r="DJ77">
        <v>8.6E-3</v>
      </c>
      <c r="DK77">
        <v>8.3999999999999995E-3</v>
      </c>
      <c r="DL77">
        <v>7.9000000000000008E-3</v>
      </c>
      <c r="DM77">
        <v>7.7000000000000002E-3</v>
      </c>
      <c r="DN77">
        <v>7.9000000000000008E-3</v>
      </c>
      <c r="DO77">
        <v>7.7000000000000002E-3</v>
      </c>
      <c r="DP77">
        <v>7.7000000000000002E-3</v>
      </c>
      <c r="DQ77">
        <v>8.0000000000000002E-3</v>
      </c>
      <c r="DR77">
        <v>8.3999999999999995E-3</v>
      </c>
      <c r="DS77">
        <v>8.8999999999999999E-3</v>
      </c>
      <c r="DT77">
        <v>9.4000000000000004E-3</v>
      </c>
      <c r="DU77">
        <v>9.7999999999999997E-3</v>
      </c>
      <c r="DV77">
        <v>0.01</v>
      </c>
      <c r="DW77">
        <v>1.01E-2</v>
      </c>
      <c r="DX77">
        <v>1.01E-2</v>
      </c>
      <c r="DY77">
        <v>1.0500000000000001E-2</v>
      </c>
      <c r="DZ77">
        <v>1.06E-2</v>
      </c>
      <c r="EA77">
        <v>1.0500000000000001E-2</v>
      </c>
      <c r="EB77">
        <v>1.09E-2</v>
      </c>
      <c r="EC77">
        <v>1.0999999999999999E-2</v>
      </c>
      <c r="ED77">
        <v>1.1299999999999999E-2</v>
      </c>
      <c r="EE77">
        <v>1.15E-2</v>
      </c>
      <c r="EF77">
        <v>1.14E-2</v>
      </c>
      <c r="EG77">
        <v>1.14E-2</v>
      </c>
      <c r="EH77">
        <v>1.15E-2</v>
      </c>
      <c r="EI77">
        <v>1.11E-2</v>
      </c>
      <c r="EJ77">
        <v>1.0999999999999999E-2</v>
      </c>
      <c r="EK77">
        <v>1.0999999999999999E-2</v>
      </c>
      <c r="EL77">
        <v>1.1299999999999999E-2</v>
      </c>
      <c r="EP77" s="13">
        <f t="shared" si="3"/>
        <v>280</v>
      </c>
    </row>
    <row r="78" spans="2:146">
      <c r="B78" s="4">
        <v>553</v>
      </c>
      <c r="C78" s="4">
        <v>1</v>
      </c>
      <c r="D78" s="4">
        <v>101</v>
      </c>
      <c r="E78" s="4">
        <v>429</v>
      </c>
      <c r="F78" s="4">
        <v>47052</v>
      </c>
      <c r="G78" s="4">
        <v>1.4E-2</v>
      </c>
      <c r="H78" s="4">
        <v>676217</v>
      </c>
      <c r="I78" s="4">
        <f t="shared" si="55"/>
        <v>568.55206659999999</v>
      </c>
      <c r="M78" s="13">
        <v>1</v>
      </c>
      <c r="N78" s="14">
        <f t="shared" ref="N78:S78" si="65">C66</f>
        <v>1</v>
      </c>
      <c r="O78" s="14">
        <f t="shared" si="65"/>
        <v>117</v>
      </c>
      <c r="P78" s="14">
        <f t="shared" si="65"/>
        <v>517</v>
      </c>
      <c r="Q78" s="14">
        <f t="shared" si="65"/>
        <v>12404</v>
      </c>
      <c r="R78" s="14">
        <f t="shared" si="65"/>
        <v>1.7500000000000002E-2</v>
      </c>
      <c r="S78" s="14">
        <f t="shared" si="65"/>
        <v>592953</v>
      </c>
      <c r="W78">
        <v>80488</v>
      </c>
      <c r="X78">
        <v>82431</v>
      </c>
      <c r="Y78">
        <v>87588</v>
      </c>
      <c r="Z78">
        <v>96711</v>
      </c>
      <c r="AA78">
        <v>106652</v>
      </c>
      <c r="AB78">
        <v>115522</v>
      </c>
      <c r="AC78">
        <v>116262</v>
      </c>
      <c r="AD78">
        <v>118172</v>
      </c>
      <c r="AE78">
        <v>119614</v>
      </c>
      <c r="AF78">
        <v>130118</v>
      </c>
      <c r="AG78">
        <v>146637</v>
      </c>
      <c r="AH78">
        <v>171163</v>
      </c>
      <c r="AI78">
        <v>198253</v>
      </c>
      <c r="AJ78">
        <v>208089</v>
      </c>
      <c r="AK78">
        <v>218125</v>
      </c>
      <c r="AL78">
        <v>223711</v>
      </c>
      <c r="AM78">
        <v>229743</v>
      </c>
      <c r="AN78">
        <v>237696</v>
      </c>
      <c r="AO78">
        <v>250400</v>
      </c>
      <c r="AP78">
        <v>263354</v>
      </c>
      <c r="AQ78">
        <v>266858</v>
      </c>
      <c r="AR78">
        <v>269203</v>
      </c>
      <c r="AS78">
        <v>270927</v>
      </c>
      <c r="AT78">
        <v>273148</v>
      </c>
      <c r="AU78">
        <v>276637</v>
      </c>
      <c r="AV78">
        <v>279729</v>
      </c>
      <c r="AW78">
        <v>285185</v>
      </c>
      <c r="AX78">
        <v>286470</v>
      </c>
      <c r="AY78">
        <v>290637</v>
      </c>
      <c r="AZ78">
        <v>291987</v>
      </c>
      <c r="BA78">
        <v>293652</v>
      </c>
      <c r="BB78">
        <v>298685</v>
      </c>
      <c r="BC78">
        <v>304494</v>
      </c>
      <c r="BD78">
        <v>313101</v>
      </c>
      <c r="BE78">
        <v>317254</v>
      </c>
      <c r="BF78">
        <v>324862</v>
      </c>
      <c r="BG78">
        <v>327040</v>
      </c>
      <c r="BH78">
        <v>328946</v>
      </c>
      <c r="BI78">
        <v>337944</v>
      </c>
      <c r="BJ78">
        <v>352247</v>
      </c>
      <c r="BK78">
        <v>365719</v>
      </c>
      <c r="BL78">
        <v>371084</v>
      </c>
      <c r="BM78">
        <v>377464</v>
      </c>
      <c r="BN78">
        <v>380479</v>
      </c>
      <c r="BO78">
        <v>386426</v>
      </c>
      <c r="BP78">
        <v>408323</v>
      </c>
      <c r="BQ78">
        <v>441676</v>
      </c>
      <c r="BR78">
        <v>469651</v>
      </c>
      <c r="BS78">
        <v>482561</v>
      </c>
      <c r="BT78">
        <v>488236</v>
      </c>
      <c r="BU78">
        <v>495868</v>
      </c>
      <c r="BV78">
        <v>497940</v>
      </c>
      <c r="BW78">
        <v>501547</v>
      </c>
      <c r="BX78">
        <v>506051</v>
      </c>
      <c r="BY78">
        <v>508507</v>
      </c>
      <c r="BZ78">
        <v>510025</v>
      </c>
      <c r="CA78">
        <v>511095</v>
      </c>
      <c r="CB78">
        <v>513723</v>
      </c>
      <c r="CC78">
        <v>517319</v>
      </c>
      <c r="CD78">
        <v>527026</v>
      </c>
      <c r="CE78">
        <v>569074</v>
      </c>
      <c r="CF78">
        <v>585830</v>
      </c>
      <c r="CG78">
        <v>592953</v>
      </c>
      <c r="CH78">
        <v>596680</v>
      </c>
      <c r="CI78">
        <v>602600</v>
      </c>
      <c r="CJ78">
        <v>605682</v>
      </c>
      <c r="CK78">
        <v>616121</v>
      </c>
      <c r="CL78">
        <v>631127</v>
      </c>
      <c r="CM78">
        <v>643712</v>
      </c>
      <c r="CN78">
        <v>645818</v>
      </c>
      <c r="CO78">
        <v>651251</v>
      </c>
      <c r="CP78">
        <v>653413</v>
      </c>
      <c r="CQ78">
        <v>655193</v>
      </c>
      <c r="CR78">
        <v>666086</v>
      </c>
      <c r="CS78">
        <v>676217</v>
      </c>
      <c r="CT78">
        <v>696172</v>
      </c>
      <c r="CU78">
        <v>701102</v>
      </c>
      <c r="CV78">
        <v>706842</v>
      </c>
      <c r="CW78">
        <v>718009</v>
      </c>
      <c r="CX78">
        <v>726985</v>
      </c>
      <c r="CY78">
        <v>750872</v>
      </c>
      <c r="CZ78">
        <v>790203</v>
      </c>
      <c r="DA78">
        <v>828138</v>
      </c>
      <c r="DB78">
        <v>840420</v>
      </c>
      <c r="DC78">
        <v>847664</v>
      </c>
      <c r="DD78">
        <v>856281</v>
      </c>
      <c r="DE78">
        <v>866481</v>
      </c>
      <c r="DF78">
        <v>885339</v>
      </c>
      <c r="DG78">
        <v>903570</v>
      </c>
      <c r="DH78">
        <v>920598</v>
      </c>
      <c r="DI78">
        <v>930042</v>
      </c>
      <c r="DJ78">
        <v>939105</v>
      </c>
      <c r="DK78">
        <v>952721</v>
      </c>
      <c r="DL78">
        <v>969630</v>
      </c>
      <c r="DM78">
        <v>1012002</v>
      </c>
      <c r="DN78">
        <v>1063299</v>
      </c>
      <c r="DO78">
        <v>1120117</v>
      </c>
      <c r="DP78">
        <v>1134005</v>
      </c>
      <c r="DQ78">
        <v>1160784</v>
      </c>
      <c r="DR78">
        <v>1180469</v>
      </c>
      <c r="DS78">
        <v>1196536</v>
      </c>
      <c r="DT78">
        <v>1211653</v>
      </c>
      <c r="DU78">
        <v>1231250</v>
      </c>
      <c r="DV78">
        <v>1287442</v>
      </c>
      <c r="DW78">
        <v>1411270</v>
      </c>
      <c r="DX78">
        <v>1469159</v>
      </c>
      <c r="DY78">
        <v>1489854</v>
      </c>
      <c r="DZ78">
        <v>1513415</v>
      </c>
      <c r="EA78">
        <v>1539964</v>
      </c>
      <c r="EB78">
        <v>1568208</v>
      </c>
      <c r="EC78">
        <v>1604322</v>
      </c>
      <c r="ED78">
        <v>1638859</v>
      </c>
      <c r="EE78">
        <v>1701479</v>
      </c>
      <c r="EF78">
        <v>1725903</v>
      </c>
      <c r="EG78">
        <v>1745225</v>
      </c>
      <c r="EH78">
        <v>1788676</v>
      </c>
      <c r="EI78">
        <v>1845836</v>
      </c>
      <c r="EJ78">
        <v>1910212</v>
      </c>
      <c r="EK78">
        <v>1949349</v>
      </c>
      <c r="EL78">
        <v>2054154</v>
      </c>
      <c r="EP78" s="13">
        <f t="shared" si="3"/>
        <v>193</v>
      </c>
    </row>
    <row r="79" spans="2:146">
      <c r="B79" s="4">
        <v>649</v>
      </c>
      <c r="C79" s="4">
        <v>1</v>
      </c>
      <c r="D79" s="4">
        <v>103</v>
      </c>
      <c r="E79" s="4">
        <v>415</v>
      </c>
      <c r="F79" s="4">
        <v>31461</v>
      </c>
      <c r="G79" s="4">
        <v>1.4200000000000001E-2</v>
      </c>
      <c r="H79" s="4">
        <v>696172</v>
      </c>
      <c r="I79" s="4">
        <f t="shared" si="55"/>
        <v>489.30558898000015</v>
      </c>
      <c r="M79" s="13">
        <v>1</v>
      </c>
      <c r="N79" s="14">
        <f t="shared" ref="N79:S79" si="66">C67</f>
        <v>1.06</v>
      </c>
      <c r="O79" s="14">
        <f t="shared" si="66"/>
        <v>112</v>
      </c>
      <c r="P79" s="14">
        <f t="shared" si="66"/>
        <v>536</v>
      </c>
      <c r="Q79" s="14">
        <f t="shared" si="66"/>
        <v>59246</v>
      </c>
      <c r="R79" s="14">
        <f t="shared" si="66"/>
        <v>1.41E-2</v>
      </c>
      <c r="S79" s="14">
        <f t="shared" si="66"/>
        <v>596680</v>
      </c>
      <c r="EP79" s="13">
        <f t="shared" si="3"/>
        <v>159</v>
      </c>
    </row>
    <row r="80" spans="2:146">
      <c r="B80" s="4">
        <v>441</v>
      </c>
      <c r="C80" s="4">
        <v>0.99</v>
      </c>
      <c r="D80" s="4">
        <v>109</v>
      </c>
      <c r="E80" s="4">
        <v>428</v>
      </c>
      <c r="F80" s="4">
        <v>14429</v>
      </c>
      <c r="G80" s="4">
        <v>1.3599999999999999E-2</v>
      </c>
      <c r="H80" s="4">
        <v>701102</v>
      </c>
      <c r="I80" s="4">
        <f t="shared" si="55"/>
        <v>320.79785883999989</v>
      </c>
      <c r="M80" s="13">
        <v>1</v>
      </c>
      <c r="N80" s="14">
        <f t="shared" ref="N80:S80" si="67">C68</f>
        <v>1.1399999999999999</v>
      </c>
      <c r="O80" s="14">
        <f t="shared" si="67"/>
        <v>113</v>
      </c>
      <c r="P80" s="14">
        <f t="shared" si="67"/>
        <v>504</v>
      </c>
      <c r="Q80" s="14">
        <f t="shared" si="67"/>
        <v>63682</v>
      </c>
      <c r="R80" s="14">
        <f t="shared" si="67"/>
        <v>1.41E-2</v>
      </c>
      <c r="S80" s="14">
        <f t="shared" si="67"/>
        <v>602600</v>
      </c>
      <c r="EP80" s="13">
        <f t="shared" si="3"/>
        <v>874</v>
      </c>
    </row>
    <row r="81" spans="2:146">
      <c r="B81" s="4">
        <v>220</v>
      </c>
      <c r="C81" s="4">
        <v>0.98</v>
      </c>
      <c r="D81" s="4">
        <v>112</v>
      </c>
      <c r="E81" s="4">
        <v>454</v>
      </c>
      <c r="F81" s="4">
        <v>78716</v>
      </c>
      <c r="G81" s="4">
        <v>1.1599999999999999E-2</v>
      </c>
      <c r="H81" s="4">
        <v>706842</v>
      </c>
      <c r="I81" s="4">
        <f t="shared" si="55"/>
        <v>643.44227204000003</v>
      </c>
      <c r="M81" s="13">
        <v>1</v>
      </c>
      <c r="N81" s="14">
        <f t="shared" ref="N81:S81" si="68">C69</f>
        <v>1.1399999999999999</v>
      </c>
      <c r="O81" s="14">
        <f t="shared" si="68"/>
        <v>116</v>
      </c>
      <c r="P81" s="14">
        <f t="shared" si="68"/>
        <v>488</v>
      </c>
      <c r="Q81" s="14">
        <f t="shared" si="68"/>
        <v>63338</v>
      </c>
      <c r="R81" s="14">
        <f t="shared" si="68"/>
        <v>1.2500000000000001E-2</v>
      </c>
      <c r="S81" s="14">
        <f t="shared" si="68"/>
        <v>605682</v>
      </c>
      <c r="EP81" s="13">
        <f t="shared" ref="EP81:EP135" si="69">B69</f>
        <v>663</v>
      </c>
    </row>
    <row r="82" spans="2:146">
      <c r="B82" s="4">
        <v>424</v>
      </c>
      <c r="C82" s="4">
        <v>0.97</v>
      </c>
      <c r="D82" s="4">
        <v>113</v>
      </c>
      <c r="E82" s="4">
        <v>429</v>
      </c>
      <c r="F82" s="4">
        <v>96934</v>
      </c>
      <c r="G82" s="4">
        <v>9.9000000000000008E-3</v>
      </c>
      <c r="H82" s="4">
        <v>718009</v>
      </c>
      <c r="I82" s="4">
        <f t="shared" si="55"/>
        <v>698.48021881000011</v>
      </c>
      <c r="M82" s="13">
        <v>1</v>
      </c>
      <c r="N82" s="14">
        <f t="shared" ref="N82:S82" si="70">C70</f>
        <v>1.1299999999999999</v>
      </c>
      <c r="O82" s="14">
        <f t="shared" si="70"/>
        <v>122</v>
      </c>
      <c r="P82" s="14">
        <f t="shared" si="70"/>
        <v>495</v>
      </c>
      <c r="Q82" s="14">
        <f t="shared" si="70"/>
        <v>58289</v>
      </c>
      <c r="R82" s="14">
        <f t="shared" si="70"/>
        <v>1.1299999999999999E-2</v>
      </c>
      <c r="S82" s="14">
        <f t="shared" si="70"/>
        <v>616121</v>
      </c>
      <c r="EP82" s="13">
        <f t="shared" si="69"/>
        <v>602</v>
      </c>
    </row>
    <row r="83" spans="2:146">
      <c r="B83" s="4">
        <v>610</v>
      </c>
      <c r="C83" s="4">
        <v>0.97</v>
      </c>
      <c r="D83" s="4">
        <v>110</v>
      </c>
      <c r="E83" s="4">
        <v>397</v>
      </c>
      <c r="F83" s="4">
        <v>98744</v>
      </c>
      <c r="G83" s="4">
        <v>8.3000000000000001E-3</v>
      </c>
      <c r="H83" s="4">
        <v>726985</v>
      </c>
      <c r="I83" s="4">
        <f t="shared" si="55"/>
        <v>637.40223977000005</v>
      </c>
      <c r="M83" s="13">
        <v>1</v>
      </c>
      <c r="N83" s="14">
        <f t="shared" ref="N83:S83" si="71">C71</f>
        <v>1.1200000000000001</v>
      </c>
      <c r="O83" s="14">
        <f t="shared" si="71"/>
        <v>128</v>
      </c>
      <c r="P83" s="14">
        <f t="shared" si="71"/>
        <v>486</v>
      </c>
      <c r="Q83" s="14">
        <f t="shared" si="71"/>
        <v>60156</v>
      </c>
      <c r="R83" s="14">
        <f t="shared" si="71"/>
        <v>1.0200000000000001E-2</v>
      </c>
      <c r="S83" s="14">
        <f t="shared" si="71"/>
        <v>631127</v>
      </c>
      <c r="EP83" s="13">
        <f t="shared" si="69"/>
        <v>694</v>
      </c>
    </row>
    <row r="84" spans="2:146">
      <c r="B84" s="4">
        <v>636</v>
      </c>
      <c r="C84" s="4">
        <v>0.97</v>
      </c>
      <c r="D84" s="4">
        <v>104</v>
      </c>
      <c r="E84" s="4">
        <v>395</v>
      </c>
      <c r="F84" s="4">
        <v>98063</v>
      </c>
      <c r="G84" s="4">
        <v>7.6E-3</v>
      </c>
      <c r="H84" s="4">
        <v>750872</v>
      </c>
      <c r="I84" s="4">
        <f t="shared" si="55"/>
        <v>568.63266143999999</v>
      </c>
      <c r="M84" s="13">
        <v>1</v>
      </c>
      <c r="N84" s="14">
        <f t="shared" ref="N84:S84" si="72">C72</f>
        <v>1.1000000000000001</v>
      </c>
      <c r="O84" s="14">
        <f t="shared" si="72"/>
        <v>119</v>
      </c>
      <c r="P84" s="14">
        <f t="shared" si="72"/>
        <v>466</v>
      </c>
      <c r="Q84" s="14">
        <f t="shared" si="72"/>
        <v>31800</v>
      </c>
      <c r="R84" s="14">
        <f t="shared" si="72"/>
        <v>1.09E-2</v>
      </c>
      <c r="S84" s="14">
        <f t="shared" si="72"/>
        <v>643712</v>
      </c>
      <c r="EP84" s="13">
        <f t="shared" si="69"/>
        <v>601</v>
      </c>
    </row>
    <row r="85" spans="2:146">
      <c r="B85" s="4">
        <v>506</v>
      </c>
      <c r="C85" s="4">
        <v>0.96</v>
      </c>
      <c r="D85" s="4">
        <v>98</v>
      </c>
      <c r="E85" s="4">
        <v>384</v>
      </c>
      <c r="F85" s="4">
        <v>88546</v>
      </c>
      <c r="G85" s="4">
        <v>6.8999999999999999E-3</v>
      </c>
      <c r="H85" s="4">
        <v>790203</v>
      </c>
      <c r="I85" s="4">
        <f t="shared" si="55"/>
        <v>440.15782011000005</v>
      </c>
      <c r="M85" s="13">
        <v>1</v>
      </c>
      <c r="N85" s="14">
        <f t="shared" ref="N85:S85" si="73">C73</f>
        <v>1.07</v>
      </c>
      <c r="O85" s="14">
        <f t="shared" si="73"/>
        <v>113</v>
      </c>
      <c r="P85" s="14">
        <f t="shared" si="73"/>
        <v>466</v>
      </c>
      <c r="Q85" s="14">
        <f t="shared" si="73"/>
        <v>12842</v>
      </c>
      <c r="R85" s="14">
        <f t="shared" si="73"/>
        <v>1.1900000000000001E-2</v>
      </c>
      <c r="S85" s="14">
        <f t="shared" si="73"/>
        <v>645818</v>
      </c>
      <c r="EP85" s="13">
        <f t="shared" si="69"/>
        <v>566</v>
      </c>
    </row>
    <row r="86" spans="2:146">
      <c r="B86" s="4">
        <v>567</v>
      </c>
      <c r="C86" s="4">
        <v>0.96</v>
      </c>
      <c r="D86" s="4">
        <v>98</v>
      </c>
      <c r="E86" s="4">
        <v>342</v>
      </c>
      <c r="F86" s="4">
        <v>41386</v>
      </c>
      <c r="G86" s="4">
        <v>6.6E-3</v>
      </c>
      <c r="H86" s="4">
        <v>828138</v>
      </c>
      <c r="I86" s="4">
        <f t="shared" si="55"/>
        <v>120.14778653999991</v>
      </c>
      <c r="M86" s="13">
        <v>1</v>
      </c>
      <c r="N86" s="14">
        <f t="shared" ref="N86:S86" si="74">C74</f>
        <v>1.04</v>
      </c>
      <c r="O86" s="14">
        <f t="shared" si="74"/>
        <v>119</v>
      </c>
      <c r="P86" s="14">
        <f t="shared" si="74"/>
        <v>479</v>
      </c>
      <c r="Q86" s="14">
        <f t="shared" si="74"/>
        <v>38795</v>
      </c>
      <c r="R86" s="14">
        <f t="shared" si="74"/>
        <v>1.2999999999999999E-2</v>
      </c>
      <c r="S86" s="14">
        <f t="shared" si="74"/>
        <v>651251</v>
      </c>
      <c r="EP86" s="13">
        <f t="shared" si="69"/>
        <v>271</v>
      </c>
    </row>
    <row r="87" spans="2:146">
      <c r="B87" s="4">
        <v>478</v>
      </c>
      <c r="C87" s="4">
        <v>0.94</v>
      </c>
      <c r="D87" s="4">
        <v>98</v>
      </c>
      <c r="E87" s="4">
        <v>348</v>
      </c>
      <c r="F87" s="4">
        <v>14485</v>
      </c>
      <c r="G87" s="4">
        <v>6.7000000000000002E-3</v>
      </c>
      <c r="H87" s="4">
        <v>840420</v>
      </c>
      <c r="I87" s="4">
        <f t="shared" si="55"/>
        <v>-92.432228269999882</v>
      </c>
      <c r="M87" s="13">
        <v>1</v>
      </c>
      <c r="N87" s="14">
        <f t="shared" ref="N87:S87" si="75">C75</f>
        <v>1.01</v>
      </c>
      <c r="O87" s="14">
        <f t="shared" si="75"/>
        <v>118</v>
      </c>
      <c r="P87" s="14">
        <f t="shared" si="75"/>
        <v>459</v>
      </c>
      <c r="Q87" s="14">
        <f t="shared" si="75"/>
        <v>41484</v>
      </c>
      <c r="R87" s="14">
        <f t="shared" si="75"/>
        <v>1.24E-2</v>
      </c>
      <c r="S87" s="14">
        <f t="shared" si="75"/>
        <v>653413</v>
      </c>
      <c r="EP87" s="13">
        <f t="shared" si="69"/>
        <v>408</v>
      </c>
    </row>
    <row r="88" spans="2:146">
      <c r="B88" s="4">
        <v>196</v>
      </c>
      <c r="C88" s="4">
        <v>0.92</v>
      </c>
      <c r="D88" s="4">
        <v>91</v>
      </c>
      <c r="E88" s="4">
        <v>365</v>
      </c>
      <c r="F88" s="4">
        <v>53464</v>
      </c>
      <c r="G88" s="4">
        <v>7.0000000000000001E-3</v>
      </c>
      <c r="H88" s="4">
        <v>847664</v>
      </c>
      <c r="I88" s="4">
        <f t="shared" si="55"/>
        <v>164.75757930000015</v>
      </c>
      <c r="M88" s="13">
        <v>1</v>
      </c>
      <c r="N88" s="14">
        <f t="shared" ref="N88:S88" si="76">C76</f>
        <v>1.01</v>
      </c>
      <c r="O88" s="14">
        <f t="shared" si="76"/>
        <v>116</v>
      </c>
      <c r="P88" s="14">
        <f t="shared" si="76"/>
        <v>447</v>
      </c>
      <c r="Q88" s="14">
        <f t="shared" si="76"/>
        <v>41634</v>
      </c>
      <c r="R88" s="14">
        <f t="shared" si="76"/>
        <v>1.34E-2</v>
      </c>
      <c r="S88" s="14">
        <f t="shared" si="76"/>
        <v>655193</v>
      </c>
      <c r="EP88" s="13">
        <f t="shared" si="69"/>
        <v>684</v>
      </c>
    </row>
    <row r="89" spans="2:146">
      <c r="B89" s="4">
        <v>353</v>
      </c>
      <c r="C89" s="4">
        <v>0.91</v>
      </c>
      <c r="D89" s="4">
        <v>86</v>
      </c>
      <c r="E89" s="4">
        <v>346</v>
      </c>
      <c r="F89" s="4">
        <v>57452</v>
      </c>
      <c r="G89" s="4">
        <v>7.4000000000000003E-3</v>
      </c>
      <c r="H89" s="4">
        <v>856281</v>
      </c>
      <c r="I89" s="4">
        <f t="shared" si="55"/>
        <v>223.4935610600001</v>
      </c>
      <c r="M89" s="13">
        <v>1</v>
      </c>
      <c r="N89" s="14">
        <f t="shared" ref="N89:S89" si="77">C77</f>
        <v>1</v>
      </c>
      <c r="O89" s="14">
        <f t="shared" si="77"/>
        <v>109</v>
      </c>
      <c r="P89" s="14">
        <f t="shared" si="77"/>
        <v>423</v>
      </c>
      <c r="Q89" s="14">
        <f t="shared" si="77"/>
        <v>42082</v>
      </c>
      <c r="R89" s="14">
        <f t="shared" si="77"/>
        <v>1.3899999999999999E-2</v>
      </c>
      <c r="S89" s="14">
        <f t="shared" si="77"/>
        <v>666086</v>
      </c>
      <c r="EP89" s="13">
        <f t="shared" si="69"/>
        <v>501</v>
      </c>
    </row>
    <row r="90" spans="2:146">
      <c r="B90" s="4">
        <v>572</v>
      </c>
      <c r="C90" s="4">
        <v>0.9</v>
      </c>
      <c r="D90" s="4">
        <v>88</v>
      </c>
      <c r="E90" s="4">
        <v>332</v>
      </c>
      <c r="F90" s="4">
        <v>53345</v>
      </c>
      <c r="G90" s="4">
        <v>8.0999999999999996E-3</v>
      </c>
      <c r="H90" s="4">
        <v>866481</v>
      </c>
      <c r="I90" s="4">
        <f t="shared" si="55"/>
        <v>258.39607638999996</v>
      </c>
      <c r="M90" s="13">
        <v>1</v>
      </c>
      <c r="N90" s="14">
        <f t="shared" ref="N90:S90" si="78">C78</f>
        <v>1</v>
      </c>
      <c r="O90" s="14">
        <f t="shared" si="78"/>
        <v>101</v>
      </c>
      <c r="P90" s="14">
        <f t="shared" si="78"/>
        <v>429</v>
      </c>
      <c r="Q90" s="14">
        <f t="shared" si="78"/>
        <v>47052</v>
      </c>
      <c r="R90" s="14">
        <f t="shared" si="78"/>
        <v>1.4E-2</v>
      </c>
      <c r="S90" s="14">
        <f t="shared" si="78"/>
        <v>676217</v>
      </c>
      <c r="EP90" s="13">
        <f t="shared" si="69"/>
        <v>553</v>
      </c>
    </row>
    <row r="91" spans="2:146">
      <c r="B91" s="4">
        <v>470</v>
      </c>
      <c r="C91" s="4">
        <v>0.89</v>
      </c>
      <c r="D91" s="4">
        <v>89</v>
      </c>
      <c r="E91" s="4">
        <v>324</v>
      </c>
      <c r="F91" s="4">
        <v>54101</v>
      </c>
      <c r="G91" s="4">
        <v>8.6999999999999994E-3</v>
      </c>
      <c r="H91" s="4">
        <v>885339</v>
      </c>
      <c r="I91" s="4">
        <f t="shared" si="55"/>
        <v>312.20028053000004</v>
      </c>
      <c r="M91" s="13">
        <v>1</v>
      </c>
      <c r="N91" s="14">
        <f t="shared" ref="N91:S91" si="79">C79</f>
        <v>1</v>
      </c>
      <c r="O91" s="14">
        <f t="shared" si="79"/>
        <v>103</v>
      </c>
      <c r="P91" s="14">
        <f t="shared" si="79"/>
        <v>415</v>
      </c>
      <c r="Q91" s="14">
        <f t="shared" si="79"/>
        <v>31461</v>
      </c>
      <c r="R91" s="14">
        <f t="shared" si="79"/>
        <v>1.4200000000000001E-2</v>
      </c>
      <c r="S91" s="14">
        <f t="shared" si="79"/>
        <v>696172</v>
      </c>
      <c r="EP91" s="13">
        <f t="shared" si="69"/>
        <v>649</v>
      </c>
    </row>
    <row r="92" spans="2:146">
      <c r="B92" s="4">
        <v>460</v>
      </c>
      <c r="C92" s="4">
        <v>0.88</v>
      </c>
      <c r="D92" s="4">
        <v>89</v>
      </c>
      <c r="E92" s="4">
        <v>324</v>
      </c>
      <c r="F92" s="4">
        <v>64169</v>
      </c>
      <c r="G92" s="4">
        <v>9.1000000000000004E-3</v>
      </c>
      <c r="H92" s="4">
        <v>903570</v>
      </c>
      <c r="I92" s="4">
        <f t="shared" si="55"/>
        <v>409.14846229000017</v>
      </c>
      <c r="M92" s="13">
        <v>1</v>
      </c>
      <c r="N92" s="14">
        <f t="shared" ref="N92:S92" si="80">C80</f>
        <v>0.99</v>
      </c>
      <c r="O92" s="14">
        <f t="shared" si="80"/>
        <v>109</v>
      </c>
      <c r="P92" s="14">
        <f t="shared" si="80"/>
        <v>428</v>
      </c>
      <c r="Q92" s="14">
        <f t="shared" si="80"/>
        <v>14429</v>
      </c>
      <c r="R92" s="14">
        <f t="shared" si="80"/>
        <v>1.3599999999999999E-2</v>
      </c>
      <c r="S92" s="14">
        <f t="shared" si="80"/>
        <v>701102</v>
      </c>
      <c r="EP92" s="13">
        <f t="shared" si="69"/>
        <v>441</v>
      </c>
    </row>
    <row r="93" spans="2:146">
      <c r="B93" s="4">
        <v>454</v>
      </c>
      <c r="C93" s="4">
        <v>0.87</v>
      </c>
      <c r="D93" s="4">
        <v>84</v>
      </c>
      <c r="E93" s="4">
        <v>302</v>
      </c>
      <c r="F93" s="4">
        <v>31454</v>
      </c>
      <c r="G93" s="4">
        <v>9.1000000000000004E-3</v>
      </c>
      <c r="H93" s="4">
        <v>920598</v>
      </c>
      <c r="I93" s="4">
        <f t="shared" si="55"/>
        <v>170.10529928999983</v>
      </c>
      <c r="M93" s="13">
        <v>1</v>
      </c>
      <c r="N93" s="14">
        <f t="shared" ref="N93:S93" si="81">C81</f>
        <v>0.98</v>
      </c>
      <c r="O93" s="14">
        <f t="shared" si="81"/>
        <v>112</v>
      </c>
      <c r="P93" s="14">
        <f t="shared" si="81"/>
        <v>454</v>
      </c>
      <c r="Q93" s="14">
        <f t="shared" si="81"/>
        <v>78716</v>
      </c>
      <c r="R93" s="14">
        <f t="shared" si="81"/>
        <v>1.1599999999999999E-2</v>
      </c>
      <c r="S93" s="14">
        <f t="shared" si="81"/>
        <v>706842</v>
      </c>
      <c r="EP93" s="13">
        <f t="shared" si="69"/>
        <v>220</v>
      </c>
    </row>
    <row r="94" spans="2:146">
      <c r="B94" s="4">
        <v>330</v>
      </c>
      <c r="C94" s="4">
        <v>0.86</v>
      </c>
      <c r="D94" s="4">
        <v>85</v>
      </c>
      <c r="E94" s="4">
        <v>311</v>
      </c>
      <c r="F94" s="4">
        <v>17140</v>
      </c>
      <c r="G94" s="4">
        <v>8.6E-3</v>
      </c>
      <c r="H94" s="4">
        <v>930042</v>
      </c>
      <c r="I94" s="4">
        <f t="shared" si="55"/>
        <v>16.868180339999981</v>
      </c>
      <c r="M94" s="13">
        <v>1</v>
      </c>
      <c r="N94" s="14">
        <f t="shared" ref="N94:S94" si="82">C82</f>
        <v>0.97</v>
      </c>
      <c r="O94" s="14">
        <f t="shared" si="82"/>
        <v>113</v>
      </c>
      <c r="P94" s="14">
        <f t="shared" si="82"/>
        <v>429</v>
      </c>
      <c r="Q94" s="14">
        <f t="shared" si="82"/>
        <v>96934</v>
      </c>
      <c r="R94" s="14">
        <f t="shared" si="82"/>
        <v>9.9000000000000008E-3</v>
      </c>
      <c r="S94" s="14">
        <f t="shared" si="82"/>
        <v>718009</v>
      </c>
      <c r="EP94" s="13">
        <f t="shared" si="69"/>
        <v>424</v>
      </c>
    </row>
    <row r="95" spans="2:146">
      <c r="B95" s="4">
        <v>180</v>
      </c>
      <c r="C95" s="4">
        <v>0.86</v>
      </c>
      <c r="D95" s="4">
        <v>90</v>
      </c>
      <c r="E95" s="4">
        <v>322</v>
      </c>
      <c r="F95" s="4">
        <v>52011</v>
      </c>
      <c r="G95" s="4">
        <v>8.6E-3</v>
      </c>
      <c r="H95" s="4">
        <v>939105</v>
      </c>
      <c r="I95" s="4">
        <f t="shared" si="55"/>
        <v>281.19048034000002</v>
      </c>
      <c r="M95" s="13">
        <v>1</v>
      </c>
      <c r="N95" s="14">
        <f t="shared" ref="N95:S95" si="83">C83</f>
        <v>0.97</v>
      </c>
      <c r="O95" s="14">
        <f t="shared" si="83"/>
        <v>110</v>
      </c>
      <c r="P95" s="14">
        <f t="shared" si="83"/>
        <v>397</v>
      </c>
      <c r="Q95" s="14">
        <f t="shared" si="83"/>
        <v>98744</v>
      </c>
      <c r="R95" s="14">
        <f t="shared" si="83"/>
        <v>8.3000000000000001E-3</v>
      </c>
      <c r="S95" s="14">
        <f t="shared" si="83"/>
        <v>726985</v>
      </c>
      <c r="EP95" s="13">
        <f t="shared" si="69"/>
        <v>610</v>
      </c>
    </row>
    <row r="96" spans="2:146">
      <c r="B96" s="4">
        <v>258</v>
      </c>
      <c r="C96" s="4">
        <v>0.85</v>
      </c>
      <c r="D96" s="4">
        <v>87</v>
      </c>
      <c r="E96" s="4">
        <v>296</v>
      </c>
      <c r="F96" s="4">
        <v>52560</v>
      </c>
      <c r="G96" s="4">
        <v>8.3999999999999995E-3</v>
      </c>
      <c r="H96" s="4">
        <v>952721</v>
      </c>
      <c r="I96" s="4">
        <f t="shared" si="55"/>
        <v>290.26809495999993</v>
      </c>
      <c r="M96" s="13">
        <v>1</v>
      </c>
      <c r="N96" s="14">
        <f t="shared" ref="N96:S96" si="84">C84</f>
        <v>0.97</v>
      </c>
      <c r="O96" s="14">
        <f t="shared" si="84"/>
        <v>104</v>
      </c>
      <c r="P96" s="14">
        <f t="shared" si="84"/>
        <v>395</v>
      </c>
      <c r="Q96" s="14">
        <f t="shared" si="84"/>
        <v>98063</v>
      </c>
      <c r="R96" s="14">
        <f t="shared" si="84"/>
        <v>7.6E-3</v>
      </c>
      <c r="S96" s="14">
        <f t="shared" si="84"/>
        <v>750872</v>
      </c>
      <c r="EP96" s="13">
        <f t="shared" si="69"/>
        <v>636</v>
      </c>
    </row>
    <row r="97" spans="2:146">
      <c r="B97" s="4">
        <v>387</v>
      </c>
      <c r="C97" s="4">
        <v>0.85</v>
      </c>
      <c r="D97" s="4">
        <v>83</v>
      </c>
      <c r="E97" s="4">
        <v>297</v>
      </c>
      <c r="F97" s="4">
        <v>49255</v>
      </c>
      <c r="G97" s="4">
        <v>7.9000000000000008E-3</v>
      </c>
      <c r="H97" s="4">
        <v>969630</v>
      </c>
      <c r="I97" s="4">
        <f t="shared" si="55"/>
        <v>217.87713901000001</v>
      </c>
      <c r="M97" s="13">
        <v>1</v>
      </c>
      <c r="N97" s="14">
        <f t="shared" ref="N97:S97" si="85">C85</f>
        <v>0.96</v>
      </c>
      <c r="O97" s="14">
        <f t="shared" si="85"/>
        <v>98</v>
      </c>
      <c r="P97" s="14">
        <f t="shared" si="85"/>
        <v>384</v>
      </c>
      <c r="Q97" s="14">
        <f t="shared" si="85"/>
        <v>88546</v>
      </c>
      <c r="R97" s="14">
        <f t="shared" si="85"/>
        <v>6.8999999999999999E-3</v>
      </c>
      <c r="S97" s="14">
        <f t="shared" si="85"/>
        <v>790203</v>
      </c>
      <c r="EP97" s="13">
        <f t="shared" si="69"/>
        <v>506</v>
      </c>
    </row>
    <row r="98" spans="2:146">
      <c r="B98" s="4">
        <v>373</v>
      </c>
      <c r="C98" s="4">
        <v>0.87</v>
      </c>
      <c r="D98" s="4">
        <v>77</v>
      </c>
      <c r="E98" s="4">
        <v>283</v>
      </c>
      <c r="F98" s="4">
        <v>48583</v>
      </c>
      <c r="G98" s="4">
        <v>7.7000000000000002E-3</v>
      </c>
      <c r="H98" s="4">
        <v>1012002</v>
      </c>
      <c r="I98" s="4">
        <f t="shared" si="55"/>
        <v>207.11564263000002</v>
      </c>
      <c r="M98" s="13">
        <v>1</v>
      </c>
      <c r="N98" s="14">
        <f t="shared" ref="N98:S98" si="86">C86</f>
        <v>0.96</v>
      </c>
      <c r="O98" s="14">
        <f t="shared" si="86"/>
        <v>98</v>
      </c>
      <c r="P98" s="14">
        <f t="shared" si="86"/>
        <v>342</v>
      </c>
      <c r="Q98" s="14">
        <f t="shared" si="86"/>
        <v>41386</v>
      </c>
      <c r="R98" s="14">
        <f t="shared" si="86"/>
        <v>6.6E-3</v>
      </c>
      <c r="S98" s="14">
        <f t="shared" si="86"/>
        <v>828138</v>
      </c>
      <c r="EP98" s="13">
        <f t="shared" si="69"/>
        <v>567</v>
      </c>
    </row>
    <row r="99" spans="2:146">
      <c r="B99" s="4">
        <v>377</v>
      </c>
      <c r="C99" s="4">
        <v>0.89</v>
      </c>
      <c r="D99" s="4">
        <v>75</v>
      </c>
      <c r="E99" s="4">
        <v>280</v>
      </c>
      <c r="F99" s="4">
        <v>47849</v>
      </c>
      <c r="G99" s="4">
        <v>7.9000000000000008E-3</v>
      </c>
      <c r="H99" s="4">
        <v>1063299</v>
      </c>
      <c r="I99" s="4">
        <f t="shared" si="55"/>
        <v>221.64539101000008</v>
      </c>
      <c r="M99" s="13">
        <v>1</v>
      </c>
      <c r="N99" s="14">
        <f t="shared" ref="N99:S99" si="87">C87</f>
        <v>0.94</v>
      </c>
      <c r="O99" s="14">
        <f t="shared" si="87"/>
        <v>98</v>
      </c>
      <c r="P99" s="14">
        <f t="shared" si="87"/>
        <v>348</v>
      </c>
      <c r="Q99" s="14">
        <f t="shared" si="87"/>
        <v>14485</v>
      </c>
      <c r="R99" s="14">
        <f t="shared" si="87"/>
        <v>6.7000000000000002E-3</v>
      </c>
      <c r="S99" s="14">
        <f t="shared" si="87"/>
        <v>840420</v>
      </c>
      <c r="EP99" s="13">
        <f t="shared" si="69"/>
        <v>478</v>
      </c>
    </row>
    <row r="100" spans="2:146">
      <c r="B100" s="4">
        <v>406</v>
      </c>
      <c r="C100" s="4">
        <v>0.91</v>
      </c>
      <c r="D100" s="4">
        <v>74</v>
      </c>
      <c r="E100" s="4">
        <v>260</v>
      </c>
      <c r="F100" s="4">
        <v>31498</v>
      </c>
      <c r="G100" s="4">
        <v>7.7000000000000002E-3</v>
      </c>
      <c r="H100" s="4">
        <v>1120117</v>
      </c>
      <c r="I100" s="4">
        <f t="shared" si="55"/>
        <v>117.70859463000005</v>
      </c>
      <c r="M100" s="13">
        <v>1</v>
      </c>
      <c r="N100" s="14">
        <f t="shared" ref="N100:S100" si="88">C88</f>
        <v>0.92</v>
      </c>
      <c r="O100" s="14">
        <f t="shared" si="88"/>
        <v>91</v>
      </c>
      <c r="P100" s="14">
        <f t="shared" si="88"/>
        <v>365</v>
      </c>
      <c r="Q100" s="14">
        <f t="shared" si="88"/>
        <v>53464</v>
      </c>
      <c r="R100" s="14">
        <f t="shared" si="88"/>
        <v>7.0000000000000001E-3</v>
      </c>
      <c r="S100" s="14">
        <f t="shared" si="88"/>
        <v>847664</v>
      </c>
      <c r="EP100" s="13">
        <f t="shared" si="69"/>
        <v>196</v>
      </c>
    </row>
    <row r="101" spans="2:146">
      <c r="B101" s="4">
        <v>324</v>
      </c>
      <c r="C101" s="4">
        <v>0.93</v>
      </c>
      <c r="D101" s="4">
        <v>74</v>
      </c>
      <c r="E101" s="4">
        <v>268</v>
      </c>
      <c r="F101" s="4">
        <v>15940</v>
      </c>
      <c r="G101" s="4">
        <v>7.7000000000000002E-3</v>
      </c>
      <c r="H101" s="4">
        <v>1134005</v>
      </c>
      <c r="I101" s="4">
        <f t="shared" si="55"/>
        <v>0.61612063000018225</v>
      </c>
      <c r="M101" s="13">
        <v>1</v>
      </c>
      <c r="N101" s="14">
        <f t="shared" ref="N101:S101" si="89">C89</f>
        <v>0.91</v>
      </c>
      <c r="O101" s="14">
        <f t="shared" si="89"/>
        <v>86</v>
      </c>
      <c r="P101" s="14">
        <f t="shared" si="89"/>
        <v>346</v>
      </c>
      <c r="Q101" s="14">
        <f t="shared" si="89"/>
        <v>57452</v>
      </c>
      <c r="R101" s="14">
        <f t="shared" si="89"/>
        <v>7.4000000000000003E-3</v>
      </c>
      <c r="S101" s="14">
        <f t="shared" si="89"/>
        <v>856281</v>
      </c>
      <c r="EP101" s="13">
        <f t="shared" si="69"/>
        <v>353</v>
      </c>
    </row>
    <row r="102" spans="2:146">
      <c r="B102" s="4">
        <v>158</v>
      </c>
      <c r="C102" s="4">
        <v>0.95</v>
      </c>
      <c r="D102" s="4">
        <v>73</v>
      </c>
      <c r="E102" s="4">
        <v>277</v>
      </c>
      <c r="F102" s="4">
        <v>39435</v>
      </c>
      <c r="G102" s="4">
        <v>8.0000000000000002E-3</v>
      </c>
      <c r="H102" s="4">
        <v>1160784</v>
      </c>
      <c r="I102" s="4">
        <f t="shared" si="55"/>
        <v>191.53458019999988</v>
      </c>
      <c r="M102" s="13">
        <v>1</v>
      </c>
      <c r="N102" s="14">
        <f t="shared" ref="N102:S102" si="90">C90</f>
        <v>0.9</v>
      </c>
      <c r="O102" s="14">
        <f t="shared" si="90"/>
        <v>88</v>
      </c>
      <c r="P102" s="14">
        <f t="shared" si="90"/>
        <v>332</v>
      </c>
      <c r="Q102" s="14">
        <f t="shared" si="90"/>
        <v>53345</v>
      </c>
      <c r="R102" s="14">
        <f t="shared" si="90"/>
        <v>8.0999999999999996E-3</v>
      </c>
      <c r="S102" s="14">
        <f t="shared" si="90"/>
        <v>866481</v>
      </c>
      <c r="EP102" s="13">
        <f t="shared" si="69"/>
        <v>572</v>
      </c>
    </row>
    <row r="103" spans="2:146">
      <c r="B103" s="4">
        <v>268</v>
      </c>
      <c r="C103" s="4">
        <v>0.97</v>
      </c>
      <c r="D103" s="4">
        <v>71</v>
      </c>
      <c r="E103" s="4">
        <v>257</v>
      </c>
      <c r="F103" s="4">
        <v>41873</v>
      </c>
      <c r="G103" s="4">
        <v>8.3999999999999995E-3</v>
      </c>
      <c r="H103" s="4">
        <v>1180469</v>
      </c>
      <c r="I103" s="4">
        <f t="shared" si="55"/>
        <v>264.64335096000013</v>
      </c>
      <c r="M103" s="13">
        <v>1</v>
      </c>
      <c r="N103" s="14">
        <f t="shared" ref="N103:S103" si="91">C91</f>
        <v>0.89</v>
      </c>
      <c r="O103" s="14">
        <f t="shared" si="91"/>
        <v>89</v>
      </c>
      <c r="P103" s="14">
        <f t="shared" si="91"/>
        <v>324</v>
      </c>
      <c r="Q103" s="14">
        <f t="shared" si="91"/>
        <v>54101</v>
      </c>
      <c r="R103" s="14">
        <f t="shared" si="91"/>
        <v>8.6999999999999994E-3</v>
      </c>
      <c r="S103" s="14">
        <f t="shared" si="91"/>
        <v>885339</v>
      </c>
      <c r="EP103" s="13">
        <f t="shared" si="69"/>
        <v>470</v>
      </c>
    </row>
    <row r="104" spans="2:146">
      <c r="B104" s="4">
        <v>485</v>
      </c>
      <c r="C104" s="4">
        <v>1</v>
      </c>
      <c r="D104" s="4">
        <v>71</v>
      </c>
      <c r="E104" s="4">
        <v>248</v>
      </c>
      <c r="F104" s="4">
        <v>43813</v>
      </c>
      <c r="G104" s="4">
        <v>8.8999999999999999E-3</v>
      </c>
      <c r="H104" s="4">
        <v>1196536</v>
      </c>
      <c r="I104" s="4">
        <f t="shared" si="55"/>
        <v>338.20239591000006</v>
      </c>
      <c r="M104" s="13">
        <v>1</v>
      </c>
      <c r="N104" s="14">
        <f t="shared" ref="N104:S104" si="92">C92</f>
        <v>0.88</v>
      </c>
      <c r="O104" s="14">
        <f t="shared" si="92"/>
        <v>89</v>
      </c>
      <c r="P104" s="14">
        <f t="shared" si="92"/>
        <v>324</v>
      </c>
      <c r="Q104" s="14">
        <f t="shared" si="92"/>
        <v>64169</v>
      </c>
      <c r="R104" s="14">
        <f t="shared" si="92"/>
        <v>9.1000000000000004E-3</v>
      </c>
      <c r="S104" s="14">
        <f t="shared" si="92"/>
        <v>903570</v>
      </c>
      <c r="EP104" s="13">
        <f t="shared" si="69"/>
        <v>460</v>
      </c>
    </row>
    <row r="105" spans="2:146">
      <c r="B105" s="4">
        <v>436</v>
      </c>
      <c r="C105" s="4">
        <v>1.02</v>
      </c>
      <c r="D105" s="4">
        <v>70</v>
      </c>
      <c r="E105" s="4">
        <v>244</v>
      </c>
      <c r="F105" s="4">
        <v>40249</v>
      </c>
      <c r="G105" s="4">
        <v>9.4000000000000004E-3</v>
      </c>
      <c r="H105" s="4">
        <v>1211653</v>
      </c>
      <c r="I105" s="4">
        <f t="shared" si="55"/>
        <v>355.87857786000001</v>
      </c>
      <c r="M105" s="13">
        <v>1</v>
      </c>
      <c r="N105" s="14">
        <f t="shared" ref="N105:S105" si="93">C93</f>
        <v>0.87</v>
      </c>
      <c r="O105" s="14">
        <f t="shared" si="93"/>
        <v>84</v>
      </c>
      <c r="P105" s="14">
        <f t="shared" si="93"/>
        <v>302</v>
      </c>
      <c r="Q105" s="14">
        <f t="shared" si="93"/>
        <v>31454</v>
      </c>
      <c r="R105" s="14">
        <f t="shared" si="93"/>
        <v>9.1000000000000004E-3</v>
      </c>
      <c r="S105" s="14">
        <f t="shared" si="93"/>
        <v>920598</v>
      </c>
      <c r="EP105" s="13">
        <f t="shared" si="69"/>
        <v>454</v>
      </c>
    </row>
    <row r="106" spans="2:146">
      <c r="B106" s="4">
        <v>450</v>
      </c>
      <c r="C106" s="4">
        <v>1.04</v>
      </c>
      <c r="D106" s="4">
        <v>72</v>
      </c>
      <c r="E106" s="4">
        <v>236</v>
      </c>
      <c r="F106" s="4">
        <v>46370</v>
      </c>
      <c r="G106" s="4">
        <v>9.7999999999999997E-3</v>
      </c>
      <c r="H106" s="4">
        <v>1231250</v>
      </c>
      <c r="I106" s="4">
        <f t="shared" si="55"/>
        <v>454.77064862000009</v>
      </c>
      <c r="M106" s="13">
        <v>1</v>
      </c>
      <c r="N106" s="14">
        <f t="shared" ref="N106:S106" si="94">C94</f>
        <v>0.86</v>
      </c>
      <c r="O106" s="14">
        <f t="shared" si="94"/>
        <v>85</v>
      </c>
      <c r="P106" s="14">
        <f t="shared" si="94"/>
        <v>311</v>
      </c>
      <c r="Q106" s="14">
        <f t="shared" si="94"/>
        <v>17140</v>
      </c>
      <c r="R106" s="14">
        <f t="shared" si="94"/>
        <v>8.6E-3</v>
      </c>
      <c r="S106" s="14">
        <f t="shared" si="94"/>
        <v>930042</v>
      </c>
      <c r="EP106" s="13">
        <f t="shared" si="69"/>
        <v>330</v>
      </c>
    </row>
    <row r="107" spans="2:146">
      <c r="B107" s="4">
        <v>469</v>
      </c>
      <c r="C107" s="4">
        <v>1.05</v>
      </c>
      <c r="D107" s="4">
        <v>71</v>
      </c>
      <c r="E107" s="4">
        <v>223</v>
      </c>
      <c r="F107" s="4">
        <v>30962</v>
      </c>
      <c r="G107" s="4">
        <v>0.01</v>
      </c>
      <c r="H107" s="4">
        <v>1287442</v>
      </c>
      <c r="I107" s="4">
        <f t="shared" si="55"/>
        <v>370.43913400000019</v>
      </c>
      <c r="M107" s="13">
        <v>1</v>
      </c>
      <c r="N107" s="14">
        <f t="shared" ref="N107:S107" si="95">C95</f>
        <v>0.86</v>
      </c>
      <c r="O107" s="14">
        <f t="shared" si="95"/>
        <v>90</v>
      </c>
      <c r="P107" s="14">
        <f t="shared" si="95"/>
        <v>322</v>
      </c>
      <c r="Q107" s="14">
        <f t="shared" si="95"/>
        <v>52011</v>
      </c>
      <c r="R107" s="14">
        <f t="shared" si="95"/>
        <v>8.6E-3</v>
      </c>
      <c r="S107" s="14">
        <f t="shared" si="95"/>
        <v>939105</v>
      </c>
      <c r="EP107" s="13">
        <f t="shared" si="69"/>
        <v>180</v>
      </c>
    </row>
    <row r="108" spans="2:146">
      <c r="B108" s="4">
        <v>334</v>
      </c>
      <c r="C108" s="4">
        <v>1.06</v>
      </c>
      <c r="D108" s="4">
        <v>76</v>
      </c>
      <c r="E108" s="4">
        <v>245</v>
      </c>
      <c r="F108" s="4">
        <v>15707</v>
      </c>
      <c r="G108" s="4">
        <v>1.01E-2</v>
      </c>
      <c r="H108" s="4">
        <v>1411270</v>
      </c>
      <c r="I108" s="4">
        <f t="shared" si="55"/>
        <v>256.28810819</v>
      </c>
      <c r="M108" s="13">
        <v>1</v>
      </c>
      <c r="N108" s="14">
        <f t="shared" ref="N108:S108" si="96">C96</f>
        <v>0.85</v>
      </c>
      <c r="O108" s="14">
        <f t="shared" si="96"/>
        <v>87</v>
      </c>
      <c r="P108" s="14">
        <f t="shared" si="96"/>
        <v>296</v>
      </c>
      <c r="Q108" s="14">
        <f t="shared" si="96"/>
        <v>52560</v>
      </c>
      <c r="R108" s="14">
        <f t="shared" si="96"/>
        <v>8.3999999999999995E-3</v>
      </c>
      <c r="S108" s="14">
        <f t="shared" si="96"/>
        <v>952721</v>
      </c>
      <c r="EP108" s="13">
        <f t="shared" si="69"/>
        <v>258</v>
      </c>
    </row>
    <row r="109" spans="2:146">
      <c r="B109" s="4">
        <v>199</v>
      </c>
      <c r="C109" s="4">
        <v>1.07</v>
      </c>
      <c r="D109" s="4">
        <v>72</v>
      </c>
      <c r="E109" s="4">
        <v>246</v>
      </c>
      <c r="F109" s="4">
        <v>43293</v>
      </c>
      <c r="G109" s="4">
        <v>1.01E-2</v>
      </c>
      <c r="H109" s="4">
        <v>1469159</v>
      </c>
      <c r="I109" s="4">
        <f t="shared" si="55"/>
        <v>453.36877119000007</v>
      </c>
      <c r="M109" s="13">
        <v>1</v>
      </c>
      <c r="N109" s="14">
        <f t="shared" ref="N109:S109" si="97">C97</f>
        <v>0.85</v>
      </c>
      <c r="O109" s="14">
        <f t="shared" si="97"/>
        <v>83</v>
      </c>
      <c r="P109" s="14">
        <f t="shared" si="97"/>
        <v>297</v>
      </c>
      <c r="Q109" s="14">
        <f t="shared" si="97"/>
        <v>49255</v>
      </c>
      <c r="R109" s="14">
        <f t="shared" si="97"/>
        <v>7.9000000000000008E-3</v>
      </c>
      <c r="S109" s="14">
        <f t="shared" si="97"/>
        <v>969630</v>
      </c>
      <c r="EP109" s="13">
        <f t="shared" si="69"/>
        <v>387</v>
      </c>
    </row>
    <row r="110" spans="2:146">
      <c r="B110" s="4">
        <v>386</v>
      </c>
      <c r="C110" s="4">
        <v>1.08</v>
      </c>
      <c r="D110" s="4">
        <v>66</v>
      </c>
      <c r="E110" s="4">
        <v>233</v>
      </c>
      <c r="F110" s="4">
        <v>41470</v>
      </c>
      <c r="G110" s="4">
        <v>1.0500000000000001E-2</v>
      </c>
      <c r="H110" s="4">
        <v>1489854</v>
      </c>
      <c r="I110" s="4">
        <f t="shared" si="55"/>
        <v>467.30237895000016</v>
      </c>
      <c r="M110" s="13">
        <v>1</v>
      </c>
      <c r="N110" s="14">
        <f t="shared" ref="N110:S110" si="98">C98</f>
        <v>0.87</v>
      </c>
      <c r="O110" s="14">
        <f t="shared" si="98"/>
        <v>77</v>
      </c>
      <c r="P110" s="14">
        <f t="shared" si="98"/>
        <v>283</v>
      </c>
      <c r="Q110" s="14">
        <f t="shared" si="98"/>
        <v>48583</v>
      </c>
      <c r="R110" s="14">
        <f t="shared" si="98"/>
        <v>7.7000000000000002E-3</v>
      </c>
      <c r="S110" s="14">
        <f t="shared" si="98"/>
        <v>1012002</v>
      </c>
      <c r="EP110" s="13">
        <f t="shared" si="69"/>
        <v>373</v>
      </c>
    </row>
    <row r="111" spans="2:146">
      <c r="B111" s="4">
        <v>511</v>
      </c>
      <c r="C111" s="4">
        <v>1.0900000000000001</v>
      </c>
      <c r="D111" s="4">
        <v>56</v>
      </c>
      <c r="E111" s="4">
        <v>211</v>
      </c>
      <c r="F111" s="4">
        <v>44399</v>
      </c>
      <c r="G111" s="4">
        <v>1.06E-2</v>
      </c>
      <c r="H111" s="4">
        <v>1513415</v>
      </c>
      <c r="I111" s="4">
        <f t="shared" si="55"/>
        <v>495.15615314000019</v>
      </c>
      <c r="M111" s="13">
        <v>1</v>
      </c>
      <c r="N111" s="14">
        <f t="shared" ref="N111:S111" si="99">C99</f>
        <v>0.89</v>
      </c>
      <c r="O111" s="14">
        <f t="shared" si="99"/>
        <v>75</v>
      </c>
      <c r="P111" s="14">
        <f t="shared" si="99"/>
        <v>280</v>
      </c>
      <c r="Q111" s="14">
        <f t="shared" si="99"/>
        <v>47849</v>
      </c>
      <c r="R111" s="14">
        <f t="shared" si="99"/>
        <v>7.9000000000000008E-3</v>
      </c>
      <c r="S111" s="14">
        <f t="shared" si="99"/>
        <v>1063299</v>
      </c>
      <c r="EP111" s="13">
        <f t="shared" si="69"/>
        <v>377</v>
      </c>
    </row>
    <row r="112" spans="2:146">
      <c r="B112" s="4">
        <v>451</v>
      </c>
      <c r="C112" s="4">
        <v>1.1000000000000001</v>
      </c>
      <c r="D112" s="4">
        <v>58</v>
      </c>
      <c r="E112" s="4">
        <v>208</v>
      </c>
      <c r="F112" s="4">
        <v>44577</v>
      </c>
      <c r="G112" s="4">
        <v>1.0500000000000001E-2</v>
      </c>
      <c r="H112" s="4">
        <v>1539964</v>
      </c>
      <c r="I112" s="4">
        <f t="shared" si="55"/>
        <v>505.32560495000018</v>
      </c>
      <c r="M112" s="13">
        <v>1</v>
      </c>
      <c r="N112" s="14">
        <f t="shared" ref="N112:S112" si="100">C100</f>
        <v>0.91</v>
      </c>
      <c r="O112" s="14">
        <f t="shared" si="100"/>
        <v>74</v>
      </c>
      <c r="P112" s="14">
        <f t="shared" si="100"/>
        <v>260</v>
      </c>
      <c r="Q112" s="14">
        <f t="shared" si="100"/>
        <v>31498</v>
      </c>
      <c r="R112" s="14">
        <f t="shared" si="100"/>
        <v>7.7000000000000002E-3</v>
      </c>
      <c r="S112" s="14">
        <f t="shared" si="100"/>
        <v>1120117</v>
      </c>
      <c r="EP112" s="13">
        <f t="shared" si="69"/>
        <v>406</v>
      </c>
    </row>
    <row r="113" spans="2:146">
      <c r="B113" s="4">
        <v>559</v>
      </c>
      <c r="C113" s="4">
        <v>1.1200000000000001</v>
      </c>
      <c r="D113" s="4">
        <v>55</v>
      </c>
      <c r="E113" s="4">
        <v>207</v>
      </c>
      <c r="F113" s="4">
        <v>45378</v>
      </c>
      <c r="G113" s="4">
        <v>1.09E-2</v>
      </c>
      <c r="H113" s="4">
        <v>1568208</v>
      </c>
      <c r="I113" s="4">
        <f t="shared" si="55"/>
        <v>538.62827571000003</v>
      </c>
      <c r="M113" s="13">
        <v>1</v>
      </c>
      <c r="N113" s="14">
        <f t="shared" ref="N113:S113" si="101">C101</f>
        <v>0.93</v>
      </c>
      <c r="O113" s="14">
        <f t="shared" si="101"/>
        <v>74</v>
      </c>
      <c r="P113" s="14">
        <f t="shared" si="101"/>
        <v>268</v>
      </c>
      <c r="Q113" s="14">
        <f t="shared" si="101"/>
        <v>15940</v>
      </c>
      <c r="R113" s="14">
        <f t="shared" si="101"/>
        <v>7.7000000000000002E-3</v>
      </c>
      <c r="S113" s="14">
        <f t="shared" si="101"/>
        <v>1134005</v>
      </c>
      <c r="EP113" s="13">
        <f t="shared" si="69"/>
        <v>324</v>
      </c>
    </row>
    <row r="114" spans="2:146">
      <c r="B114" s="4">
        <v>523</v>
      </c>
      <c r="C114" s="4">
        <v>1.1200000000000001</v>
      </c>
      <c r="D114" s="4">
        <v>59</v>
      </c>
      <c r="E114" s="4">
        <v>210</v>
      </c>
      <c r="F114" s="4">
        <v>33560</v>
      </c>
      <c r="G114" s="4">
        <v>1.0999999999999999E-2</v>
      </c>
      <c r="H114" s="4">
        <v>1604322</v>
      </c>
      <c r="I114" s="4">
        <f t="shared" si="55"/>
        <v>466.18468690000009</v>
      </c>
      <c r="M114" s="13">
        <v>1</v>
      </c>
      <c r="N114" s="14">
        <f t="shared" ref="N114:S114" si="102">C102</f>
        <v>0.95</v>
      </c>
      <c r="O114" s="14">
        <f t="shared" si="102"/>
        <v>73</v>
      </c>
      <c r="P114" s="14">
        <f t="shared" si="102"/>
        <v>277</v>
      </c>
      <c r="Q114" s="14">
        <f t="shared" si="102"/>
        <v>39435</v>
      </c>
      <c r="R114" s="14">
        <f t="shared" si="102"/>
        <v>8.0000000000000002E-3</v>
      </c>
      <c r="S114" s="14">
        <f t="shared" si="102"/>
        <v>1160784</v>
      </c>
      <c r="EP114" s="13">
        <f t="shared" si="69"/>
        <v>158</v>
      </c>
    </row>
    <row r="115" spans="2:146">
      <c r="B115" s="4">
        <v>413</v>
      </c>
      <c r="C115" s="4">
        <v>1.1200000000000001</v>
      </c>
      <c r="D115" s="4">
        <v>58</v>
      </c>
      <c r="E115" s="4">
        <v>220</v>
      </c>
      <c r="F115" s="4">
        <v>16152</v>
      </c>
      <c r="G115" s="4">
        <v>1.1299999999999999E-2</v>
      </c>
      <c r="H115" s="4">
        <v>1638859</v>
      </c>
      <c r="I115" s="4">
        <f t="shared" si="55"/>
        <v>339.28832047000003</v>
      </c>
      <c r="M115" s="13">
        <v>1</v>
      </c>
      <c r="N115" s="14">
        <f t="shared" ref="N115:S115" si="103">C103</f>
        <v>0.97</v>
      </c>
      <c r="O115" s="14">
        <f t="shared" si="103"/>
        <v>71</v>
      </c>
      <c r="P115" s="14">
        <f t="shared" si="103"/>
        <v>257</v>
      </c>
      <c r="Q115" s="14">
        <f t="shared" si="103"/>
        <v>41873</v>
      </c>
      <c r="R115" s="14">
        <f t="shared" si="103"/>
        <v>8.3999999999999995E-3</v>
      </c>
      <c r="S115" s="14">
        <f t="shared" si="103"/>
        <v>1180469</v>
      </c>
      <c r="EP115" s="13">
        <f t="shared" si="69"/>
        <v>268</v>
      </c>
    </row>
    <row r="116" spans="2:146">
      <c r="B116" s="4">
        <v>241</v>
      </c>
      <c r="C116" s="4">
        <v>1.1100000000000001</v>
      </c>
      <c r="D116" s="4">
        <v>57</v>
      </c>
      <c r="E116" s="4">
        <v>239</v>
      </c>
      <c r="F116" s="4">
        <v>42680</v>
      </c>
      <c r="G116" s="4">
        <v>1.15E-2</v>
      </c>
      <c r="H116" s="4">
        <v>1701479</v>
      </c>
      <c r="I116" s="4">
        <f t="shared" si="55"/>
        <v>518.99627985000006</v>
      </c>
      <c r="M116" s="13">
        <v>1</v>
      </c>
      <c r="N116" s="14">
        <f t="shared" ref="N116:S116" si="104">C104</f>
        <v>1</v>
      </c>
      <c r="O116" s="14">
        <f t="shared" si="104"/>
        <v>71</v>
      </c>
      <c r="P116" s="14">
        <f t="shared" si="104"/>
        <v>248</v>
      </c>
      <c r="Q116" s="14">
        <f t="shared" si="104"/>
        <v>43813</v>
      </c>
      <c r="R116" s="14">
        <f t="shared" si="104"/>
        <v>8.8999999999999999E-3</v>
      </c>
      <c r="S116" s="14">
        <f t="shared" si="104"/>
        <v>1196536</v>
      </c>
      <c r="EP116" s="13">
        <f t="shared" si="69"/>
        <v>485</v>
      </c>
    </row>
    <row r="117" spans="2:146">
      <c r="B117" s="4">
        <v>375</v>
      </c>
      <c r="C117" s="4">
        <v>1.1200000000000001</v>
      </c>
      <c r="D117" s="4">
        <v>52</v>
      </c>
      <c r="E117" s="4">
        <v>237</v>
      </c>
      <c r="F117" s="4">
        <v>43590</v>
      </c>
      <c r="G117" s="4">
        <v>1.14E-2</v>
      </c>
      <c r="H117" s="4">
        <v>1725903</v>
      </c>
      <c r="I117" s="4">
        <f t="shared" si="55"/>
        <v>509.88593166000015</v>
      </c>
      <c r="M117" s="13">
        <v>1</v>
      </c>
      <c r="N117" s="14">
        <f t="shared" ref="N117:S117" si="105">C105</f>
        <v>1.02</v>
      </c>
      <c r="O117" s="14">
        <f t="shared" si="105"/>
        <v>70</v>
      </c>
      <c r="P117" s="14">
        <f t="shared" si="105"/>
        <v>244</v>
      </c>
      <c r="Q117" s="14">
        <f t="shared" si="105"/>
        <v>40249</v>
      </c>
      <c r="R117" s="14">
        <f t="shared" si="105"/>
        <v>9.4000000000000004E-3</v>
      </c>
      <c r="S117" s="14">
        <f t="shared" si="105"/>
        <v>1211653</v>
      </c>
      <c r="EP117" s="13">
        <f t="shared" si="69"/>
        <v>436</v>
      </c>
    </row>
    <row r="118" spans="2:146">
      <c r="B118" s="4">
        <v>594</v>
      </c>
      <c r="C118" s="4">
        <v>1.1299999999999999</v>
      </c>
      <c r="D118" s="4">
        <v>53</v>
      </c>
      <c r="E118" s="4">
        <v>233</v>
      </c>
      <c r="F118" s="4">
        <v>50409</v>
      </c>
      <c r="G118" s="4">
        <v>1.14E-2</v>
      </c>
      <c r="H118" s="4">
        <v>1745225</v>
      </c>
      <c r="I118" s="4">
        <f t="shared" si="55"/>
        <v>574.3590946600001</v>
      </c>
      <c r="M118" s="13">
        <v>1</v>
      </c>
      <c r="N118" s="14">
        <f t="shared" ref="N118:S118" si="106">C106</f>
        <v>1.04</v>
      </c>
      <c r="O118" s="14">
        <f t="shared" si="106"/>
        <v>72</v>
      </c>
      <c r="P118" s="14">
        <f t="shared" si="106"/>
        <v>236</v>
      </c>
      <c r="Q118" s="14">
        <f t="shared" si="106"/>
        <v>46370</v>
      </c>
      <c r="R118" s="14">
        <f t="shared" si="106"/>
        <v>9.7999999999999997E-3</v>
      </c>
      <c r="S118" s="14">
        <f t="shared" si="106"/>
        <v>1231250</v>
      </c>
      <c r="EP118" s="13">
        <f t="shared" si="69"/>
        <v>450</v>
      </c>
    </row>
    <row r="119" spans="2:146">
      <c r="B119" s="4">
        <v>572</v>
      </c>
      <c r="C119" s="4">
        <v>1.1399999999999999</v>
      </c>
      <c r="D119" s="4">
        <v>53</v>
      </c>
      <c r="E119" s="4">
        <v>233</v>
      </c>
      <c r="F119" s="4">
        <v>53947</v>
      </c>
      <c r="G119" s="4">
        <v>1.15E-2</v>
      </c>
      <c r="H119" s="4">
        <v>1788676</v>
      </c>
      <c r="I119" s="4">
        <f t="shared" si="55"/>
        <v>612.35996884999997</v>
      </c>
      <c r="M119" s="13">
        <v>1</v>
      </c>
      <c r="N119" s="14">
        <f t="shared" ref="N119:S119" si="107">C107</f>
        <v>1.05</v>
      </c>
      <c r="O119" s="14">
        <f t="shared" si="107"/>
        <v>71</v>
      </c>
      <c r="P119" s="14">
        <f t="shared" si="107"/>
        <v>223</v>
      </c>
      <c r="Q119" s="14">
        <f t="shared" si="107"/>
        <v>30962</v>
      </c>
      <c r="R119" s="14">
        <f t="shared" si="107"/>
        <v>0.01</v>
      </c>
      <c r="S119" s="14">
        <f t="shared" si="107"/>
        <v>1287442</v>
      </c>
      <c r="EP119" s="13">
        <f t="shared" si="69"/>
        <v>469</v>
      </c>
    </row>
    <row r="120" spans="2:146">
      <c r="B120" s="4">
        <v>598</v>
      </c>
      <c r="C120" s="4">
        <v>1.1599999999999999</v>
      </c>
      <c r="D120" s="4">
        <v>52</v>
      </c>
      <c r="E120" s="4">
        <v>246</v>
      </c>
      <c r="F120" s="4">
        <v>59275</v>
      </c>
      <c r="G120" s="4">
        <v>1.11E-2</v>
      </c>
      <c r="H120" s="4">
        <v>1845836</v>
      </c>
      <c r="I120" s="4">
        <f t="shared" si="55"/>
        <v>615.87145009000005</v>
      </c>
      <c r="M120" s="13">
        <v>1</v>
      </c>
      <c r="N120" s="14">
        <f t="shared" ref="N120:S120" si="108">C108</f>
        <v>1.06</v>
      </c>
      <c r="O120" s="14">
        <f t="shared" si="108"/>
        <v>76</v>
      </c>
      <c r="P120" s="14">
        <f t="shared" si="108"/>
        <v>245</v>
      </c>
      <c r="Q120" s="14">
        <f t="shared" si="108"/>
        <v>15707</v>
      </c>
      <c r="R120" s="14">
        <f t="shared" si="108"/>
        <v>1.01E-2</v>
      </c>
      <c r="S120" s="14">
        <f t="shared" si="108"/>
        <v>1411270</v>
      </c>
      <c r="EP120" s="13">
        <f t="shared" si="69"/>
        <v>334</v>
      </c>
    </row>
    <row r="121" spans="2:146">
      <c r="B121" s="4">
        <v>609</v>
      </c>
      <c r="C121" s="4">
        <v>1.1599999999999999</v>
      </c>
      <c r="D121" s="4">
        <v>49</v>
      </c>
      <c r="E121" s="4">
        <v>244</v>
      </c>
      <c r="F121" s="4">
        <v>43319</v>
      </c>
      <c r="G121" s="4">
        <v>1.0999999999999999E-2</v>
      </c>
      <c r="H121" s="4">
        <v>1910212</v>
      </c>
      <c r="I121" s="4">
        <f t="shared" si="55"/>
        <v>482.09463889999989</v>
      </c>
      <c r="M121" s="13">
        <v>1</v>
      </c>
      <c r="N121" s="14">
        <f t="shared" ref="N121:S121" si="109">C109</f>
        <v>1.07</v>
      </c>
      <c r="O121" s="14">
        <f t="shared" si="109"/>
        <v>72</v>
      </c>
      <c r="P121" s="14">
        <f t="shared" si="109"/>
        <v>246</v>
      </c>
      <c r="Q121" s="14">
        <f t="shared" si="109"/>
        <v>43293</v>
      </c>
      <c r="R121" s="14">
        <f t="shared" si="109"/>
        <v>1.01E-2</v>
      </c>
      <c r="S121" s="14">
        <f t="shared" si="109"/>
        <v>1469159</v>
      </c>
      <c r="EP121" s="13">
        <f t="shared" si="69"/>
        <v>199</v>
      </c>
    </row>
    <row r="122" spans="2:146">
      <c r="B122" s="4">
        <v>445</v>
      </c>
      <c r="C122" s="4">
        <v>1.1599999999999999</v>
      </c>
      <c r="D122" s="4">
        <v>54</v>
      </c>
      <c r="E122" s="4">
        <v>271</v>
      </c>
      <c r="F122" s="4">
        <v>20369</v>
      </c>
      <c r="G122" s="4">
        <v>1.0999999999999999E-2</v>
      </c>
      <c r="H122" s="4">
        <v>1949349</v>
      </c>
      <c r="I122" s="4">
        <f t="shared" si="55"/>
        <v>292.40423889999994</v>
      </c>
      <c r="M122" s="13">
        <v>1</v>
      </c>
      <c r="N122" s="14">
        <f t="shared" ref="N122:S122" si="110">C110</f>
        <v>1.08</v>
      </c>
      <c r="O122" s="14">
        <f t="shared" si="110"/>
        <v>66</v>
      </c>
      <c r="P122" s="14">
        <f t="shared" si="110"/>
        <v>233</v>
      </c>
      <c r="Q122" s="14">
        <f t="shared" si="110"/>
        <v>41470</v>
      </c>
      <c r="R122" s="14">
        <f t="shared" si="110"/>
        <v>1.0500000000000001E-2</v>
      </c>
      <c r="S122" s="14">
        <f t="shared" si="110"/>
        <v>1489854</v>
      </c>
      <c r="EP122" s="13">
        <f t="shared" si="69"/>
        <v>386</v>
      </c>
    </row>
    <row r="123" spans="2:146">
      <c r="B123" s="4">
        <v>435</v>
      </c>
      <c r="C123" s="4">
        <v>1.1599999999999999</v>
      </c>
      <c r="D123" s="4">
        <v>52</v>
      </c>
      <c r="E123" s="4">
        <v>283</v>
      </c>
      <c r="F123" s="4">
        <v>49817</v>
      </c>
      <c r="G123" s="4">
        <v>1.1299999999999999E-2</v>
      </c>
      <c r="H123" s="4">
        <v>2054154</v>
      </c>
      <c r="I123" s="4">
        <f t="shared" si="55"/>
        <v>511.02667246999994</v>
      </c>
      <c r="M123" s="13">
        <v>1</v>
      </c>
      <c r="N123" s="14">
        <f t="shared" ref="N123:S123" si="111">C111</f>
        <v>1.0900000000000001</v>
      </c>
      <c r="O123" s="14">
        <f t="shared" si="111"/>
        <v>56</v>
      </c>
      <c r="P123" s="14">
        <f t="shared" si="111"/>
        <v>211</v>
      </c>
      <c r="Q123" s="14">
        <f t="shared" si="111"/>
        <v>44399</v>
      </c>
      <c r="R123" s="14">
        <f t="shared" si="111"/>
        <v>1.06E-2</v>
      </c>
      <c r="S123" s="14">
        <f t="shared" si="111"/>
        <v>1513415</v>
      </c>
      <c r="EP123" s="13">
        <f t="shared" si="69"/>
        <v>511</v>
      </c>
    </row>
    <row r="124" spans="2:146">
      <c r="M124" s="13">
        <v>1</v>
      </c>
      <c r="N124" s="14">
        <f t="shared" ref="N124:S124" si="112">C112</f>
        <v>1.1000000000000001</v>
      </c>
      <c r="O124" s="14">
        <f t="shared" si="112"/>
        <v>58</v>
      </c>
      <c r="P124" s="14">
        <f t="shared" si="112"/>
        <v>208</v>
      </c>
      <c r="Q124" s="14">
        <f t="shared" si="112"/>
        <v>44577</v>
      </c>
      <c r="R124" s="14">
        <f t="shared" si="112"/>
        <v>1.0500000000000001E-2</v>
      </c>
      <c r="S124" s="14">
        <f t="shared" si="112"/>
        <v>1539964</v>
      </c>
      <c r="EP124" s="13">
        <f t="shared" si="69"/>
        <v>451</v>
      </c>
    </row>
    <row r="125" spans="2:146">
      <c r="M125" s="13">
        <v>1</v>
      </c>
      <c r="N125" s="14">
        <f t="shared" ref="N125:S125" si="113">C113</f>
        <v>1.1200000000000001</v>
      </c>
      <c r="O125" s="14">
        <f t="shared" si="113"/>
        <v>55</v>
      </c>
      <c r="P125" s="14">
        <f t="shared" si="113"/>
        <v>207</v>
      </c>
      <c r="Q125" s="14">
        <f t="shared" si="113"/>
        <v>45378</v>
      </c>
      <c r="R125" s="14">
        <f t="shared" si="113"/>
        <v>1.09E-2</v>
      </c>
      <c r="S125" s="14">
        <f t="shared" si="113"/>
        <v>1568208</v>
      </c>
      <c r="EP125" s="13">
        <f t="shared" si="69"/>
        <v>559</v>
      </c>
    </row>
    <row r="126" spans="2:146">
      <c r="M126" s="13">
        <v>1</v>
      </c>
      <c r="N126" s="14">
        <f t="shared" ref="N126:S126" si="114">C114</f>
        <v>1.1200000000000001</v>
      </c>
      <c r="O126" s="14">
        <f t="shared" si="114"/>
        <v>59</v>
      </c>
      <c r="P126" s="14">
        <f t="shared" si="114"/>
        <v>210</v>
      </c>
      <c r="Q126" s="14">
        <f t="shared" si="114"/>
        <v>33560</v>
      </c>
      <c r="R126" s="14">
        <f t="shared" si="114"/>
        <v>1.0999999999999999E-2</v>
      </c>
      <c r="S126" s="14">
        <f t="shared" si="114"/>
        <v>1604322</v>
      </c>
      <c r="EP126" s="13">
        <f t="shared" si="69"/>
        <v>523</v>
      </c>
    </row>
    <row r="127" spans="2:146">
      <c r="M127" s="13">
        <v>1</v>
      </c>
      <c r="N127" s="14">
        <f t="shared" ref="N127:S127" si="115">C115</f>
        <v>1.1200000000000001</v>
      </c>
      <c r="O127" s="14">
        <f t="shared" si="115"/>
        <v>58</v>
      </c>
      <c r="P127" s="14">
        <f t="shared" si="115"/>
        <v>220</v>
      </c>
      <c r="Q127" s="14">
        <f t="shared" si="115"/>
        <v>16152</v>
      </c>
      <c r="R127" s="14">
        <f t="shared" si="115"/>
        <v>1.1299999999999999E-2</v>
      </c>
      <c r="S127" s="14">
        <f t="shared" si="115"/>
        <v>1638859</v>
      </c>
      <c r="EP127" s="13">
        <f t="shared" si="69"/>
        <v>413</v>
      </c>
    </row>
    <row r="128" spans="2:146">
      <c r="M128" s="13">
        <v>1</v>
      </c>
      <c r="N128" s="14">
        <f t="shared" ref="N128:S128" si="116">C116</f>
        <v>1.1100000000000001</v>
      </c>
      <c r="O128" s="14">
        <f t="shared" si="116"/>
        <v>57</v>
      </c>
      <c r="P128" s="14">
        <f t="shared" si="116"/>
        <v>239</v>
      </c>
      <c r="Q128" s="14">
        <f t="shared" si="116"/>
        <v>42680</v>
      </c>
      <c r="R128" s="14">
        <f t="shared" si="116"/>
        <v>1.15E-2</v>
      </c>
      <c r="S128" s="14">
        <f t="shared" si="116"/>
        <v>1701479</v>
      </c>
      <c r="EP128" s="13">
        <f t="shared" si="69"/>
        <v>241</v>
      </c>
    </row>
    <row r="129" spans="3:146">
      <c r="M129" s="13">
        <v>1</v>
      </c>
      <c r="N129" s="14">
        <f t="shared" ref="N129:S129" si="117">C117</f>
        <v>1.1200000000000001</v>
      </c>
      <c r="O129" s="14">
        <f t="shared" si="117"/>
        <v>52</v>
      </c>
      <c r="P129" s="14">
        <f t="shared" si="117"/>
        <v>237</v>
      </c>
      <c r="Q129" s="14">
        <f t="shared" si="117"/>
        <v>43590</v>
      </c>
      <c r="R129" s="14">
        <f t="shared" si="117"/>
        <v>1.14E-2</v>
      </c>
      <c r="S129" s="14">
        <f t="shared" si="117"/>
        <v>1725903</v>
      </c>
      <c r="EP129" s="13">
        <f t="shared" si="69"/>
        <v>375</v>
      </c>
    </row>
    <row r="130" spans="3:146">
      <c r="M130" s="13">
        <v>1</v>
      </c>
      <c r="N130" s="14">
        <f t="shared" ref="N130:S130" si="118">C118</f>
        <v>1.1299999999999999</v>
      </c>
      <c r="O130" s="14">
        <f t="shared" si="118"/>
        <v>53</v>
      </c>
      <c r="P130" s="14">
        <f t="shared" si="118"/>
        <v>233</v>
      </c>
      <c r="Q130" s="14">
        <f t="shared" si="118"/>
        <v>50409</v>
      </c>
      <c r="R130" s="14">
        <f t="shared" si="118"/>
        <v>1.14E-2</v>
      </c>
      <c r="S130" s="14">
        <f t="shared" si="118"/>
        <v>1745225</v>
      </c>
      <c r="EP130" s="13">
        <f t="shared" si="69"/>
        <v>594</v>
      </c>
    </row>
    <row r="131" spans="3:146">
      <c r="M131" s="13">
        <v>1</v>
      </c>
      <c r="N131" s="14">
        <f t="shared" ref="N131:S131" si="119">C119</f>
        <v>1.1399999999999999</v>
      </c>
      <c r="O131" s="14">
        <f t="shared" si="119"/>
        <v>53</v>
      </c>
      <c r="P131" s="14">
        <f t="shared" si="119"/>
        <v>233</v>
      </c>
      <c r="Q131" s="14">
        <f t="shared" si="119"/>
        <v>53947</v>
      </c>
      <c r="R131" s="14">
        <f t="shared" si="119"/>
        <v>1.15E-2</v>
      </c>
      <c r="S131" s="14">
        <f t="shared" si="119"/>
        <v>1788676</v>
      </c>
      <c r="EP131" s="13">
        <f t="shared" si="69"/>
        <v>572</v>
      </c>
    </row>
    <row r="132" spans="3:146">
      <c r="M132" s="13">
        <v>1</v>
      </c>
      <c r="N132" s="14">
        <f t="shared" ref="N132:S132" si="120">C120</f>
        <v>1.1599999999999999</v>
      </c>
      <c r="O132" s="14">
        <f t="shared" si="120"/>
        <v>52</v>
      </c>
      <c r="P132" s="14">
        <f t="shared" si="120"/>
        <v>246</v>
      </c>
      <c r="Q132" s="14">
        <f t="shared" si="120"/>
        <v>59275</v>
      </c>
      <c r="R132" s="14">
        <f t="shared" si="120"/>
        <v>1.11E-2</v>
      </c>
      <c r="S132" s="14">
        <f t="shared" si="120"/>
        <v>1845836</v>
      </c>
      <c r="EP132" s="13">
        <f t="shared" si="69"/>
        <v>598</v>
      </c>
    </row>
    <row r="133" spans="3:146">
      <c r="M133" s="13">
        <v>1</v>
      </c>
      <c r="N133" s="14">
        <f t="shared" ref="N133:S133" si="121">C121</f>
        <v>1.1599999999999999</v>
      </c>
      <c r="O133" s="14">
        <f t="shared" si="121"/>
        <v>49</v>
      </c>
      <c r="P133" s="14">
        <f t="shared" si="121"/>
        <v>244</v>
      </c>
      <c r="Q133" s="14">
        <f t="shared" si="121"/>
        <v>43319</v>
      </c>
      <c r="R133" s="14">
        <f t="shared" si="121"/>
        <v>1.0999999999999999E-2</v>
      </c>
      <c r="S133" s="14">
        <f t="shared" si="121"/>
        <v>1910212</v>
      </c>
      <c r="EP133" s="13">
        <f t="shared" si="69"/>
        <v>609</v>
      </c>
    </row>
    <row r="134" spans="3:146">
      <c r="M134" s="13">
        <v>1</v>
      </c>
      <c r="N134" s="14">
        <f t="shared" ref="N134:S134" si="122">C122</f>
        <v>1.1599999999999999</v>
      </c>
      <c r="O134" s="14">
        <f t="shared" si="122"/>
        <v>54</v>
      </c>
      <c r="P134" s="14">
        <f t="shared" si="122"/>
        <v>271</v>
      </c>
      <c r="Q134" s="14">
        <f t="shared" si="122"/>
        <v>20369</v>
      </c>
      <c r="R134" s="14">
        <f t="shared" si="122"/>
        <v>1.0999999999999999E-2</v>
      </c>
      <c r="S134" s="14">
        <f t="shared" si="122"/>
        <v>1949349</v>
      </c>
      <c r="EP134" s="13">
        <f t="shared" si="69"/>
        <v>445</v>
      </c>
    </row>
    <row r="135" spans="3:146">
      <c r="M135" s="13">
        <v>1</v>
      </c>
      <c r="N135" s="14">
        <f t="shared" ref="N135:S135" si="123">C123</f>
        <v>1.1599999999999999</v>
      </c>
      <c r="O135" s="14">
        <f t="shared" si="123"/>
        <v>52</v>
      </c>
      <c r="P135" s="14">
        <f t="shared" si="123"/>
        <v>283</v>
      </c>
      <c r="Q135" s="14">
        <f t="shared" si="123"/>
        <v>49817</v>
      </c>
      <c r="R135" s="14">
        <f t="shared" si="123"/>
        <v>1.1299999999999999E-2</v>
      </c>
      <c r="S135" s="14">
        <f t="shared" si="123"/>
        <v>2054154</v>
      </c>
      <c r="EP135" s="13">
        <f t="shared" si="69"/>
        <v>435</v>
      </c>
    </row>
    <row r="136" spans="3:146">
      <c r="EP136" s="13"/>
    </row>
    <row r="140" spans="3:146">
      <c r="C140">
        <f t="array" ref="C140:I146">ROUND(MMULT(W72:EL78,M16:S135),4)</f>
        <v>120</v>
      </c>
      <c r="D140">
        <v>99.89</v>
      </c>
      <c r="E140">
        <v>33704</v>
      </c>
      <c r="F140">
        <v>183826</v>
      </c>
      <c r="G140">
        <v>4503206</v>
      </c>
      <c r="H140">
        <v>4.2930000000000001</v>
      </c>
      <c r="I140">
        <v>82225828</v>
      </c>
      <c r="N140">
        <f t="array" ref="N140:T146">MINVERSE(C140:I146)</f>
        <v>1.7104622040486324</v>
      </c>
      <c r="O140">
        <v>-1.5531790984940668</v>
      </c>
      <c r="P140">
        <v>-3.6559161837852534E-3</v>
      </c>
      <c r="Q140">
        <v>3.9649040815331962E-4</v>
      </c>
      <c r="R140">
        <v>-7.5655634239036213E-7</v>
      </c>
      <c r="S140">
        <v>-0.10965406696614433</v>
      </c>
      <c r="T140">
        <v>6.2061070661622337E-8</v>
      </c>
      <c r="Y140">
        <f t="array" ref="Y140:Y146">MMULT(W72:EL78,EP16:EP135)</f>
        <v>128577</v>
      </c>
      <c r="AG140">
        <f t="array" ref="AG140:AG146">MMULT(N140:T146,Y140:Y146)</f>
        <v>-987.4208364797455</v>
      </c>
    </row>
    <row r="141" spans="3:146">
      <c r="C141">
        <v>99.89</v>
      </c>
      <c r="D141">
        <v>88.893900000000002</v>
      </c>
      <c r="E141">
        <v>22146.89</v>
      </c>
      <c r="F141">
        <v>117452.48</v>
      </c>
      <c r="G141">
        <v>3909655.52</v>
      </c>
      <c r="H141">
        <v>2.8748999999999998</v>
      </c>
      <c r="I141">
        <v>78657825.980000004</v>
      </c>
      <c r="J141" s="13"/>
      <c r="N141">
        <v>-1.5531790984940648</v>
      </c>
      <c r="O141">
        <v>1.6552006542783573</v>
      </c>
      <c r="P141">
        <v>2.6314796153226409E-3</v>
      </c>
      <c r="Q141">
        <v>-1.8725504221276103E-4</v>
      </c>
      <c r="R141">
        <v>-9.22655072401235E-7</v>
      </c>
      <c r="S141">
        <v>-3.3615005000880758</v>
      </c>
      <c r="T141">
        <v>-1.7804281152100701E-7</v>
      </c>
      <c r="Y141">
        <v>90806.080000000016</v>
      </c>
      <c r="AG141">
        <v>488.50632607548869</v>
      </c>
    </row>
    <row r="142" spans="3:146">
      <c r="C142">
        <v>33704</v>
      </c>
      <c r="D142">
        <v>22146.89</v>
      </c>
      <c r="E142">
        <v>18548310</v>
      </c>
      <c r="F142">
        <v>113478976</v>
      </c>
      <c r="G142">
        <v>1149940618</v>
      </c>
      <c r="H142">
        <v>2599.5675999999999</v>
      </c>
      <c r="I142">
        <v>11624964557</v>
      </c>
      <c r="J142" s="13"/>
      <c r="N142">
        <v>-3.6559161837852812E-3</v>
      </c>
      <c r="O142">
        <v>2.6314796153226704E-3</v>
      </c>
      <c r="P142">
        <v>1.3447872705781517E-5</v>
      </c>
      <c r="Q142">
        <v>-2.3006579814690392E-6</v>
      </c>
      <c r="R142">
        <v>3.8740796195511361E-9</v>
      </c>
      <c r="S142">
        <v>2.7610893426162079E-2</v>
      </c>
      <c r="T142">
        <v>1.1609188830260626E-10</v>
      </c>
      <c r="Y142">
        <v>75527663</v>
      </c>
      <c r="AG142">
        <v>3.3568492424434835</v>
      </c>
    </row>
    <row r="143" spans="3:146">
      <c r="C143">
        <v>183826</v>
      </c>
      <c r="D143">
        <v>117452.48</v>
      </c>
      <c r="E143">
        <v>113478976</v>
      </c>
      <c r="F143">
        <v>721892924</v>
      </c>
      <c r="G143">
        <v>6411756165</v>
      </c>
      <c r="H143">
        <v>16901.123500000002</v>
      </c>
      <c r="I143">
        <v>53937973737</v>
      </c>
      <c r="J143" s="13"/>
      <c r="N143">
        <v>3.9649040815332526E-4</v>
      </c>
      <c r="O143">
        <v>-1.8725504221276721E-4</v>
      </c>
      <c r="P143">
        <v>-2.300657981469043E-6</v>
      </c>
      <c r="Q143">
        <v>5.1062060383920892E-7</v>
      </c>
      <c r="R143">
        <v>-8.4314266142209884E-10</v>
      </c>
      <c r="S143">
        <v>-8.8650677727217953E-3</v>
      </c>
      <c r="T143">
        <v>-4.0660317651199301E-11</v>
      </c>
      <c r="Y143">
        <v>500585311</v>
      </c>
      <c r="AA143" s="23"/>
      <c r="AG143">
        <v>-1.2721510361882267</v>
      </c>
    </row>
    <row r="144" spans="3:146">
      <c r="C144">
        <v>4503206</v>
      </c>
      <c r="D144">
        <v>3909655.52</v>
      </c>
      <c r="E144">
        <v>1149940618</v>
      </c>
      <c r="F144">
        <v>6411756165</v>
      </c>
      <c r="G144">
        <v>207752370780</v>
      </c>
      <c r="H144">
        <v>154729.97150000001</v>
      </c>
      <c r="I144">
        <v>3317078082135</v>
      </c>
      <c r="J144" s="13"/>
      <c r="N144">
        <v>-7.5655634239036171E-7</v>
      </c>
      <c r="O144">
        <v>-9.2265507240123363E-7</v>
      </c>
      <c r="P144">
        <v>3.8740796195511262E-9</v>
      </c>
      <c r="Q144">
        <v>-8.4314266142209801E-10</v>
      </c>
      <c r="R144">
        <v>3.1587176050139956E-11</v>
      </c>
      <c r="S144">
        <v>1.2156472595932694E-5</v>
      </c>
      <c r="T144">
        <v>1.5735982718039006E-13</v>
      </c>
      <c r="Y144">
        <v>5016683024</v>
      </c>
      <c r="AG144">
        <v>7.5170539749766976E-3</v>
      </c>
    </row>
    <row r="145" spans="1:137">
      <c r="C145">
        <v>4.2930000000000001</v>
      </c>
      <c r="D145">
        <v>2.8748999999999998</v>
      </c>
      <c r="E145">
        <v>2599.5675999999999</v>
      </c>
      <c r="F145">
        <v>16901.123500000002</v>
      </c>
      <c r="G145">
        <v>154729.97150000001</v>
      </c>
      <c r="H145">
        <v>0.40899999999999997</v>
      </c>
      <c r="I145">
        <v>1398601.5220000001</v>
      </c>
      <c r="J145" s="13"/>
      <c r="N145">
        <v>-0.10965406696620228</v>
      </c>
      <c r="O145">
        <v>-3.3615005000880043</v>
      </c>
      <c r="P145">
        <v>2.7610893426162152E-2</v>
      </c>
      <c r="Q145">
        <v>-8.8650677727218023E-3</v>
      </c>
      <c r="R145">
        <v>1.2156472595932676E-5</v>
      </c>
      <c r="S145">
        <v>209.57514003671596</v>
      </c>
      <c r="T145">
        <v>1.1373797638409086E-6</v>
      </c>
      <c r="Y145">
        <v>12514.191900000014</v>
      </c>
      <c r="AG145">
        <v>65808.11190271785</v>
      </c>
    </row>
    <row r="146" spans="1:137">
      <c r="C146">
        <v>82225828</v>
      </c>
      <c r="D146">
        <v>78657825.980000004</v>
      </c>
      <c r="E146">
        <v>11624964557</v>
      </c>
      <c r="F146">
        <v>53937973737</v>
      </c>
      <c r="G146">
        <v>3317078082135</v>
      </c>
      <c r="H146">
        <v>1398601.5220000001</v>
      </c>
      <c r="I146">
        <v>85439162458898</v>
      </c>
      <c r="J146" s="13"/>
      <c r="N146">
        <v>6.2061070661622734E-8</v>
      </c>
      <c r="O146">
        <v>-1.7804281152100746E-7</v>
      </c>
      <c r="P146">
        <v>1.1609188830260783E-10</v>
      </c>
      <c r="Q146">
        <v>-4.0660317651199754E-11</v>
      </c>
      <c r="R146">
        <v>1.5735982718039109E-13</v>
      </c>
      <c r="S146">
        <v>1.1373797638409158E-6</v>
      </c>
      <c r="T146">
        <v>1.0103437898552161E-13</v>
      </c>
      <c r="Y146">
        <v>47336476826</v>
      </c>
      <c r="AG146">
        <v>3.1872297061130532E-5</v>
      </c>
    </row>
    <row r="152" spans="1:137" ht="20.25">
      <c r="B152" s="83" t="str">
        <f>"𝑦 ̂="&amp;ROUND(AG140,4)&amp;"+"&amp;ROUND(AG141,4)&amp;"X1"&amp;"+"&amp;ROUND(AG142,4)&amp;"X2"&amp;"+"&amp;ROUND(AG143,4)&amp;"X3"&amp;"+"&amp;ROUND(AG144,4)&amp;"X4"&amp;"+"&amp;ROUND(AG145,4)&amp;"X5"&amp;"+"&amp;ROUND(AG146,4)&amp;"X6"</f>
        <v>𝑦 ̂=-987,4208+488,5063X1+3,3568X2+-1,2722X3+0,0075X4+65808,1119X5+0X6</v>
      </c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</row>
    <row r="153" spans="1:137" ht="13.5" thickBot="1"/>
    <row r="154" spans="1:137" ht="18">
      <c r="A154" s="39" t="s">
        <v>81</v>
      </c>
      <c r="B154" s="41"/>
      <c r="C154" s="41"/>
      <c r="D154" s="41"/>
      <c r="E154" s="41"/>
      <c r="F154" s="42"/>
      <c r="N154" s="2" t="s">
        <v>10</v>
      </c>
      <c r="P154" s="55" t="s">
        <v>72</v>
      </c>
      <c r="Q154" s="52">
        <f t="array" ref="Q154:EF154">TRANSPOSE(N155:N274)</f>
        <v>5805</v>
      </c>
      <c r="R154" s="53">
        <v>5540</v>
      </c>
      <c r="S154" s="53">
        <v>9083</v>
      </c>
      <c r="T154" s="53">
        <v>7914</v>
      </c>
      <c r="U154" s="53">
        <v>6916</v>
      </c>
      <c r="V154" s="53">
        <v>6132</v>
      </c>
      <c r="W154" s="53">
        <v>3508</v>
      </c>
      <c r="X154" s="53">
        <v>2505</v>
      </c>
      <c r="Y154" s="53">
        <v>2583</v>
      </c>
      <c r="Z154" s="53">
        <v>4387</v>
      </c>
      <c r="AA154" s="53">
        <v>3480</v>
      </c>
      <c r="AB154" s="53">
        <v>2854</v>
      </c>
      <c r="AC154" s="53">
        <v>2856</v>
      </c>
      <c r="AD154" s="53">
        <v>1677</v>
      </c>
      <c r="AE154" s="53">
        <v>1303</v>
      </c>
      <c r="AF154" s="53">
        <v>1502</v>
      </c>
      <c r="AG154" s="53">
        <v>2324</v>
      </c>
      <c r="AH154" s="53">
        <v>1944</v>
      </c>
      <c r="AI154" s="53">
        <v>1940</v>
      </c>
      <c r="AJ154" s="53">
        <v>1570</v>
      </c>
      <c r="AK154" s="53">
        <v>1186</v>
      </c>
      <c r="AL154" s="53">
        <v>549</v>
      </c>
      <c r="AM154" s="53">
        <v>1032</v>
      </c>
      <c r="AN154" s="53">
        <v>1480</v>
      </c>
      <c r="AO154" s="53">
        <v>1160</v>
      </c>
      <c r="AP154" s="53">
        <v>1027</v>
      </c>
      <c r="AQ154" s="53">
        <v>1071</v>
      </c>
      <c r="AR154" s="53">
        <v>718</v>
      </c>
      <c r="AS154" s="53">
        <v>394</v>
      </c>
      <c r="AT154" s="53">
        <v>691</v>
      </c>
      <c r="AU154" s="53">
        <v>979</v>
      </c>
      <c r="AV154" s="53">
        <v>830</v>
      </c>
      <c r="AW154" s="53">
        <v>949</v>
      </c>
      <c r="AX154" s="53">
        <v>1007</v>
      </c>
      <c r="AY154" s="53">
        <v>682</v>
      </c>
      <c r="AZ154" s="53">
        <v>365</v>
      </c>
      <c r="BA154" s="53">
        <v>847</v>
      </c>
      <c r="BB154" s="53">
        <v>642</v>
      </c>
      <c r="BC154" s="53">
        <v>627</v>
      </c>
      <c r="BD154" s="53">
        <v>577</v>
      </c>
      <c r="BE154" s="53">
        <v>564</v>
      </c>
      <c r="BF154" s="53">
        <v>541</v>
      </c>
      <c r="BG154" s="53">
        <v>256</v>
      </c>
      <c r="BH154" s="53">
        <v>384</v>
      </c>
      <c r="BI154" s="53">
        <v>673</v>
      </c>
      <c r="BJ154" s="53">
        <v>485</v>
      </c>
      <c r="BK154" s="53">
        <v>568</v>
      </c>
      <c r="BL154" s="53">
        <v>457</v>
      </c>
      <c r="BM154" s="53">
        <v>450</v>
      </c>
      <c r="BN154" s="53">
        <v>248</v>
      </c>
      <c r="BO154" s="53">
        <v>434</v>
      </c>
      <c r="BP154" s="53">
        <v>575</v>
      </c>
      <c r="BQ154" s="53">
        <v>423</v>
      </c>
      <c r="BR154" s="53">
        <v>488</v>
      </c>
      <c r="BS154" s="53">
        <v>344</v>
      </c>
      <c r="BT154" s="53">
        <v>365</v>
      </c>
      <c r="BU154" s="53">
        <v>309</v>
      </c>
      <c r="BV154" s="53">
        <v>388</v>
      </c>
      <c r="BW154" s="53">
        <v>618</v>
      </c>
      <c r="BX154" s="53">
        <v>592</v>
      </c>
      <c r="BY154" s="53">
        <v>548</v>
      </c>
      <c r="BZ154" s="53">
        <v>280</v>
      </c>
      <c r="CA154" s="53">
        <v>193</v>
      </c>
      <c r="CB154" s="53">
        <v>159</v>
      </c>
      <c r="CC154" s="53">
        <v>874</v>
      </c>
      <c r="CD154" s="53">
        <v>663</v>
      </c>
      <c r="CE154" s="53">
        <v>602</v>
      </c>
      <c r="CF154" s="53">
        <v>694</v>
      </c>
      <c r="CG154" s="53">
        <v>601</v>
      </c>
      <c r="CH154" s="53">
        <v>566</v>
      </c>
      <c r="CI154" s="53">
        <v>271</v>
      </c>
      <c r="CJ154" s="53">
        <v>408</v>
      </c>
      <c r="CK154" s="53">
        <v>684</v>
      </c>
      <c r="CL154" s="53">
        <v>501</v>
      </c>
      <c r="CM154" s="53">
        <v>553</v>
      </c>
      <c r="CN154" s="53">
        <v>649</v>
      </c>
      <c r="CO154" s="53">
        <v>441</v>
      </c>
      <c r="CP154" s="53">
        <v>220</v>
      </c>
      <c r="CQ154" s="53">
        <v>424</v>
      </c>
      <c r="CR154" s="53">
        <v>610</v>
      </c>
      <c r="CS154" s="53">
        <v>636</v>
      </c>
      <c r="CT154" s="53">
        <v>506</v>
      </c>
      <c r="CU154" s="53">
        <v>567</v>
      </c>
      <c r="CV154" s="53">
        <v>478</v>
      </c>
      <c r="CW154" s="53">
        <v>196</v>
      </c>
      <c r="CX154" s="53">
        <v>353</v>
      </c>
      <c r="CY154" s="53">
        <v>572</v>
      </c>
      <c r="CZ154" s="53">
        <v>470</v>
      </c>
      <c r="DA154" s="53">
        <v>460</v>
      </c>
      <c r="DB154" s="53">
        <v>454</v>
      </c>
      <c r="DC154" s="53">
        <v>330</v>
      </c>
      <c r="DD154" s="53">
        <v>180</v>
      </c>
      <c r="DE154" s="53">
        <v>258</v>
      </c>
      <c r="DF154" s="53">
        <v>387</v>
      </c>
      <c r="DG154" s="53">
        <v>373</v>
      </c>
      <c r="DH154" s="53">
        <v>377</v>
      </c>
      <c r="DI154" s="53">
        <v>406</v>
      </c>
      <c r="DJ154" s="53">
        <v>324</v>
      </c>
      <c r="DK154" s="53">
        <v>158</v>
      </c>
      <c r="DL154" s="53">
        <v>268</v>
      </c>
      <c r="DM154" s="53">
        <v>485</v>
      </c>
      <c r="DN154" s="53">
        <v>436</v>
      </c>
      <c r="DO154" s="53">
        <v>450</v>
      </c>
      <c r="DP154" s="53">
        <v>469</v>
      </c>
      <c r="DQ154" s="53">
        <v>334</v>
      </c>
      <c r="DR154" s="53">
        <v>199</v>
      </c>
      <c r="DS154" s="53">
        <v>386</v>
      </c>
      <c r="DT154" s="53">
        <v>511</v>
      </c>
      <c r="DU154" s="53">
        <v>451</v>
      </c>
      <c r="DV154" s="53">
        <v>559</v>
      </c>
      <c r="DW154" s="53">
        <v>523</v>
      </c>
      <c r="DX154" s="53">
        <v>413</v>
      </c>
      <c r="DY154" s="53">
        <v>241</v>
      </c>
      <c r="DZ154" s="53">
        <v>375</v>
      </c>
      <c r="EA154" s="53">
        <v>594</v>
      </c>
      <c r="EB154" s="53">
        <v>572</v>
      </c>
      <c r="EC154" s="53">
        <v>598</v>
      </c>
      <c r="ED154" s="53">
        <v>609</v>
      </c>
      <c r="EE154" s="53">
        <v>445</v>
      </c>
      <c r="EF154" s="54">
        <v>435</v>
      </c>
      <c r="EG154" s="51"/>
    </row>
    <row r="155" spans="1:137">
      <c r="A155" s="43"/>
      <c r="B155" s="14"/>
      <c r="C155" s="14"/>
      <c r="D155" s="14">
        <f>Q157-(T157^2*Q160)</f>
        <v>285780855.92500001</v>
      </c>
      <c r="E155" s="14"/>
      <c r="F155" s="45"/>
      <c r="N155" s="4">
        <f>B4</f>
        <v>5805</v>
      </c>
    </row>
    <row r="156" spans="1:137">
      <c r="A156" s="43"/>
      <c r="B156" s="14"/>
      <c r="C156" s="14"/>
      <c r="D156" s="14"/>
      <c r="E156" s="14"/>
      <c r="F156" s="45"/>
      <c r="N156" s="4">
        <f t="shared" ref="N156:N219" si="124">B5</f>
        <v>5540</v>
      </c>
    </row>
    <row r="157" spans="1:137" ht="18">
      <c r="A157" s="43"/>
      <c r="B157" s="14"/>
      <c r="C157" s="14"/>
      <c r="D157" s="14">
        <f>Q164-(Q160*T157^2)</f>
        <v>259102291.04015094</v>
      </c>
      <c r="E157" s="14"/>
      <c r="F157" s="45"/>
      <c r="N157" s="4">
        <f t="shared" si="124"/>
        <v>9083</v>
      </c>
      <c r="P157" s="23" t="s">
        <v>73</v>
      </c>
      <c r="Q157" s="17">
        <f>MMULT(Q154:EF154,N155:N274)</f>
        <v>423547897</v>
      </c>
      <c r="R157" s="17"/>
      <c r="S157" s="17" t="s">
        <v>74</v>
      </c>
      <c r="T157" s="17">
        <f>AVERAGE(N155:N274)</f>
        <v>1071.4749999999999</v>
      </c>
    </row>
    <row r="158" spans="1:137">
      <c r="A158" s="43"/>
      <c r="B158" s="14"/>
      <c r="C158" s="14"/>
      <c r="D158" s="14"/>
      <c r="E158" s="14"/>
      <c r="F158" s="45"/>
      <c r="N158" s="4">
        <f t="shared" si="124"/>
        <v>7914</v>
      </c>
    </row>
    <row r="159" spans="1:137">
      <c r="A159" s="43"/>
      <c r="B159" s="14"/>
      <c r="C159" s="14"/>
      <c r="D159" s="14">
        <f>Q157-Q164</f>
        <v>26678564.884849072</v>
      </c>
      <c r="E159" s="14"/>
      <c r="F159" s="45"/>
      <c r="N159" s="4">
        <f t="shared" si="124"/>
        <v>6916</v>
      </c>
    </row>
    <row r="160" spans="1:137">
      <c r="A160" s="43"/>
      <c r="B160" s="14"/>
      <c r="C160" s="14"/>
      <c r="D160" s="14"/>
      <c r="E160" s="14"/>
      <c r="F160" s="45"/>
      <c r="N160" s="4">
        <f t="shared" si="124"/>
        <v>6132</v>
      </c>
      <c r="P160" s="23" t="s">
        <v>19</v>
      </c>
      <c r="Q160">
        <v>120</v>
      </c>
    </row>
    <row r="161" spans="1:23">
      <c r="A161" s="43"/>
      <c r="B161" s="14"/>
      <c r="C161" s="14"/>
      <c r="D161" s="14"/>
      <c r="E161" s="14"/>
      <c r="F161" s="45"/>
      <c r="N161" s="4">
        <f t="shared" si="124"/>
        <v>3508</v>
      </c>
    </row>
    <row r="162" spans="1:23">
      <c r="A162" s="43"/>
      <c r="B162" s="14"/>
      <c r="C162" s="14"/>
      <c r="D162" s="14">
        <f>D157/6</f>
        <v>43183715.173358493</v>
      </c>
      <c r="E162" s="14"/>
      <c r="F162" s="45"/>
      <c r="N162" s="4">
        <f t="shared" si="124"/>
        <v>2505</v>
      </c>
      <c r="Q162">
        <f t="array" ref="Q162:W162">TRANSPOSE(AG140:AG146)</f>
        <v>-987.4208364797455</v>
      </c>
      <c r="R162">
        <v>488.50632607548869</v>
      </c>
      <c r="S162">
        <v>3.3568492424434835</v>
      </c>
      <c r="T162">
        <v>-1.2721510361882267</v>
      </c>
      <c r="U162">
        <v>7.5170539749766976E-3</v>
      </c>
      <c r="V162">
        <v>65808.11190271785</v>
      </c>
      <c r="W162">
        <v>3.1872297061130532E-5</v>
      </c>
    </row>
    <row r="163" spans="1:23">
      <c r="A163" s="43"/>
      <c r="B163" s="14"/>
      <c r="C163" s="14"/>
      <c r="D163" s="14"/>
      <c r="E163" s="14"/>
      <c r="F163" s="45"/>
      <c r="N163" s="4">
        <f t="shared" si="124"/>
        <v>2583</v>
      </c>
    </row>
    <row r="164" spans="1:23">
      <c r="A164" s="43"/>
      <c r="B164" s="14"/>
      <c r="C164" s="14"/>
      <c r="D164" s="14"/>
      <c r="E164" s="14"/>
      <c r="F164" s="45"/>
      <c r="N164" s="4">
        <f t="shared" si="124"/>
        <v>4387</v>
      </c>
      <c r="Q164">
        <f>MMULT(Q162:W162,Y140:Y146)</f>
        <v>396869332.11515093</v>
      </c>
    </row>
    <row r="165" spans="1:23">
      <c r="A165" s="43"/>
      <c r="B165" s="14"/>
      <c r="C165" s="14"/>
      <c r="D165" s="14">
        <f>D159/(Q160-(B174+1))</f>
        <v>236093.49455618649</v>
      </c>
      <c r="E165" s="14"/>
      <c r="F165" s="45"/>
      <c r="N165" s="4">
        <f t="shared" si="124"/>
        <v>3480</v>
      </c>
    </row>
    <row r="166" spans="1:23">
      <c r="A166" s="43"/>
      <c r="B166" s="14"/>
      <c r="C166" s="14"/>
      <c r="D166" s="14"/>
      <c r="E166" s="14"/>
      <c r="F166" s="45"/>
      <c r="N166" s="4">
        <f t="shared" si="124"/>
        <v>2854</v>
      </c>
    </row>
    <row r="167" spans="1:23">
      <c r="A167" s="43"/>
      <c r="B167" s="14"/>
      <c r="C167" s="14"/>
      <c r="D167" s="14"/>
      <c r="E167" s="14"/>
      <c r="F167" s="45"/>
      <c r="N167" s="4">
        <f t="shared" si="124"/>
        <v>2856</v>
      </c>
    </row>
    <row r="168" spans="1:23">
      <c r="A168" s="43"/>
      <c r="B168" s="14"/>
      <c r="C168" s="14"/>
      <c r="D168" s="14">
        <f>D162/D165</f>
        <v>182.90938195707656</v>
      </c>
      <c r="E168" s="14"/>
      <c r="F168" s="45"/>
      <c r="N168" s="4">
        <f t="shared" si="124"/>
        <v>1677</v>
      </c>
    </row>
    <row r="169" spans="1:23">
      <c r="A169" s="43"/>
      <c r="B169" s="14"/>
      <c r="C169" s="14"/>
      <c r="D169" s="14"/>
      <c r="E169" s="14"/>
      <c r="F169" s="45"/>
      <c r="N169" s="4">
        <f t="shared" si="124"/>
        <v>1303</v>
      </c>
    </row>
    <row r="170" spans="1:23">
      <c r="A170" s="43"/>
      <c r="B170" s="14"/>
      <c r="C170" s="14"/>
      <c r="D170" s="14"/>
      <c r="E170" s="14"/>
      <c r="F170" s="45"/>
      <c r="N170" s="4">
        <f t="shared" si="124"/>
        <v>1502</v>
      </c>
    </row>
    <row r="171" spans="1:23">
      <c r="A171" s="43"/>
      <c r="B171" s="14"/>
      <c r="C171" s="14"/>
      <c r="D171" s="14"/>
      <c r="E171" s="14"/>
      <c r="F171" s="45"/>
      <c r="N171" s="4">
        <f t="shared" si="124"/>
        <v>2324</v>
      </c>
    </row>
    <row r="172" spans="1:23" ht="13.5" thickBot="1">
      <c r="A172" s="43" t="s">
        <v>44</v>
      </c>
      <c r="B172" s="14"/>
      <c r="C172" s="14"/>
      <c r="D172" s="14"/>
      <c r="E172" s="14"/>
      <c r="F172" s="45"/>
      <c r="N172" s="4">
        <f t="shared" si="124"/>
        <v>1944</v>
      </c>
    </row>
    <row r="173" spans="1:23">
      <c r="A173" s="56"/>
      <c r="B173" s="20" t="s">
        <v>48</v>
      </c>
      <c r="C173" s="20" t="s">
        <v>49</v>
      </c>
      <c r="D173" s="20" t="s">
        <v>50</v>
      </c>
      <c r="E173" s="20" t="s">
        <v>51</v>
      </c>
      <c r="F173" s="57"/>
      <c r="N173" s="4">
        <f t="shared" si="124"/>
        <v>1940</v>
      </c>
    </row>
    <row r="174" spans="1:23">
      <c r="A174" s="58" t="s">
        <v>45</v>
      </c>
      <c r="B174" s="18">
        <v>6</v>
      </c>
      <c r="C174" s="18">
        <f>D157</f>
        <v>259102291.04015094</v>
      </c>
      <c r="D174" s="18">
        <f>D162</f>
        <v>43183715.173358493</v>
      </c>
      <c r="E174" s="18">
        <f>D174/D175</f>
        <v>182.90938195707656</v>
      </c>
      <c r="F174" s="59"/>
      <c r="N174" s="4">
        <f t="shared" si="124"/>
        <v>1570</v>
      </c>
    </row>
    <row r="175" spans="1:23">
      <c r="A175" s="58" t="s">
        <v>46</v>
      </c>
      <c r="B175" s="18">
        <v>113</v>
      </c>
      <c r="C175" s="18">
        <f>D159</f>
        <v>26678564.884849072</v>
      </c>
      <c r="D175" s="18">
        <f>D165</f>
        <v>236093.49455618649</v>
      </c>
      <c r="E175" s="18"/>
      <c r="F175" s="59"/>
      <c r="N175" s="4">
        <f t="shared" si="124"/>
        <v>1186</v>
      </c>
    </row>
    <row r="176" spans="1:23" ht="13.5" thickBot="1">
      <c r="A176" s="60" t="s">
        <v>47</v>
      </c>
      <c r="B176" s="19">
        <v>119</v>
      </c>
      <c r="C176" s="19">
        <f>D155</f>
        <v>285780855.92500001</v>
      </c>
      <c r="D176" s="19"/>
      <c r="E176" s="19"/>
      <c r="F176" s="59"/>
      <c r="N176" s="4">
        <f t="shared" si="124"/>
        <v>549</v>
      </c>
    </row>
    <row r="177" spans="1:14" ht="13.5" thickBot="1">
      <c r="A177" s="47"/>
      <c r="B177" s="28"/>
      <c r="C177" s="28"/>
      <c r="D177" s="28"/>
      <c r="E177" s="28"/>
      <c r="F177" s="49"/>
      <c r="N177" s="4">
        <f t="shared" si="124"/>
        <v>1032</v>
      </c>
    </row>
    <row r="178" spans="1:14" ht="13.5" thickBot="1">
      <c r="N178" s="4">
        <f t="shared" si="124"/>
        <v>1480</v>
      </c>
    </row>
    <row r="179" spans="1:14">
      <c r="A179" s="39" t="s">
        <v>75</v>
      </c>
      <c r="B179" s="41"/>
      <c r="C179" s="41"/>
      <c r="D179" s="41"/>
      <c r="E179" s="41"/>
      <c r="F179" s="42"/>
      <c r="N179" s="4">
        <f t="shared" si="124"/>
        <v>1160</v>
      </c>
    </row>
    <row r="180" spans="1:14">
      <c r="A180" s="43"/>
      <c r="B180" s="14"/>
      <c r="C180" s="14"/>
      <c r="D180" s="14"/>
      <c r="E180" s="14"/>
      <c r="F180" s="45"/>
      <c r="N180" s="4">
        <f t="shared" si="124"/>
        <v>1027</v>
      </c>
    </row>
    <row r="181" spans="1:14">
      <c r="A181" s="43"/>
      <c r="B181" s="14"/>
      <c r="C181" s="14"/>
      <c r="D181" s="14"/>
      <c r="E181" s="14"/>
      <c r="F181" s="45"/>
      <c r="N181" s="4">
        <f t="shared" si="124"/>
        <v>1071</v>
      </c>
    </row>
    <row r="182" spans="1:14">
      <c r="A182" s="43"/>
      <c r="B182" s="14"/>
      <c r="C182" s="14"/>
      <c r="D182" s="14"/>
      <c r="E182" s="14"/>
      <c r="F182" s="45"/>
      <c r="N182" s="4">
        <f t="shared" si="124"/>
        <v>718</v>
      </c>
    </row>
    <row r="183" spans="1:14">
      <c r="A183" s="43"/>
      <c r="B183" s="14"/>
      <c r="C183" s="14"/>
      <c r="D183" s="14"/>
      <c r="E183" s="14"/>
      <c r="F183" s="45"/>
      <c r="N183" s="4">
        <f t="shared" si="124"/>
        <v>394</v>
      </c>
    </row>
    <row r="184" spans="1:14">
      <c r="A184" s="43"/>
      <c r="B184" s="14"/>
      <c r="C184" s="14"/>
      <c r="D184" s="14"/>
      <c r="E184" s="14"/>
      <c r="F184" s="45"/>
      <c r="N184" s="4">
        <f t="shared" si="124"/>
        <v>691</v>
      </c>
    </row>
    <row r="185" spans="1:14">
      <c r="A185" s="43"/>
      <c r="B185" s="14"/>
      <c r="C185" s="14"/>
      <c r="D185" s="14"/>
      <c r="E185" s="14"/>
      <c r="F185" s="45"/>
      <c r="N185" s="4">
        <f t="shared" si="124"/>
        <v>979</v>
      </c>
    </row>
    <row r="186" spans="1:14">
      <c r="A186" s="43"/>
      <c r="B186" s="14"/>
      <c r="C186" s="14"/>
      <c r="D186" s="14"/>
      <c r="E186" s="14"/>
      <c r="F186" s="45"/>
      <c r="N186" s="4">
        <f t="shared" si="124"/>
        <v>830</v>
      </c>
    </row>
    <row r="187" spans="1:14">
      <c r="A187" s="43"/>
      <c r="B187" s="14"/>
      <c r="C187" s="14"/>
      <c r="D187" s="14"/>
      <c r="E187" s="14"/>
      <c r="F187" s="45"/>
      <c r="N187" s="4">
        <f t="shared" si="124"/>
        <v>949</v>
      </c>
    </row>
    <row r="188" spans="1:14">
      <c r="A188" s="43"/>
      <c r="B188" s="14"/>
      <c r="C188" s="14"/>
      <c r="D188" s="14"/>
      <c r="E188" s="14"/>
      <c r="F188" s="45"/>
      <c r="N188" s="4">
        <f t="shared" si="124"/>
        <v>1007</v>
      </c>
    </row>
    <row r="189" spans="1:14">
      <c r="A189" s="43"/>
      <c r="B189" s="29" t="s">
        <v>76</v>
      </c>
      <c r="C189" s="14">
        <f>D157/D155</f>
        <v>0.90664677380681313</v>
      </c>
      <c r="D189" s="14"/>
      <c r="E189" s="14"/>
      <c r="F189" s="45"/>
      <c r="N189" s="4">
        <f t="shared" si="124"/>
        <v>682</v>
      </c>
    </row>
    <row r="190" spans="1:14">
      <c r="A190" s="43"/>
      <c r="B190" s="29" t="s">
        <v>77</v>
      </c>
      <c r="C190" s="14">
        <f>1  -         (       (D159/(Q160-B174+1))     /           (D155/(Q160-1))              )</f>
        <v>0.90339970506965883</v>
      </c>
      <c r="D190" s="14"/>
      <c r="E190" s="14"/>
      <c r="F190" s="45"/>
      <c r="N190" s="4">
        <f t="shared" si="124"/>
        <v>365</v>
      </c>
    </row>
    <row r="191" spans="1:14" ht="13.5" thickBot="1">
      <c r="A191" s="47"/>
      <c r="B191" s="28"/>
      <c r="C191" s="28"/>
      <c r="D191" s="28"/>
      <c r="E191" s="28"/>
      <c r="F191" s="49"/>
      <c r="N191" s="4">
        <f t="shared" si="124"/>
        <v>847</v>
      </c>
    </row>
    <row r="192" spans="1:14" ht="13.5" thickBot="1">
      <c r="N192" s="4">
        <f t="shared" si="124"/>
        <v>642</v>
      </c>
    </row>
    <row r="193" spans="1:25">
      <c r="A193" s="39" t="s">
        <v>79</v>
      </c>
      <c r="B193" s="41"/>
      <c r="C193" s="41"/>
      <c r="D193" s="41"/>
      <c r="E193" s="41"/>
      <c r="F193" s="41"/>
      <c r="G193" s="41"/>
      <c r="H193" s="41"/>
      <c r="I193" s="41"/>
      <c r="J193" s="42"/>
      <c r="N193" s="4">
        <f t="shared" si="124"/>
        <v>627</v>
      </c>
    </row>
    <row r="194" spans="1:25">
      <c r="A194" s="43"/>
      <c r="B194" s="14"/>
      <c r="C194" s="14"/>
      <c r="D194" s="14"/>
      <c r="E194" s="14"/>
      <c r="F194" s="14"/>
      <c r="G194" s="14"/>
      <c r="H194" s="14"/>
      <c r="I194" s="14"/>
      <c r="J194" s="45"/>
      <c r="N194" s="4">
        <f t="shared" si="124"/>
        <v>577</v>
      </c>
    </row>
    <row r="195" spans="1:25">
      <c r="A195" s="46" t="s">
        <v>80</v>
      </c>
      <c r="B195" s="14">
        <v>0.05</v>
      </c>
      <c r="C195" s="14"/>
      <c r="D195" s="14"/>
      <c r="E195" s="14"/>
      <c r="F195" s="14"/>
      <c r="G195" s="14"/>
      <c r="H195" s="14"/>
      <c r="I195" s="14"/>
      <c r="J195" s="45"/>
      <c r="N195" s="4">
        <f t="shared" si="124"/>
        <v>564</v>
      </c>
    </row>
    <row r="196" spans="1:25">
      <c r="A196" s="43"/>
      <c r="B196" s="14"/>
      <c r="C196" s="14"/>
      <c r="D196" s="14"/>
      <c r="E196" s="14"/>
      <c r="F196" s="14"/>
      <c r="G196" s="14"/>
      <c r="H196" s="14"/>
      <c r="I196" s="14"/>
      <c r="J196" s="45"/>
      <c r="N196" s="4">
        <f t="shared" si="124"/>
        <v>541</v>
      </c>
    </row>
    <row r="197" spans="1:25">
      <c r="A197" s="43" t="str">
        <f>"f(0,05);("&amp;B174&amp;","&amp;B175&amp;")="</f>
        <v>f(0,05);(6,113)=</v>
      </c>
      <c r="B197" s="29"/>
      <c r="C197" s="14">
        <f>ROUND(_xlfn.F.INV.RT(B195,B174,B175),4)</f>
        <v>2.1798000000000002</v>
      </c>
      <c r="D197" s="14"/>
      <c r="E197" s="14"/>
      <c r="F197" s="14"/>
      <c r="G197" s="14"/>
      <c r="H197" s="14"/>
      <c r="I197" s="14"/>
      <c r="J197" s="45"/>
      <c r="N197" s="4">
        <f t="shared" si="124"/>
        <v>256</v>
      </c>
    </row>
    <row r="198" spans="1:25">
      <c r="A198" s="43"/>
      <c r="B198" s="14"/>
      <c r="C198" s="14"/>
      <c r="D198" s="14"/>
      <c r="E198" s="14"/>
      <c r="F198" s="14"/>
      <c r="G198" s="14"/>
      <c r="H198" s="14"/>
      <c r="I198" s="14"/>
      <c r="J198" s="45"/>
      <c r="N198" s="4">
        <f t="shared" si="124"/>
        <v>384</v>
      </c>
    </row>
    <row r="199" spans="1:25">
      <c r="A199" s="43" t="str">
        <f>IF(C197&lt;=E174, "R: Como  " &amp;ROUND(C197,4) &amp;" &lt; "&amp;ROUND(E174,4)&amp;" o modelo é significativo","R: Como  " &amp;ROUND(C197,4) &amp;" &gt; "&amp;ROUND(E174,4)&amp;" o modelo não é significativo" )</f>
        <v>R: Como  2,1798 &lt; 182,9094 o modelo é significativo</v>
      </c>
      <c r="B199" s="14"/>
      <c r="C199" s="14"/>
      <c r="D199" s="14"/>
      <c r="E199" s="14"/>
      <c r="F199" s="14"/>
      <c r="G199" s="14"/>
      <c r="H199" s="14"/>
      <c r="I199" s="14"/>
      <c r="J199" s="45"/>
      <c r="N199" s="4">
        <f t="shared" si="124"/>
        <v>673</v>
      </c>
    </row>
    <row r="200" spans="1:25" ht="13.5" thickBot="1">
      <c r="A200" s="47"/>
      <c r="B200" s="28"/>
      <c r="C200" s="28"/>
      <c r="D200" s="28"/>
      <c r="E200" s="28"/>
      <c r="F200" s="28"/>
      <c r="G200" s="28"/>
      <c r="H200" s="28"/>
      <c r="I200" s="28"/>
      <c r="J200" s="49"/>
      <c r="N200" s="4">
        <f t="shared" si="124"/>
        <v>485</v>
      </c>
    </row>
    <row r="201" spans="1:25">
      <c r="F201" s="61"/>
      <c r="G201" s="61"/>
      <c r="N201" s="4">
        <f t="shared" si="124"/>
        <v>568</v>
      </c>
    </row>
    <row r="202" spans="1:25">
      <c r="F202" s="61"/>
      <c r="G202" s="61"/>
      <c r="N202" s="4">
        <f t="shared" si="124"/>
        <v>457</v>
      </c>
    </row>
    <row r="203" spans="1:25" ht="13.5" thickBot="1">
      <c r="F203" s="61"/>
      <c r="G203" s="61"/>
      <c r="N203" s="4">
        <f t="shared" si="124"/>
        <v>450</v>
      </c>
    </row>
    <row r="204" spans="1:25">
      <c r="A204" s="21" t="s">
        <v>78</v>
      </c>
      <c r="B204" s="39"/>
      <c r="C204" s="40" t="s">
        <v>61</v>
      </c>
      <c r="D204" s="41">
        <v>0.95</v>
      </c>
      <c r="E204" s="41"/>
      <c r="F204" s="41"/>
      <c r="G204" s="41"/>
      <c r="H204" s="41"/>
      <c r="I204" s="41"/>
      <c r="J204" s="41"/>
      <c r="K204" s="42"/>
      <c r="N204" s="4">
        <f t="shared" si="124"/>
        <v>248</v>
      </c>
      <c r="P204" s="39"/>
      <c r="Q204" s="40" t="s">
        <v>61</v>
      </c>
      <c r="R204" s="41">
        <v>0.9</v>
      </c>
      <c r="S204" s="41"/>
      <c r="T204" s="41"/>
      <c r="U204" s="41"/>
      <c r="V204" s="41"/>
      <c r="W204" s="41"/>
      <c r="X204" s="41"/>
      <c r="Y204" s="42"/>
    </row>
    <row r="205" spans="1:25">
      <c r="A205" t="s">
        <v>82</v>
      </c>
      <c r="B205" s="43"/>
      <c r="C205" s="44" t="s">
        <v>62</v>
      </c>
      <c r="D205" s="14">
        <f>1-D204</f>
        <v>5.0000000000000044E-2</v>
      </c>
      <c r="E205" s="14"/>
      <c r="F205" s="14"/>
      <c r="G205" s="29" t="str">
        <f>A208&amp;"="</f>
        <v>β0=</v>
      </c>
      <c r="H205" s="14">
        <f>AG140</f>
        <v>-987.4208364797455</v>
      </c>
      <c r="I205" s="14"/>
      <c r="J205" s="14"/>
      <c r="K205" s="45"/>
      <c r="N205" s="4">
        <f t="shared" si="124"/>
        <v>434</v>
      </c>
      <c r="P205" s="43"/>
      <c r="Q205" s="44" t="s">
        <v>62</v>
      </c>
      <c r="R205" s="14">
        <f>1-R204</f>
        <v>9.9999999999999978E-2</v>
      </c>
      <c r="S205" s="14"/>
      <c r="T205" s="14"/>
      <c r="U205" s="29" t="str">
        <f>A208&amp;"="</f>
        <v>β0=</v>
      </c>
      <c r="V205" s="14">
        <f>H205</f>
        <v>-987.4208364797455</v>
      </c>
      <c r="W205" s="14"/>
      <c r="X205" s="14"/>
      <c r="Y205" s="45"/>
    </row>
    <row r="206" spans="1:25">
      <c r="A206" s="21" t="s">
        <v>83</v>
      </c>
      <c r="B206" s="43"/>
      <c r="C206" s="14"/>
      <c r="D206" s="14">
        <f>ROUND(_xlfn.T.INV(1-D205/2,120-(6+1)),2)</f>
        <v>1.98</v>
      </c>
      <c r="E206" s="14"/>
      <c r="F206" s="14"/>
      <c r="G206" s="14"/>
      <c r="H206" s="14"/>
      <c r="I206" s="14"/>
      <c r="J206" s="14"/>
      <c r="K206" s="45"/>
      <c r="N206" s="4">
        <f t="shared" si="124"/>
        <v>575</v>
      </c>
      <c r="P206" s="43"/>
      <c r="Q206" s="14"/>
      <c r="R206" s="14">
        <f>ROUND(_xlfn.T.INV(1-R205/2,120-(6+1)),2)</f>
        <v>1.66</v>
      </c>
      <c r="S206" s="14"/>
      <c r="T206" s="14"/>
      <c r="U206" s="14"/>
      <c r="V206" s="14"/>
      <c r="W206" s="14"/>
      <c r="X206" s="14"/>
      <c r="Y206" s="45"/>
    </row>
    <row r="207" spans="1:25">
      <c r="A207" t="s">
        <v>45</v>
      </c>
      <c r="B207" s="43"/>
      <c r="C207" s="14"/>
      <c r="D207" s="14"/>
      <c r="E207" s="14"/>
      <c r="F207" s="14"/>
      <c r="G207" s="14"/>
      <c r="H207" s="14"/>
      <c r="I207" s="14"/>
      <c r="J207" s="14"/>
      <c r="K207" s="45"/>
      <c r="N207" s="4">
        <f t="shared" si="124"/>
        <v>423</v>
      </c>
      <c r="P207" s="43"/>
      <c r="Q207" s="14"/>
      <c r="R207" s="14"/>
      <c r="S207" s="14"/>
      <c r="T207" s="14"/>
      <c r="U207" s="14"/>
      <c r="V207" s="14"/>
      <c r="W207" s="14"/>
      <c r="X207" s="14"/>
      <c r="Y207" s="45"/>
    </row>
    <row r="208" spans="1:25">
      <c r="A208" s="21" t="s">
        <v>84</v>
      </c>
      <c r="B208" s="43"/>
      <c r="C208" s="14"/>
      <c r="D208" s="14">
        <f>D165</f>
        <v>236093.49455618649</v>
      </c>
      <c r="E208" s="14"/>
      <c r="F208" s="14"/>
      <c r="G208" s="14"/>
      <c r="H208" s="14"/>
      <c r="I208" s="14"/>
      <c r="J208" s="14"/>
      <c r="K208" s="45"/>
      <c r="N208" s="4">
        <f t="shared" si="124"/>
        <v>488</v>
      </c>
      <c r="P208" s="43"/>
      <c r="Q208" s="14"/>
      <c r="R208" s="14">
        <f>D165</f>
        <v>236093.49455618649</v>
      </c>
      <c r="S208" s="14"/>
      <c r="T208" s="14"/>
      <c r="U208" s="14"/>
      <c r="V208" s="14"/>
      <c r="W208" s="14"/>
      <c r="X208" s="14"/>
      <c r="Y208" s="45"/>
    </row>
    <row r="209" spans="1:25">
      <c r="B209" s="43"/>
      <c r="C209" s="14"/>
      <c r="D209" s="14"/>
      <c r="E209" s="14"/>
      <c r="F209" s="14"/>
      <c r="G209" s="14"/>
      <c r="H209" s="14"/>
      <c r="I209" s="14"/>
      <c r="J209" s="14"/>
      <c r="K209" s="45"/>
      <c r="N209" s="4">
        <f t="shared" si="124"/>
        <v>344</v>
      </c>
      <c r="P209" s="43"/>
      <c r="Q209" s="14"/>
      <c r="R209" s="14"/>
      <c r="S209" s="14"/>
      <c r="T209" s="14"/>
      <c r="U209" s="14"/>
      <c r="V209" s="14"/>
      <c r="W209" s="14"/>
      <c r="X209" s="14"/>
      <c r="Y209" s="45"/>
    </row>
    <row r="210" spans="1:25">
      <c r="B210" s="43"/>
      <c r="C210" s="14"/>
      <c r="D210" s="14">
        <f>N140</f>
        <v>1.7104622040486324</v>
      </c>
      <c r="E210" s="14"/>
      <c r="F210" s="14"/>
      <c r="G210" s="14"/>
      <c r="H210" s="14"/>
      <c r="I210" s="14"/>
      <c r="J210" s="14"/>
      <c r="K210" s="45"/>
      <c r="N210" s="4">
        <f t="shared" si="124"/>
        <v>365</v>
      </c>
      <c r="P210" s="43"/>
      <c r="Q210" s="14"/>
      <c r="R210" s="14">
        <f>N140</f>
        <v>1.7104622040486324</v>
      </c>
      <c r="S210" s="14"/>
      <c r="T210" s="14"/>
      <c r="U210" s="14"/>
      <c r="V210" s="14"/>
      <c r="W210" s="14"/>
      <c r="X210" s="14"/>
      <c r="Y210" s="45"/>
    </row>
    <row r="211" spans="1:25">
      <c r="B211" s="43"/>
      <c r="C211" s="14"/>
      <c r="D211" s="14"/>
      <c r="E211" s="14"/>
      <c r="F211" s="29" t="s">
        <v>67</v>
      </c>
      <c r="G211" s="14">
        <f>H205-D212</f>
        <v>-2245.6621519336964</v>
      </c>
      <c r="H211" s="14"/>
      <c r="I211" s="14"/>
      <c r="J211" s="14"/>
      <c r="K211" s="45"/>
      <c r="N211" s="4">
        <f t="shared" si="124"/>
        <v>309</v>
      </c>
      <c r="P211" s="43"/>
      <c r="Q211" s="14"/>
      <c r="R211" s="14"/>
      <c r="S211" s="14"/>
      <c r="T211" s="29" t="s">
        <v>67</v>
      </c>
      <c r="U211" s="14">
        <f>V205-R212</f>
        <v>-2042.3100201431587</v>
      </c>
      <c r="V211" s="14"/>
      <c r="W211" s="14"/>
      <c r="X211" s="14"/>
      <c r="Y211" s="45"/>
    </row>
    <row r="212" spans="1:25" ht="13.5" thickBot="1">
      <c r="B212" s="47"/>
      <c r="C212" s="48" t="s">
        <v>60</v>
      </c>
      <c r="D212" s="28">
        <f>D206*SQRT(D208*D210)</f>
        <v>1258.2413154539508</v>
      </c>
      <c r="E212" s="28"/>
      <c r="F212" s="48" t="s">
        <v>68</v>
      </c>
      <c r="G212" s="28">
        <f>H205+D212</f>
        <v>270.82047897420534</v>
      </c>
      <c r="H212" s="28"/>
      <c r="I212" s="28"/>
      <c r="J212" s="28"/>
      <c r="K212" s="49"/>
      <c r="N212" s="4">
        <f t="shared" si="124"/>
        <v>388</v>
      </c>
      <c r="P212" s="47"/>
      <c r="Q212" s="48" t="s">
        <v>60</v>
      </c>
      <c r="R212" s="28">
        <f>R206*SQRT(R208*R210)</f>
        <v>1054.8891836634132</v>
      </c>
      <c r="S212" s="28"/>
      <c r="T212" s="48" t="s">
        <v>68</v>
      </c>
      <c r="U212" s="28">
        <f>V205+R212</f>
        <v>67.468347183667674</v>
      </c>
      <c r="V212" s="28"/>
      <c r="W212" s="28"/>
      <c r="X212" s="28"/>
      <c r="Y212" s="49"/>
    </row>
    <row r="213" spans="1:25" ht="13.5" thickBot="1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N213" s="4">
        <f t="shared" si="124"/>
        <v>618</v>
      </c>
      <c r="P213" s="77"/>
      <c r="Q213" s="77"/>
      <c r="R213" s="77"/>
      <c r="S213" s="77"/>
      <c r="T213" s="77"/>
      <c r="U213" s="77"/>
      <c r="V213" s="77"/>
      <c r="W213" s="77"/>
      <c r="X213" s="77"/>
      <c r="Y213" s="77"/>
    </row>
    <row r="214" spans="1:25">
      <c r="A214" s="21" t="s">
        <v>78</v>
      </c>
      <c r="B214" s="39"/>
      <c r="C214" s="40" t="s">
        <v>61</v>
      </c>
      <c r="D214" s="41">
        <v>0.95</v>
      </c>
      <c r="E214" s="41"/>
      <c r="F214" s="41"/>
      <c r="G214" s="41"/>
      <c r="H214" s="41"/>
      <c r="I214" s="41"/>
      <c r="J214" s="41"/>
      <c r="K214" s="42"/>
      <c r="N214" s="4">
        <f t="shared" si="124"/>
        <v>592</v>
      </c>
      <c r="P214" s="39"/>
      <c r="Q214" s="40" t="s">
        <v>61</v>
      </c>
      <c r="R214" s="41">
        <v>0.9</v>
      </c>
      <c r="S214" s="41"/>
      <c r="T214" s="41"/>
      <c r="U214" s="41"/>
      <c r="V214" s="41"/>
      <c r="W214" s="41"/>
      <c r="X214" s="41"/>
      <c r="Y214" s="42"/>
    </row>
    <row r="215" spans="1:25">
      <c r="A215" s="62" t="s">
        <v>82</v>
      </c>
      <c r="B215" s="43"/>
      <c r="C215" s="44" t="s">
        <v>62</v>
      </c>
      <c r="D215" s="14">
        <f>1-D214</f>
        <v>5.0000000000000044E-2</v>
      </c>
      <c r="E215" s="14"/>
      <c r="F215" s="14"/>
      <c r="G215" s="29" t="str">
        <f>A218&amp;"="</f>
        <v>β1=</v>
      </c>
      <c r="H215" s="14">
        <f>AG141</f>
        <v>488.50632607548869</v>
      </c>
      <c r="I215" s="14"/>
      <c r="J215" s="14"/>
      <c r="K215" s="45"/>
      <c r="N215" s="4">
        <f t="shared" si="124"/>
        <v>548</v>
      </c>
      <c r="P215" s="43"/>
      <c r="Q215" s="44" t="s">
        <v>62</v>
      </c>
      <c r="R215" s="14">
        <f>1-R214</f>
        <v>9.9999999999999978E-2</v>
      </c>
      <c r="S215" s="14"/>
      <c r="T215" s="14"/>
      <c r="U215" s="29" t="str">
        <f>A218&amp;"="</f>
        <v>β1=</v>
      </c>
      <c r="V215" s="14">
        <f>H215</f>
        <v>488.50632607548869</v>
      </c>
      <c r="W215" s="14"/>
      <c r="X215" s="14"/>
      <c r="Y215" s="45"/>
    </row>
    <row r="216" spans="1:25">
      <c r="A216" s="21" t="s">
        <v>83</v>
      </c>
      <c r="B216" s="43"/>
      <c r="C216" s="14"/>
      <c r="D216" s="14">
        <f>ROUND(_xlfn.T.INV(1-D215/2,120-(6+1)),2)</f>
        <v>1.98</v>
      </c>
      <c r="E216" s="14"/>
      <c r="F216" s="14"/>
      <c r="G216" s="14"/>
      <c r="H216" s="14"/>
      <c r="I216" s="14"/>
      <c r="J216" s="14"/>
      <c r="K216" s="45"/>
      <c r="N216" s="4">
        <f t="shared" si="124"/>
        <v>280</v>
      </c>
      <c r="P216" s="43"/>
      <c r="Q216" s="14"/>
      <c r="R216" s="14">
        <f>ROUND(_xlfn.T.INV(1-R215/2,120-(6+1)),2)</f>
        <v>1.66</v>
      </c>
      <c r="S216" s="14"/>
      <c r="T216" s="14"/>
      <c r="U216" s="14"/>
      <c r="V216" s="14"/>
      <c r="W216" s="14"/>
      <c r="X216" s="14"/>
      <c r="Y216" s="45"/>
    </row>
    <row r="217" spans="1:25">
      <c r="A217" s="62" t="s">
        <v>45</v>
      </c>
      <c r="B217" s="43"/>
      <c r="C217" s="14"/>
      <c r="D217" s="14"/>
      <c r="E217" s="14"/>
      <c r="F217" s="14"/>
      <c r="G217" s="14"/>
      <c r="H217" s="14"/>
      <c r="I217" s="14"/>
      <c r="J217" s="14"/>
      <c r="K217" s="45"/>
      <c r="N217" s="4">
        <f t="shared" si="124"/>
        <v>193</v>
      </c>
      <c r="P217" s="43"/>
      <c r="Q217" s="14"/>
      <c r="R217" s="14"/>
      <c r="S217" s="14"/>
      <c r="T217" s="14"/>
      <c r="U217" s="14"/>
      <c r="V217" s="14"/>
      <c r="W217" s="14"/>
      <c r="X217" s="14"/>
      <c r="Y217" s="45"/>
    </row>
    <row r="218" spans="1:25">
      <c r="A218" s="21" t="s">
        <v>85</v>
      </c>
      <c r="B218" s="43"/>
      <c r="C218" s="14"/>
      <c r="D218" s="14">
        <f>D165</f>
        <v>236093.49455618649</v>
      </c>
      <c r="E218" s="14"/>
      <c r="F218" s="14"/>
      <c r="G218" s="14"/>
      <c r="H218" s="14"/>
      <c r="I218" s="14"/>
      <c r="J218" s="14"/>
      <c r="K218" s="45"/>
      <c r="N218" s="4">
        <f t="shared" si="124"/>
        <v>159</v>
      </c>
      <c r="P218" s="43"/>
      <c r="Q218" s="14"/>
      <c r="R218" s="14">
        <f>D165</f>
        <v>236093.49455618649</v>
      </c>
      <c r="S218" s="14"/>
      <c r="T218" s="14"/>
      <c r="U218" s="14"/>
      <c r="V218" s="14"/>
      <c r="W218" s="14"/>
      <c r="X218" s="14"/>
      <c r="Y218" s="45"/>
    </row>
    <row r="219" spans="1:25">
      <c r="A219" s="62"/>
      <c r="B219" s="43"/>
      <c r="C219" s="14"/>
      <c r="D219" s="14"/>
      <c r="E219" s="14"/>
      <c r="F219" s="14"/>
      <c r="G219" s="14"/>
      <c r="H219" s="14"/>
      <c r="I219" s="14"/>
      <c r="J219" s="14"/>
      <c r="K219" s="45"/>
      <c r="N219" s="4">
        <f t="shared" si="124"/>
        <v>874</v>
      </c>
      <c r="P219" s="43"/>
      <c r="Q219" s="14"/>
      <c r="R219" s="14"/>
      <c r="S219" s="14"/>
      <c r="T219" s="14"/>
      <c r="U219" s="14"/>
      <c r="V219" s="14"/>
      <c r="W219" s="14"/>
      <c r="X219" s="14"/>
      <c r="Y219" s="45"/>
    </row>
    <row r="220" spans="1:25">
      <c r="A220" s="62"/>
      <c r="B220" s="43"/>
      <c r="C220" s="14"/>
      <c r="D220" s="14">
        <f>O141</f>
        <v>1.6552006542783573</v>
      </c>
      <c r="E220" s="14"/>
      <c r="F220" s="14"/>
      <c r="G220" s="14"/>
      <c r="H220" s="14"/>
      <c r="I220" s="14"/>
      <c r="J220" s="14"/>
      <c r="K220" s="45"/>
      <c r="N220" s="4">
        <f t="shared" ref="N220:N274" si="125">B69</f>
        <v>663</v>
      </c>
      <c r="P220" s="43"/>
      <c r="Q220" s="14"/>
      <c r="R220" s="14">
        <f>O141</f>
        <v>1.6552006542783573</v>
      </c>
      <c r="S220" s="14"/>
      <c r="T220" s="14"/>
      <c r="U220" s="14"/>
      <c r="V220" s="14"/>
      <c r="W220" s="14"/>
      <c r="X220" s="14"/>
      <c r="Y220" s="45"/>
    </row>
    <row r="221" spans="1:25">
      <c r="A221" s="62"/>
      <c r="B221" s="43"/>
      <c r="C221" s="14"/>
      <c r="D221" s="14"/>
      <c r="E221" s="14"/>
      <c r="F221" s="29" t="s">
        <v>67</v>
      </c>
      <c r="G221" s="14">
        <f>H215-D222</f>
        <v>-749.24250585726554</v>
      </c>
      <c r="H221" s="14"/>
      <c r="I221" s="14"/>
      <c r="J221" s="14"/>
      <c r="K221" s="45"/>
      <c r="N221" s="4">
        <f t="shared" si="125"/>
        <v>602</v>
      </c>
      <c r="P221" s="43"/>
      <c r="Q221" s="14"/>
      <c r="R221" s="14"/>
      <c r="S221" s="14"/>
      <c r="T221" s="29" t="s">
        <v>67</v>
      </c>
      <c r="U221" s="14">
        <f>V215-R222</f>
        <v>-549.20229059540611</v>
      </c>
      <c r="V221" s="14"/>
      <c r="W221" s="14"/>
      <c r="X221" s="14"/>
      <c r="Y221" s="45"/>
    </row>
    <row r="222" spans="1:25" ht="13.5" thickBot="1">
      <c r="A222" s="62"/>
      <c r="B222" s="47"/>
      <c r="C222" s="48" t="s">
        <v>60</v>
      </c>
      <c r="D222" s="28">
        <f>D216*SQRT(D218*D220)</f>
        <v>1237.7488319327542</v>
      </c>
      <c r="E222" s="28"/>
      <c r="F222" s="48" t="s">
        <v>68</v>
      </c>
      <c r="G222" s="28">
        <f>H215+D222</f>
        <v>1726.2551580082429</v>
      </c>
      <c r="H222" s="28"/>
      <c r="I222" s="28"/>
      <c r="J222" s="28"/>
      <c r="K222" s="49"/>
      <c r="N222" s="4">
        <f t="shared" si="125"/>
        <v>694</v>
      </c>
      <c r="P222" s="47"/>
      <c r="Q222" s="48" t="s">
        <v>60</v>
      </c>
      <c r="R222" s="28">
        <f>R216*SQRT(R218*R220)</f>
        <v>1037.7086166708948</v>
      </c>
      <c r="S222" s="28"/>
      <c r="T222" s="48" t="s">
        <v>68</v>
      </c>
      <c r="U222" s="28">
        <f>V215+R222</f>
        <v>1526.2149427463835</v>
      </c>
      <c r="V222" s="28"/>
      <c r="W222" s="28"/>
      <c r="X222" s="28"/>
      <c r="Y222" s="49"/>
    </row>
    <row r="223" spans="1:25" ht="13.5" thickBot="1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N223" s="4">
        <f t="shared" si="125"/>
        <v>601</v>
      </c>
      <c r="P223" s="77"/>
      <c r="Q223" s="77"/>
      <c r="R223" s="77"/>
      <c r="S223" s="77"/>
      <c r="T223" s="77"/>
      <c r="U223" s="77"/>
      <c r="V223" s="77"/>
      <c r="W223" s="77"/>
      <c r="X223" s="77"/>
      <c r="Y223" s="77"/>
    </row>
    <row r="224" spans="1:25">
      <c r="A224" s="21" t="s">
        <v>78</v>
      </c>
      <c r="B224" s="39"/>
      <c r="C224" s="40" t="s">
        <v>61</v>
      </c>
      <c r="D224" s="41">
        <v>0.95</v>
      </c>
      <c r="E224" s="41"/>
      <c r="F224" s="41"/>
      <c r="G224" s="41"/>
      <c r="H224" s="41"/>
      <c r="I224" s="41"/>
      <c r="J224" s="41"/>
      <c r="K224" s="42"/>
      <c r="N224" s="4">
        <f t="shared" si="125"/>
        <v>566</v>
      </c>
      <c r="P224" s="39"/>
      <c r="Q224" s="40" t="s">
        <v>61</v>
      </c>
      <c r="R224" s="41">
        <v>0.9</v>
      </c>
      <c r="S224" s="41"/>
      <c r="T224" s="41"/>
      <c r="U224" s="41"/>
      <c r="V224" s="41"/>
      <c r="W224" s="41"/>
      <c r="X224" s="41"/>
      <c r="Y224" s="42"/>
    </row>
    <row r="225" spans="1:25">
      <c r="A225" s="62" t="s">
        <v>82</v>
      </c>
      <c r="B225" s="43"/>
      <c r="C225" s="44" t="s">
        <v>62</v>
      </c>
      <c r="D225" s="14">
        <f>1-D224</f>
        <v>5.0000000000000044E-2</v>
      </c>
      <c r="E225" s="14"/>
      <c r="F225" s="14"/>
      <c r="G225" s="29" t="str">
        <f>A228&amp;"="</f>
        <v>β2=</v>
      </c>
      <c r="H225" s="14">
        <f>AG142</f>
        <v>3.3568492424434835</v>
      </c>
      <c r="I225" s="14"/>
      <c r="J225" s="14"/>
      <c r="K225" s="45"/>
      <c r="N225" s="4">
        <f t="shared" si="125"/>
        <v>271</v>
      </c>
      <c r="P225" s="43"/>
      <c r="Q225" s="44" t="s">
        <v>62</v>
      </c>
      <c r="R225" s="14">
        <f>1-R224</f>
        <v>9.9999999999999978E-2</v>
      </c>
      <c r="S225" s="14"/>
      <c r="T225" s="14"/>
      <c r="U225" s="29" t="str">
        <f>A228&amp;"="</f>
        <v>β2=</v>
      </c>
      <c r="V225" s="14">
        <f>H225</f>
        <v>3.3568492424434835</v>
      </c>
      <c r="W225" s="14"/>
      <c r="X225" s="14"/>
      <c r="Y225" s="45"/>
    </row>
    <row r="226" spans="1:25">
      <c r="A226" s="21" t="s">
        <v>83</v>
      </c>
      <c r="B226" s="43"/>
      <c r="C226" s="14"/>
      <c r="D226" s="14">
        <f>ROUND(_xlfn.T.INV(1-D225/2,120-(6+1)),2)</f>
        <v>1.98</v>
      </c>
      <c r="E226" s="14"/>
      <c r="F226" s="14"/>
      <c r="G226" s="14"/>
      <c r="H226" s="14"/>
      <c r="I226" s="14"/>
      <c r="J226" s="14"/>
      <c r="K226" s="45"/>
      <c r="N226" s="4">
        <f t="shared" si="125"/>
        <v>408</v>
      </c>
      <c r="P226" s="43"/>
      <c r="Q226" s="14"/>
      <c r="R226" s="14">
        <f>ROUND(_xlfn.T.INV(1-R225/2,120-(6+1)),2)</f>
        <v>1.66</v>
      </c>
      <c r="S226" s="14"/>
      <c r="T226" s="14"/>
      <c r="U226" s="14"/>
      <c r="V226" s="14"/>
      <c r="W226" s="14"/>
      <c r="X226" s="14"/>
      <c r="Y226" s="45"/>
    </row>
    <row r="227" spans="1:25">
      <c r="A227" s="62" t="s">
        <v>45</v>
      </c>
      <c r="B227" s="43"/>
      <c r="C227" s="14"/>
      <c r="D227" s="14"/>
      <c r="E227" s="14"/>
      <c r="F227" s="14"/>
      <c r="G227" s="14"/>
      <c r="H227" s="14"/>
      <c r="I227" s="14"/>
      <c r="J227" s="14"/>
      <c r="K227" s="45"/>
      <c r="N227" s="4">
        <f t="shared" si="125"/>
        <v>684</v>
      </c>
      <c r="P227" s="43"/>
      <c r="Q227" s="14"/>
      <c r="R227" s="14"/>
      <c r="S227" s="14"/>
      <c r="T227" s="14"/>
      <c r="U227" s="14"/>
      <c r="V227" s="14"/>
      <c r="W227" s="14"/>
      <c r="X227" s="14"/>
      <c r="Y227" s="45"/>
    </row>
    <row r="228" spans="1:25">
      <c r="A228" s="21" t="s">
        <v>86</v>
      </c>
      <c r="B228" s="43"/>
      <c r="C228" s="14"/>
      <c r="D228" s="14">
        <f>D165</f>
        <v>236093.49455618649</v>
      </c>
      <c r="E228" s="14"/>
      <c r="F228" s="14"/>
      <c r="G228" s="14"/>
      <c r="H228" s="14"/>
      <c r="I228" s="14"/>
      <c r="J228" s="14"/>
      <c r="K228" s="45"/>
      <c r="N228" s="4">
        <f t="shared" si="125"/>
        <v>501</v>
      </c>
      <c r="P228" s="43"/>
      <c r="Q228" s="14"/>
      <c r="R228" s="14">
        <f>D165</f>
        <v>236093.49455618649</v>
      </c>
      <c r="S228" s="14"/>
      <c r="T228" s="14"/>
      <c r="U228" s="14"/>
      <c r="V228" s="14"/>
      <c r="W228" s="14"/>
      <c r="X228" s="14"/>
      <c r="Y228" s="45"/>
    </row>
    <row r="229" spans="1:25">
      <c r="A229" s="62"/>
      <c r="B229" s="43"/>
      <c r="C229" s="14"/>
      <c r="D229" s="14"/>
      <c r="E229" s="14"/>
      <c r="F229" s="14"/>
      <c r="G229" s="14"/>
      <c r="H229" s="14"/>
      <c r="I229" s="14"/>
      <c r="J229" s="14"/>
      <c r="K229" s="45"/>
      <c r="N229" s="4">
        <f t="shared" si="125"/>
        <v>553</v>
      </c>
      <c r="P229" s="43"/>
      <c r="Q229" s="14"/>
      <c r="R229" s="14"/>
      <c r="S229" s="14"/>
      <c r="T229" s="14"/>
      <c r="U229" s="14"/>
      <c r="V229" s="14"/>
      <c r="W229" s="14"/>
      <c r="X229" s="14"/>
      <c r="Y229" s="45"/>
    </row>
    <row r="230" spans="1:25">
      <c r="A230" s="62"/>
      <c r="B230" s="43"/>
      <c r="C230" s="14"/>
      <c r="D230" s="14">
        <f>P142</f>
        <v>1.3447872705781517E-5</v>
      </c>
      <c r="E230" s="14"/>
      <c r="F230" s="14"/>
      <c r="G230" s="14"/>
      <c r="H230" s="14"/>
      <c r="I230" s="14"/>
      <c r="J230" s="14"/>
      <c r="K230" s="45"/>
      <c r="N230" s="4">
        <f t="shared" si="125"/>
        <v>649</v>
      </c>
      <c r="P230" s="43"/>
      <c r="Q230" s="14"/>
      <c r="R230" s="14">
        <f>P142</f>
        <v>1.3447872705781517E-5</v>
      </c>
      <c r="S230" s="14"/>
      <c r="T230" s="14"/>
      <c r="U230" s="14"/>
      <c r="V230" s="14"/>
      <c r="W230" s="14"/>
      <c r="X230" s="14"/>
      <c r="Y230" s="45"/>
    </row>
    <row r="231" spans="1:25">
      <c r="A231" s="62"/>
      <c r="B231" s="43"/>
      <c r="C231" s="14"/>
      <c r="D231" s="14"/>
      <c r="E231" s="14"/>
      <c r="F231" s="29" t="s">
        <v>67</v>
      </c>
      <c r="G231" s="14">
        <f>H225-D232</f>
        <v>-0.17119477754933321</v>
      </c>
      <c r="H231" s="14"/>
      <c r="I231" s="14"/>
      <c r="J231" s="14"/>
      <c r="K231" s="45"/>
      <c r="N231" s="4">
        <f t="shared" si="125"/>
        <v>441</v>
      </c>
      <c r="P231" s="43"/>
      <c r="Q231" s="14"/>
      <c r="R231" s="14"/>
      <c r="S231" s="14"/>
      <c r="T231" s="29" t="s">
        <v>67</v>
      </c>
      <c r="U231" s="14">
        <f>V225-R232</f>
        <v>0.39899415497475843</v>
      </c>
      <c r="V231" s="14"/>
      <c r="W231" s="14"/>
      <c r="X231" s="14"/>
      <c r="Y231" s="45"/>
    </row>
    <row r="232" spans="1:25" ht="13.5" thickBot="1">
      <c r="A232" s="62"/>
      <c r="B232" s="47"/>
      <c r="C232" s="48" t="s">
        <v>60</v>
      </c>
      <c r="D232" s="28">
        <f>D226*SQRT(D228*D230)</f>
        <v>3.5280440199928167</v>
      </c>
      <c r="E232" s="28"/>
      <c r="F232" s="48" t="s">
        <v>68</v>
      </c>
      <c r="G232" s="28">
        <f>H225+D232</f>
        <v>6.8848932624363002</v>
      </c>
      <c r="H232" s="28"/>
      <c r="I232" s="28"/>
      <c r="J232" s="28"/>
      <c r="K232" s="49"/>
      <c r="N232" s="4">
        <f t="shared" si="125"/>
        <v>220</v>
      </c>
      <c r="P232" s="47"/>
      <c r="Q232" s="48" t="s">
        <v>60</v>
      </c>
      <c r="R232" s="28">
        <f>R226*SQRT(R228*R230)</f>
        <v>2.9578550874687251</v>
      </c>
      <c r="S232" s="28"/>
      <c r="T232" s="48" t="s">
        <v>68</v>
      </c>
      <c r="U232" s="28">
        <f>V225+R232</f>
        <v>6.3147043299122085</v>
      </c>
      <c r="V232" s="28"/>
      <c r="W232" s="28"/>
      <c r="X232" s="28"/>
      <c r="Y232" s="49"/>
    </row>
    <row r="233" spans="1:25" ht="13.5" thickBot="1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N233" s="4">
        <f t="shared" si="125"/>
        <v>424</v>
      </c>
      <c r="P233" s="77"/>
      <c r="Q233" s="77"/>
      <c r="R233" s="77"/>
      <c r="S233" s="77"/>
      <c r="T233" s="77"/>
      <c r="U233" s="77"/>
      <c r="V233" s="77"/>
      <c r="W233" s="77"/>
      <c r="X233" s="77"/>
      <c r="Y233" s="77"/>
    </row>
    <row r="234" spans="1:25">
      <c r="A234" s="21" t="s">
        <v>78</v>
      </c>
      <c r="B234" s="39"/>
      <c r="C234" s="40" t="s">
        <v>61</v>
      </c>
      <c r="D234" s="41">
        <v>0.95</v>
      </c>
      <c r="E234" s="41"/>
      <c r="F234" s="41"/>
      <c r="G234" s="41"/>
      <c r="H234" s="41"/>
      <c r="I234" s="41"/>
      <c r="J234" s="41"/>
      <c r="K234" s="42"/>
      <c r="N234" s="4">
        <f t="shared" si="125"/>
        <v>610</v>
      </c>
      <c r="P234" s="39"/>
      <c r="Q234" s="40" t="s">
        <v>61</v>
      </c>
      <c r="R234" s="41">
        <v>0.9</v>
      </c>
      <c r="S234" s="41"/>
      <c r="T234" s="41"/>
      <c r="U234" s="41"/>
      <c r="V234" s="41"/>
      <c r="W234" s="41"/>
      <c r="X234" s="41"/>
      <c r="Y234" s="42"/>
    </row>
    <row r="235" spans="1:25">
      <c r="A235" s="62" t="s">
        <v>82</v>
      </c>
      <c r="B235" s="43"/>
      <c r="C235" s="44" t="s">
        <v>62</v>
      </c>
      <c r="D235" s="14">
        <f>1-D234</f>
        <v>5.0000000000000044E-2</v>
      </c>
      <c r="E235" s="14"/>
      <c r="F235" s="14"/>
      <c r="G235" s="29" t="str">
        <f>A238&amp;"="</f>
        <v>β3=</v>
      </c>
      <c r="H235" s="14">
        <f>AG143</f>
        <v>-1.2721510361882267</v>
      </c>
      <c r="I235" s="14"/>
      <c r="J235" s="14"/>
      <c r="K235" s="45"/>
      <c r="N235" s="4">
        <f t="shared" si="125"/>
        <v>636</v>
      </c>
      <c r="P235" s="43"/>
      <c r="Q235" s="44" t="s">
        <v>62</v>
      </c>
      <c r="R235" s="14">
        <f>1-R234</f>
        <v>9.9999999999999978E-2</v>
      </c>
      <c r="S235" s="14"/>
      <c r="T235" s="14"/>
      <c r="U235" s="29" t="str">
        <f>A238&amp;"="</f>
        <v>β3=</v>
      </c>
      <c r="V235" s="14">
        <f>H235</f>
        <v>-1.2721510361882267</v>
      </c>
      <c r="W235" s="14"/>
      <c r="X235" s="14"/>
      <c r="Y235" s="45"/>
    </row>
    <row r="236" spans="1:25">
      <c r="A236" s="21" t="s">
        <v>83</v>
      </c>
      <c r="B236" s="43"/>
      <c r="C236" s="14"/>
      <c r="D236" s="14">
        <f>ROUND(_xlfn.T.INV(1-D235/2,120-(6+1)),2)</f>
        <v>1.98</v>
      </c>
      <c r="E236" s="14"/>
      <c r="F236" s="14"/>
      <c r="G236" s="14"/>
      <c r="H236" s="14"/>
      <c r="I236" s="14"/>
      <c r="J236" s="14"/>
      <c r="K236" s="45"/>
      <c r="N236" s="4">
        <f t="shared" si="125"/>
        <v>506</v>
      </c>
      <c r="P236" s="43"/>
      <c r="Q236" s="14"/>
      <c r="R236" s="14">
        <f>ROUND(_xlfn.T.INV(1-R235/2,120-(6+1)),2)</f>
        <v>1.66</v>
      </c>
      <c r="S236" s="14"/>
      <c r="T236" s="14"/>
      <c r="U236" s="14"/>
      <c r="V236" s="14"/>
      <c r="W236" s="14"/>
      <c r="X236" s="14"/>
      <c r="Y236" s="45"/>
    </row>
    <row r="237" spans="1:25">
      <c r="A237" s="62" t="s">
        <v>45</v>
      </c>
      <c r="B237" s="43"/>
      <c r="C237" s="14"/>
      <c r="D237" s="14"/>
      <c r="E237" s="14"/>
      <c r="F237" s="14"/>
      <c r="G237" s="14"/>
      <c r="H237" s="14"/>
      <c r="I237" s="14"/>
      <c r="J237" s="14"/>
      <c r="K237" s="45"/>
      <c r="N237" s="4">
        <f t="shared" si="125"/>
        <v>567</v>
      </c>
      <c r="P237" s="43"/>
      <c r="Q237" s="14"/>
      <c r="R237" s="14"/>
      <c r="S237" s="14"/>
      <c r="T237" s="14"/>
      <c r="U237" s="14"/>
      <c r="V237" s="14"/>
      <c r="W237" s="14"/>
      <c r="X237" s="14"/>
      <c r="Y237" s="45"/>
    </row>
    <row r="238" spans="1:25">
      <c r="A238" s="21" t="s">
        <v>87</v>
      </c>
      <c r="B238" s="43"/>
      <c r="C238" s="14"/>
      <c r="D238" s="14">
        <f>D165</f>
        <v>236093.49455618649</v>
      </c>
      <c r="E238" s="14"/>
      <c r="F238" s="14"/>
      <c r="G238" s="14"/>
      <c r="H238" s="14"/>
      <c r="I238" s="14"/>
      <c r="J238" s="14"/>
      <c r="K238" s="45"/>
      <c r="N238" s="4">
        <f t="shared" si="125"/>
        <v>478</v>
      </c>
      <c r="P238" s="43"/>
      <c r="Q238" s="14"/>
      <c r="R238" s="14">
        <f>D165</f>
        <v>236093.49455618649</v>
      </c>
      <c r="S238" s="14"/>
      <c r="T238" s="14"/>
      <c r="U238" s="14"/>
      <c r="V238" s="14"/>
      <c r="W238" s="14"/>
      <c r="X238" s="14"/>
      <c r="Y238" s="45"/>
    </row>
    <row r="239" spans="1:25">
      <c r="A239" s="62"/>
      <c r="B239" s="43"/>
      <c r="C239" s="14"/>
      <c r="D239" s="14"/>
      <c r="E239" s="14"/>
      <c r="F239" s="14"/>
      <c r="G239" s="14"/>
      <c r="H239" s="14"/>
      <c r="I239" s="14"/>
      <c r="J239" s="14"/>
      <c r="K239" s="45"/>
      <c r="N239" s="4">
        <f t="shared" si="125"/>
        <v>196</v>
      </c>
      <c r="P239" s="43"/>
      <c r="Q239" s="14"/>
      <c r="R239" s="14"/>
      <c r="S239" s="14"/>
      <c r="T239" s="14"/>
      <c r="U239" s="14"/>
      <c r="V239" s="14"/>
      <c r="W239" s="14"/>
      <c r="X239" s="14"/>
      <c r="Y239" s="45"/>
    </row>
    <row r="240" spans="1:25">
      <c r="A240" s="62"/>
      <c r="B240" s="43"/>
      <c r="C240" s="14"/>
      <c r="D240" s="14">
        <f>Q143</f>
        <v>5.1062060383920892E-7</v>
      </c>
      <c r="E240" s="14"/>
      <c r="F240" s="14"/>
      <c r="G240" s="14"/>
      <c r="H240" s="14"/>
      <c r="I240" s="14"/>
      <c r="J240" s="14"/>
      <c r="K240" s="45"/>
      <c r="N240" s="4">
        <f t="shared" si="125"/>
        <v>353</v>
      </c>
      <c r="P240" s="43"/>
      <c r="Q240" s="14"/>
      <c r="R240" s="14">
        <f>Q143</f>
        <v>5.1062060383920892E-7</v>
      </c>
      <c r="S240" s="14"/>
      <c r="T240" s="14"/>
      <c r="U240" s="14"/>
      <c r="V240" s="14"/>
      <c r="W240" s="14"/>
      <c r="X240" s="14"/>
      <c r="Y240" s="45"/>
    </row>
    <row r="241" spans="1:25">
      <c r="A241" s="62"/>
      <c r="B241" s="43"/>
      <c r="C241" s="14"/>
      <c r="D241" s="14"/>
      <c r="E241" s="14"/>
      <c r="F241" s="29" t="s">
        <v>67</v>
      </c>
      <c r="G241" s="14">
        <f>H235-D242</f>
        <v>-1.9596251785907128</v>
      </c>
      <c r="H241" s="14"/>
      <c r="I241" s="14"/>
      <c r="J241" s="14"/>
      <c r="K241" s="45"/>
      <c r="N241" s="4">
        <f t="shared" si="125"/>
        <v>572</v>
      </c>
      <c r="P241" s="43"/>
      <c r="Q241" s="14"/>
      <c r="R241" s="14"/>
      <c r="S241" s="14"/>
      <c r="T241" s="29" t="s">
        <v>67</v>
      </c>
      <c r="U241" s="14">
        <f>V235-R242</f>
        <v>-1.8485182464852605</v>
      </c>
      <c r="V241" s="14"/>
      <c r="W241" s="14"/>
      <c r="X241" s="14"/>
      <c r="Y241" s="45"/>
    </row>
    <row r="242" spans="1:25" ht="13.5" thickBot="1">
      <c r="A242" s="62"/>
      <c r="B242" s="47"/>
      <c r="C242" s="48" t="s">
        <v>60</v>
      </c>
      <c r="D242" s="28">
        <f>D236*SQRT(D238*D240)</f>
        <v>0.68747414240248605</v>
      </c>
      <c r="E242" s="28"/>
      <c r="F242" s="48" t="s">
        <v>68</v>
      </c>
      <c r="G242" s="28">
        <f>H235+D242</f>
        <v>-0.58467689378574061</v>
      </c>
      <c r="H242" s="28"/>
      <c r="I242" s="28"/>
      <c r="J242" s="28"/>
      <c r="K242" s="49"/>
      <c r="N242" s="4">
        <f t="shared" si="125"/>
        <v>470</v>
      </c>
      <c r="P242" s="47"/>
      <c r="Q242" s="48" t="s">
        <v>60</v>
      </c>
      <c r="R242" s="28">
        <f>R236*SQRT(R238*R240)</f>
        <v>0.57636721029703375</v>
      </c>
      <c r="S242" s="28"/>
      <c r="T242" s="48" t="s">
        <v>68</v>
      </c>
      <c r="U242" s="28">
        <f>V235+R242</f>
        <v>-0.69578382589119292</v>
      </c>
      <c r="V242" s="28"/>
      <c r="W242" s="28"/>
      <c r="X242" s="28"/>
      <c r="Y242" s="49"/>
    </row>
    <row r="243" spans="1:25" ht="13.5" thickBot="1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N243" s="4">
        <f t="shared" si="125"/>
        <v>460</v>
      </c>
      <c r="P243" s="77"/>
      <c r="Q243" s="77"/>
      <c r="R243" s="77"/>
      <c r="S243" s="77"/>
      <c r="T243" s="77"/>
      <c r="U243" s="77"/>
      <c r="V243" s="77"/>
      <c r="W243" s="77"/>
      <c r="X243" s="77"/>
      <c r="Y243" s="77"/>
    </row>
    <row r="244" spans="1:25">
      <c r="A244" s="21" t="s">
        <v>78</v>
      </c>
      <c r="B244" s="39"/>
      <c r="C244" s="40" t="s">
        <v>61</v>
      </c>
      <c r="D244" s="41">
        <v>0.95</v>
      </c>
      <c r="E244" s="41"/>
      <c r="F244" s="41"/>
      <c r="G244" s="41"/>
      <c r="H244" s="41"/>
      <c r="I244" s="41"/>
      <c r="J244" s="41"/>
      <c r="K244" s="42"/>
      <c r="N244" s="4">
        <f t="shared" si="125"/>
        <v>454</v>
      </c>
      <c r="P244" s="39"/>
      <c r="Q244" s="40" t="s">
        <v>61</v>
      </c>
      <c r="R244" s="41">
        <v>0.9</v>
      </c>
      <c r="S244" s="41"/>
      <c r="T244" s="41"/>
      <c r="U244" s="41"/>
      <c r="V244" s="41"/>
      <c r="W244" s="41"/>
      <c r="X244" s="41"/>
      <c r="Y244" s="42"/>
    </row>
    <row r="245" spans="1:25">
      <c r="A245" s="62" t="s">
        <v>82</v>
      </c>
      <c r="B245" s="43"/>
      <c r="C245" s="44" t="s">
        <v>62</v>
      </c>
      <c r="D245" s="14">
        <f>1-D244</f>
        <v>5.0000000000000044E-2</v>
      </c>
      <c r="E245" s="14"/>
      <c r="F245" s="14"/>
      <c r="G245" s="29" t="str">
        <f>A248&amp;"="</f>
        <v>β4=</v>
      </c>
      <c r="H245" s="14">
        <f>AG144</f>
        <v>7.5170539749766976E-3</v>
      </c>
      <c r="I245" s="14"/>
      <c r="J245" s="14"/>
      <c r="K245" s="45"/>
      <c r="N245" s="4">
        <f t="shared" si="125"/>
        <v>330</v>
      </c>
      <c r="P245" s="43"/>
      <c r="Q245" s="44" t="s">
        <v>62</v>
      </c>
      <c r="R245" s="14">
        <f>1-R244</f>
        <v>9.9999999999999978E-2</v>
      </c>
      <c r="S245" s="14"/>
      <c r="T245" s="14"/>
      <c r="U245" s="29" t="str">
        <f>A248&amp;"="</f>
        <v>β4=</v>
      </c>
      <c r="V245" s="14">
        <f>H245</f>
        <v>7.5170539749766976E-3</v>
      </c>
      <c r="W245" s="14"/>
      <c r="X245" s="14"/>
      <c r="Y245" s="45"/>
    </row>
    <row r="246" spans="1:25">
      <c r="A246" s="21" t="s">
        <v>83</v>
      </c>
      <c r="B246" s="43"/>
      <c r="C246" s="14"/>
      <c r="D246" s="14">
        <f>ROUND(_xlfn.T.INV(1-D245/2,120-(6+1)),2)</f>
        <v>1.98</v>
      </c>
      <c r="E246" s="14"/>
      <c r="F246" s="14"/>
      <c r="G246" s="14"/>
      <c r="H246" s="14"/>
      <c r="I246" s="14"/>
      <c r="J246" s="14"/>
      <c r="K246" s="45"/>
      <c r="N246" s="4">
        <f t="shared" si="125"/>
        <v>180</v>
      </c>
      <c r="P246" s="43"/>
      <c r="Q246" s="14"/>
      <c r="R246" s="14">
        <f>ROUND(_xlfn.T.INV(1-R245/2,120-(6+1)),2)</f>
        <v>1.66</v>
      </c>
      <c r="S246" s="14"/>
      <c r="T246" s="14"/>
      <c r="U246" s="14"/>
      <c r="V246" s="14"/>
      <c r="W246" s="14"/>
      <c r="X246" s="14"/>
      <c r="Y246" s="45"/>
    </row>
    <row r="247" spans="1:25">
      <c r="A247" s="62" t="s">
        <v>45</v>
      </c>
      <c r="B247" s="43"/>
      <c r="C247" s="14"/>
      <c r="D247" s="14"/>
      <c r="E247" s="14"/>
      <c r="F247" s="14"/>
      <c r="G247" s="14"/>
      <c r="H247" s="14"/>
      <c r="I247" s="14"/>
      <c r="J247" s="14"/>
      <c r="K247" s="45"/>
      <c r="N247" s="4">
        <f t="shared" si="125"/>
        <v>258</v>
      </c>
      <c r="P247" s="43"/>
      <c r="Q247" s="14"/>
      <c r="R247" s="14"/>
      <c r="S247" s="14"/>
      <c r="T247" s="14"/>
      <c r="U247" s="14"/>
      <c r="V247" s="14"/>
      <c r="W247" s="14"/>
      <c r="X247" s="14"/>
      <c r="Y247" s="45"/>
    </row>
    <row r="248" spans="1:25">
      <c r="A248" s="21" t="s">
        <v>90</v>
      </c>
      <c r="B248" s="43"/>
      <c r="C248" s="14"/>
      <c r="D248" s="14">
        <f>D165</f>
        <v>236093.49455618649</v>
      </c>
      <c r="E248" s="14"/>
      <c r="F248" s="14"/>
      <c r="G248" s="14"/>
      <c r="H248" s="14"/>
      <c r="I248" s="14"/>
      <c r="J248" s="14"/>
      <c r="K248" s="45"/>
      <c r="N248" s="4">
        <f t="shared" si="125"/>
        <v>387</v>
      </c>
      <c r="P248" s="43"/>
      <c r="Q248" s="14"/>
      <c r="R248" s="14">
        <f>D165</f>
        <v>236093.49455618649</v>
      </c>
      <c r="S248" s="14"/>
      <c r="T248" s="14"/>
      <c r="U248" s="14"/>
      <c r="V248" s="14"/>
      <c r="W248" s="14"/>
      <c r="X248" s="14"/>
      <c r="Y248" s="45"/>
    </row>
    <row r="249" spans="1:25">
      <c r="A249" s="62"/>
      <c r="B249" s="43"/>
      <c r="C249" s="14"/>
      <c r="D249" s="14"/>
      <c r="E249" s="14"/>
      <c r="F249" s="14"/>
      <c r="G249" s="14"/>
      <c r="H249" s="14"/>
      <c r="I249" s="14"/>
      <c r="J249" s="14"/>
      <c r="K249" s="45"/>
      <c r="N249" s="4">
        <f t="shared" si="125"/>
        <v>373</v>
      </c>
      <c r="P249" s="43"/>
      <c r="Q249" s="14"/>
      <c r="R249" s="14"/>
      <c r="S249" s="14"/>
      <c r="T249" s="14"/>
      <c r="U249" s="14"/>
      <c r="V249" s="14"/>
      <c r="W249" s="14"/>
      <c r="X249" s="14"/>
      <c r="Y249" s="45"/>
    </row>
    <row r="250" spans="1:25">
      <c r="A250" s="62"/>
      <c r="B250" s="43"/>
      <c r="C250" s="14"/>
      <c r="D250" s="14">
        <f>R144</f>
        <v>3.1587176050139956E-11</v>
      </c>
      <c r="E250" s="14"/>
      <c r="F250" s="14"/>
      <c r="G250" s="14"/>
      <c r="H250" s="14"/>
      <c r="I250" s="14"/>
      <c r="J250" s="14"/>
      <c r="K250" s="45"/>
      <c r="N250" s="4">
        <f t="shared" si="125"/>
        <v>377</v>
      </c>
      <c r="P250" s="43"/>
      <c r="Q250" s="14"/>
      <c r="R250" s="14">
        <f>R144</f>
        <v>3.1587176050139956E-11</v>
      </c>
      <c r="S250" s="14"/>
      <c r="T250" s="14"/>
      <c r="U250" s="14"/>
      <c r="V250" s="14"/>
      <c r="W250" s="14"/>
      <c r="X250" s="14"/>
      <c r="Y250" s="45"/>
    </row>
    <row r="251" spans="1:25">
      <c r="A251" s="62"/>
      <c r="B251" s="43"/>
      <c r="C251" s="14"/>
      <c r="D251" s="14"/>
      <c r="E251" s="14"/>
      <c r="F251" s="29" t="s">
        <v>67</v>
      </c>
      <c r="G251" s="14">
        <f>H245-D252</f>
        <v>2.1099763931475167E-3</v>
      </c>
      <c r="H251" s="14"/>
      <c r="I251" s="14"/>
      <c r="J251" s="14"/>
      <c r="K251" s="45"/>
      <c r="N251" s="4">
        <f t="shared" si="125"/>
        <v>406</v>
      </c>
      <c r="P251" s="43"/>
      <c r="Q251" s="14"/>
      <c r="R251" s="14"/>
      <c r="S251" s="14"/>
      <c r="T251" s="29" t="s">
        <v>67</v>
      </c>
      <c r="U251" s="14">
        <f>V245-R252</f>
        <v>2.983847517483546E-3</v>
      </c>
      <c r="V251" s="14"/>
      <c r="W251" s="14"/>
      <c r="X251" s="14"/>
      <c r="Y251" s="45"/>
    </row>
    <row r="252" spans="1:25" ht="13.5" thickBot="1">
      <c r="A252" s="62"/>
      <c r="B252" s="47"/>
      <c r="C252" s="48" t="s">
        <v>60</v>
      </c>
      <c r="D252" s="28">
        <f>D246*SQRT(D248*D250)</f>
        <v>5.4070775818291809E-3</v>
      </c>
      <c r="E252" s="28"/>
      <c r="F252" s="48" t="s">
        <v>68</v>
      </c>
      <c r="G252" s="28">
        <f>H245+D252</f>
        <v>1.2924131556805878E-2</v>
      </c>
      <c r="H252" s="28"/>
      <c r="I252" s="28"/>
      <c r="J252" s="28"/>
      <c r="K252" s="49"/>
      <c r="N252" s="4">
        <f t="shared" si="125"/>
        <v>324</v>
      </c>
      <c r="P252" s="47"/>
      <c r="Q252" s="48" t="s">
        <v>60</v>
      </c>
      <c r="R252" s="28">
        <f>R246*SQRT(R248*R250)</f>
        <v>4.5332064574931516E-3</v>
      </c>
      <c r="S252" s="28"/>
      <c r="T252" s="48" t="s">
        <v>68</v>
      </c>
      <c r="U252" s="28">
        <f>V245+R252</f>
        <v>1.2050260432469848E-2</v>
      </c>
      <c r="V252" s="28"/>
      <c r="W252" s="28"/>
      <c r="X252" s="28"/>
      <c r="Y252" s="49"/>
    </row>
    <row r="253" spans="1:25" ht="13.5" thickBot="1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N253" s="4">
        <f t="shared" si="125"/>
        <v>158</v>
      </c>
      <c r="P253" s="77"/>
      <c r="Q253" s="77"/>
      <c r="R253" s="77"/>
      <c r="S253" s="77"/>
      <c r="T253" s="77"/>
      <c r="U253" s="77"/>
      <c r="V253" s="77"/>
      <c r="W253" s="77"/>
      <c r="X253" s="77"/>
      <c r="Y253" s="77"/>
    </row>
    <row r="254" spans="1:25">
      <c r="A254" s="21" t="s">
        <v>78</v>
      </c>
      <c r="B254" s="39"/>
      <c r="C254" s="40" t="s">
        <v>61</v>
      </c>
      <c r="D254" s="41">
        <v>0.95</v>
      </c>
      <c r="E254" s="41"/>
      <c r="F254" s="41"/>
      <c r="G254" s="41"/>
      <c r="H254" s="41"/>
      <c r="I254" s="41"/>
      <c r="J254" s="41"/>
      <c r="K254" s="42"/>
      <c r="N254" s="4">
        <f t="shared" si="125"/>
        <v>268</v>
      </c>
      <c r="P254" s="39"/>
      <c r="Q254" s="40" t="s">
        <v>61</v>
      </c>
      <c r="R254" s="41">
        <v>0.9</v>
      </c>
      <c r="S254" s="41"/>
      <c r="T254" s="41"/>
      <c r="U254" s="41"/>
      <c r="V254" s="41"/>
      <c r="W254" s="41"/>
      <c r="X254" s="41"/>
      <c r="Y254" s="42"/>
    </row>
    <row r="255" spans="1:25">
      <c r="A255" s="62" t="s">
        <v>82</v>
      </c>
      <c r="B255" s="43"/>
      <c r="C255" s="44" t="s">
        <v>62</v>
      </c>
      <c r="D255" s="14">
        <f>1-D254</f>
        <v>5.0000000000000044E-2</v>
      </c>
      <c r="E255" s="14"/>
      <c r="F255" s="14"/>
      <c r="G255" s="29" t="str">
        <f>A258&amp;"="</f>
        <v>β5=</v>
      </c>
      <c r="H255" s="14">
        <f>AG145</f>
        <v>65808.11190271785</v>
      </c>
      <c r="I255" s="14"/>
      <c r="J255" s="14"/>
      <c r="K255" s="45"/>
      <c r="N255" s="4">
        <f t="shared" si="125"/>
        <v>485</v>
      </c>
      <c r="P255" s="43"/>
      <c r="Q255" s="44" t="s">
        <v>62</v>
      </c>
      <c r="R255" s="14">
        <f>1-R254</f>
        <v>9.9999999999999978E-2</v>
      </c>
      <c r="S255" s="14"/>
      <c r="T255" s="14"/>
      <c r="U255" s="29" t="str">
        <f>A258&amp;"="</f>
        <v>β5=</v>
      </c>
      <c r="V255" s="14">
        <f>H255</f>
        <v>65808.11190271785</v>
      </c>
      <c r="W255" s="14"/>
      <c r="X255" s="14"/>
      <c r="Y255" s="45"/>
    </row>
    <row r="256" spans="1:25">
      <c r="A256" s="21" t="s">
        <v>83</v>
      </c>
      <c r="B256" s="43"/>
      <c r="C256" s="14"/>
      <c r="D256" s="14">
        <f>ROUND(_xlfn.T.INV(1-D255/2,120-(6+1)),2)</f>
        <v>1.98</v>
      </c>
      <c r="E256" s="14"/>
      <c r="F256" s="14"/>
      <c r="G256" s="14"/>
      <c r="H256" s="14"/>
      <c r="I256" s="14"/>
      <c r="J256" s="14"/>
      <c r="K256" s="45"/>
      <c r="N256" s="4">
        <f t="shared" si="125"/>
        <v>436</v>
      </c>
      <c r="P256" s="43"/>
      <c r="Q256" s="14"/>
      <c r="R256" s="14">
        <f>ROUND(_xlfn.T.INV(1-R255/2,120-(6+1)),2)</f>
        <v>1.66</v>
      </c>
      <c r="S256" s="14"/>
      <c r="T256" s="14"/>
      <c r="U256" s="14"/>
      <c r="V256" s="14"/>
      <c r="W256" s="14"/>
      <c r="X256" s="14"/>
      <c r="Y256" s="45"/>
    </row>
    <row r="257" spans="1:25">
      <c r="A257" s="62" t="s">
        <v>45</v>
      </c>
      <c r="B257" s="43"/>
      <c r="C257" s="14"/>
      <c r="D257" s="14"/>
      <c r="E257" s="14"/>
      <c r="F257" s="14"/>
      <c r="G257" s="14"/>
      <c r="H257" s="14"/>
      <c r="I257" s="14"/>
      <c r="J257" s="14"/>
      <c r="K257" s="45"/>
      <c r="N257" s="4">
        <f t="shared" si="125"/>
        <v>450</v>
      </c>
      <c r="P257" s="43"/>
      <c r="Q257" s="14"/>
      <c r="R257" s="14"/>
      <c r="S257" s="14"/>
      <c r="T257" s="14"/>
      <c r="U257" s="14"/>
      <c r="V257" s="14"/>
      <c r="W257" s="14"/>
      <c r="X257" s="14"/>
      <c r="Y257" s="45"/>
    </row>
    <row r="258" spans="1:25">
      <c r="A258" s="21" t="s">
        <v>89</v>
      </c>
      <c r="B258" s="43"/>
      <c r="C258" s="14"/>
      <c r="D258" s="14">
        <f>D165</f>
        <v>236093.49455618649</v>
      </c>
      <c r="E258" s="14"/>
      <c r="F258" s="14"/>
      <c r="G258" s="14"/>
      <c r="H258" s="14"/>
      <c r="I258" s="14"/>
      <c r="J258" s="14"/>
      <c r="K258" s="45"/>
      <c r="N258" s="4">
        <f t="shared" si="125"/>
        <v>469</v>
      </c>
      <c r="P258" s="43"/>
      <c r="Q258" s="14"/>
      <c r="R258" s="14">
        <f>D165</f>
        <v>236093.49455618649</v>
      </c>
      <c r="S258" s="14"/>
      <c r="T258" s="14"/>
      <c r="U258" s="14"/>
      <c r="V258" s="14"/>
      <c r="W258" s="14"/>
      <c r="X258" s="14"/>
      <c r="Y258" s="45"/>
    </row>
    <row r="259" spans="1:25">
      <c r="A259" s="62"/>
      <c r="B259" s="43"/>
      <c r="C259" s="14"/>
      <c r="D259" s="14"/>
      <c r="E259" s="14"/>
      <c r="F259" s="14"/>
      <c r="G259" s="14"/>
      <c r="H259" s="14"/>
      <c r="I259" s="14"/>
      <c r="J259" s="14"/>
      <c r="K259" s="45"/>
      <c r="N259" s="4">
        <f t="shared" si="125"/>
        <v>334</v>
      </c>
      <c r="P259" s="43"/>
      <c r="Q259" s="14"/>
      <c r="R259" s="14"/>
      <c r="S259" s="14"/>
      <c r="T259" s="14"/>
      <c r="U259" s="14"/>
      <c r="V259" s="14"/>
      <c r="W259" s="14"/>
      <c r="X259" s="14"/>
      <c r="Y259" s="45"/>
    </row>
    <row r="260" spans="1:25">
      <c r="A260" s="62"/>
      <c r="B260" s="43"/>
      <c r="C260" s="14"/>
      <c r="D260" s="14">
        <f>S145</f>
        <v>209.57514003671596</v>
      </c>
      <c r="E260" s="14"/>
      <c r="F260" s="14"/>
      <c r="G260" s="14"/>
      <c r="H260" s="14"/>
      <c r="I260" s="14"/>
      <c r="J260" s="14"/>
      <c r="K260" s="45"/>
      <c r="N260" s="4">
        <f t="shared" si="125"/>
        <v>199</v>
      </c>
      <c r="P260" s="43"/>
      <c r="Q260" s="14"/>
      <c r="R260" s="14">
        <f>S145</f>
        <v>209.57514003671596</v>
      </c>
      <c r="S260" s="14"/>
      <c r="T260" s="14"/>
      <c r="U260" s="14"/>
      <c r="V260" s="14"/>
      <c r="W260" s="14"/>
      <c r="X260" s="14"/>
      <c r="Y260" s="45"/>
    </row>
    <row r="261" spans="1:25">
      <c r="A261" s="62"/>
      <c r="B261" s="43"/>
      <c r="C261" s="14"/>
      <c r="D261" s="14"/>
      <c r="E261" s="14"/>
      <c r="F261" s="29" t="s">
        <v>67</v>
      </c>
      <c r="G261" s="14">
        <f>H255-D262</f>
        <v>51880.486322968609</v>
      </c>
      <c r="H261" s="14"/>
      <c r="I261" s="14"/>
      <c r="J261" s="14"/>
      <c r="K261" s="45"/>
      <c r="N261" s="4">
        <f t="shared" si="125"/>
        <v>386</v>
      </c>
      <c r="P261" s="43"/>
      <c r="Q261" s="14"/>
      <c r="R261" s="14"/>
      <c r="S261" s="14"/>
      <c r="T261" s="29" t="s">
        <v>67</v>
      </c>
      <c r="U261" s="14">
        <f>V255-R262</f>
        <v>54131.415709594745</v>
      </c>
      <c r="V261" s="14"/>
      <c r="W261" s="14"/>
      <c r="X261" s="14"/>
      <c r="Y261" s="45"/>
    </row>
    <row r="262" spans="1:25" ht="13.5" thickBot="1">
      <c r="A262" s="62"/>
      <c r="B262" s="47"/>
      <c r="C262" s="48" t="s">
        <v>60</v>
      </c>
      <c r="D262" s="28">
        <f>D256*SQRT(D258*D260)</f>
        <v>13927.625579749241</v>
      </c>
      <c r="E262" s="28"/>
      <c r="F262" s="48" t="s">
        <v>68</v>
      </c>
      <c r="G262" s="28">
        <f>H255+D262</f>
        <v>79735.737482467084</v>
      </c>
      <c r="H262" s="28"/>
      <c r="I262" s="28"/>
      <c r="J262" s="28"/>
      <c r="K262" s="49"/>
      <c r="N262" s="4">
        <f t="shared" si="125"/>
        <v>511</v>
      </c>
      <c r="P262" s="47"/>
      <c r="Q262" s="48" t="s">
        <v>60</v>
      </c>
      <c r="R262" s="28">
        <f>R256*SQRT(R258*R260)</f>
        <v>11676.696193123102</v>
      </c>
      <c r="S262" s="28"/>
      <c r="T262" s="48" t="s">
        <v>68</v>
      </c>
      <c r="U262" s="28">
        <f>V255+R262</f>
        <v>77484.808095840956</v>
      </c>
      <c r="V262" s="28"/>
      <c r="W262" s="28"/>
      <c r="X262" s="28"/>
      <c r="Y262" s="49"/>
    </row>
    <row r="263" spans="1:25" ht="13.5" thickBot="1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N263" s="4">
        <f t="shared" si="125"/>
        <v>451</v>
      </c>
      <c r="P263" s="77"/>
      <c r="Q263" s="77"/>
      <c r="R263" s="77"/>
      <c r="S263" s="77"/>
      <c r="T263" s="77"/>
      <c r="U263" s="77"/>
      <c r="V263" s="77"/>
      <c r="W263" s="77"/>
      <c r="X263" s="77"/>
      <c r="Y263" s="77"/>
    </row>
    <row r="264" spans="1:25">
      <c r="A264" s="21" t="s">
        <v>78</v>
      </c>
      <c r="B264" s="39"/>
      <c r="C264" s="40" t="s">
        <v>61</v>
      </c>
      <c r="D264" s="41">
        <v>0.95</v>
      </c>
      <c r="E264" s="41"/>
      <c r="F264" s="41"/>
      <c r="G264" s="41"/>
      <c r="H264" s="41"/>
      <c r="I264" s="41"/>
      <c r="J264" s="41"/>
      <c r="K264" s="42"/>
      <c r="N264" s="4">
        <f t="shared" si="125"/>
        <v>559</v>
      </c>
      <c r="P264" s="39"/>
      <c r="Q264" s="40" t="s">
        <v>61</v>
      </c>
      <c r="R264" s="41">
        <v>0.9</v>
      </c>
      <c r="S264" s="41"/>
      <c r="T264" s="41"/>
      <c r="U264" s="41"/>
      <c r="V264" s="41"/>
      <c r="W264" s="41"/>
      <c r="X264" s="41"/>
      <c r="Y264" s="42"/>
    </row>
    <row r="265" spans="1:25">
      <c r="A265" s="62" t="s">
        <v>82</v>
      </c>
      <c r="B265" s="43"/>
      <c r="C265" s="44" t="s">
        <v>62</v>
      </c>
      <c r="D265" s="14">
        <f>1-D264</f>
        <v>5.0000000000000044E-2</v>
      </c>
      <c r="E265" s="14"/>
      <c r="F265" s="14"/>
      <c r="G265" s="29" t="str">
        <f>A268&amp;"="</f>
        <v>β6=</v>
      </c>
      <c r="H265" s="14">
        <f>AG146</f>
        <v>3.1872297061130532E-5</v>
      </c>
      <c r="I265" s="14"/>
      <c r="J265" s="14"/>
      <c r="K265" s="45"/>
      <c r="N265" s="4">
        <f t="shared" si="125"/>
        <v>523</v>
      </c>
      <c r="P265" s="43"/>
      <c r="Q265" s="44" t="s">
        <v>62</v>
      </c>
      <c r="R265" s="14">
        <f>1-R264</f>
        <v>9.9999999999999978E-2</v>
      </c>
      <c r="S265" s="14"/>
      <c r="T265" s="14"/>
      <c r="U265" s="29" t="str">
        <f>A268&amp;"="</f>
        <v>β6=</v>
      </c>
      <c r="V265" s="14">
        <f>H265</f>
        <v>3.1872297061130532E-5</v>
      </c>
      <c r="W265" s="14"/>
      <c r="X265" s="14"/>
      <c r="Y265" s="45"/>
    </row>
    <row r="266" spans="1:25">
      <c r="A266" s="21" t="s">
        <v>83</v>
      </c>
      <c r="B266" s="43"/>
      <c r="C266" s="14"/>
      <c r="D266" s="14">
        <f>ROUND(_xlfn.T.INV(1-D265/2,120-(6+1)),2)</f>
        <v>1.98</v>
      </c>
      <c r="E266" s="14"/>
      <c r="F266" s="14"/>
      <c r="G266" s="14"/>
      <c r="H266" s="14"/>
      <c r="I266" s="14"/>
      <c r="J266" s="14"/>
      <c r="K266" s="45"/>
      <c r="N266" s="4">
        <f t="shared" si="125"/>
        <v>413</v>
      </c>
      <c r="P266" s="43"/>
      <c r="Q266" s="14"/>
      <c r="R266" s="14">
        <f>ROUND(_xlfn.T.INV(1-R265/2,120-(6+1)),2)</f>
        <v>1.66</v>
      </c>
      <c r="S266" s="14"/>
      <c r="T266" s="14"/>
      <c r="U266" s="14"/>
      <c r="V266" s="14"/>
      <c r="W266" s="14"/>
      <c r="X266" s="14"/>
      <c r="Y266" s="45"/>
    </row>
    <row r="267" spans="1:25">
      <c r="A267" s="62" t="s">
        <v>45</v>
      </c>
      <c r="B267" s="43"/>
      <c r="C267" s="14"/>
      <c r="D267" s="14"/>
      <c r="E267" s="14"/>
      <c r="F267" s="14"/>
      <c r="G267" s="14"/>
      <c r="H267" s="14"/>
      <c r="I267" s="14"/>
      <c r="J267" s="14"/>
      <c r="K267" s="45"/>
      <c r="N267" s="4">
        <f t="shared" si="125"/>
        <v>241</v>
      </c>
      <c r="P267" s="43"/>
      <c r="Q267" s="14"/>
      <c r="R267" s="14"/>
      <c r="S267" s="14"/>
      <c r="T267" s="14"/>
      <c r="U267" s="14"/>
      <c r="V267" s="14"/>
      <c r="W267" s="14"/>
      <c r="X267" s="14"/>
      <c r="Y267" s="45"/>
    </row>
    <row r="268" spans="1:25">
      <c r="A268" s="21" t="s">
        <v>88</v>
      </c>
      <c r="B268" s="43"/>
      <c r="C268" s="14"/>
      <c r="D268" s="14">
        <f>D165</f>
        <v>236093.49455618649</v>
      </c>
      <c r="E268" s="14"/>
      <c r="F268" s="14"/>
      <c r="G268" s="14"/>
      <c r="H268" s="14"/>
      <c r="I268" s="14"/>
      <c r="J268" s="14"/>
      <c r="K268" s="45"/>
      <c r="N268" s="4">
        <f t="shared" si="125"/>
        <v>375</v>
      </c>
      <c r="P268" s="43"/>
      <c r="Q268" s="14"/>
      <c r="R268" s="14">
        <f>D165</f>
        <v>236093.49455618649</v>
      </c>
      <c r="S268" s="14"/>
      <c r="T268" s="14"/>
      <c r="U268" s="14"/>
      <c r="V268" s="14"/>
      <c r="W268" s="14"/>
      <c r="X268" s="14"/>
      <c r="Y268" s="45"/>
    </row>
    <row r="269" spans="1:25">
      <c r="A269" s="62"/>
      <c r="B269" s="43"/>
      <c r="C269" s="14"/>
      <c r="D269" s="14"/>
      <c r="E269" s="14"/>
      <c r="F269" s="14"/>
      <c r="G269" s="14"/>
      <c r="H269" s="14"/>
      <c r="I269" s="14"/>
      <c r="J269" s="14"/>
      <c r="K269" s="45"/>
      <c r="N269" s="4">
        <f t="shared" si="125"/>
        <v>594</v>
      </c>
      <c r="P269" s="43"/>
      <c r="Q269" s="14"/>
      <c r="R269" s="14"/>
      <c r="S269" s="14"/>
      <c r="T269" s="14"/>
      <c r="U269" s="14"/>
      <c r="V269" s="14"/>
      <c r="W269" s="14"/>
      <c r="X269" s="14"/>
      <c r="Y269" s="45"/>
    </row>
    <row r="270" spans="1:25">
      <c r="A270" s="62"/>
      <c r="B270" s="43"/>
      <c r="C270" s="14"/>
      <c r="D270" s="14">
        <f>T146</f>
        <v>1.0103437898552161E-13</v>
      </c>
      <c r="E270" s="14"/>
      <c r="F270" s="14"/>
      <c r="G270" s="14"/>
      <c r="H270" s="14"/>
      <c r="I270" s="14"/>
      <c r="J270" s="14"/>
      <c r="K270" s="45"/>
      <c r="N270" s="4">
        <f t="shared" si="125"/>
        <v>572</v>
      </c>
      <c r="P270" s="43"/>
      <c r="Q270" s="14"/>
      <c r="R270" s="14">
        <f>T146</f>
        <v>1.0103437898552161E-13</v>
      </c>
      <c r="S270" s="14"/>
      <c r="T270" s="14"/>
      <c r="U270" s="14"/>
      <c r="V270" s="14"/>
      <c r="W270" s="14"/>
      <c r="X270" s="14"/>
      <c r="Y270" s="45"/>
    </row>
    <row r="271" spans="1:25">
      <c r="A271" s="62"/>
      <c r="B271" s="43"/>
      <c r="C271" s="14"/>
      <c r="D271" s="14"/>
      <c r="E271" s="14"/>
      <c r="F271" s="29" t="s">
        <v>67</v>
      </c>
      <c r="G271" s="14">
        <f>H265-D272</f>
        <v>-2.7393073607533992E-4</v>
      </c>
      <c r="H271" s="14"/>
      <c r="I271" s="14"/>
      <c r="J271" s="14"/>
      <c r="K271" s="45"/>
      <c r="N271" s="4">
        <f t="shared" si="125"/>
        <v>598</v>
      </c>
      <c r="P271" s="43"/>
      <c r="Q271" s="14"/>
      <c r="R271" s="14"/>
      <c r="S271" s="14"/>
      <c r="T271" s="29" t="s">
        <v>67</v>
      </c>
      <c r="U271" s="14">
        <f>V265-R272</f>
        <v>-2.2450802364924364E-4</v>
      </c>
      <c r="V271" s="14"/>
      <c r="W271" s="14"/>
      <c r="X271" s="14"/>
      <c r="Y271" s="45"/>
    </row>
    <row r="272" spans="1:25" ht="13.5" thickBot="1">
      <c r="A272" s="62"/>
      <c r="B272" s="47"/>
      <c r="C272" s="48" t="s">
        <v>60</v>
      </c>
      <c r="D272" s="28">
        <f>D266*SQRT(D268*D270)</f>
        <v>3.0580303313647045E-4</v>
      </c>
      <c r="E272" s="28"/>
      <c r="F272" s="48" t="s">
        <v>68</v>
      </c>
      <c r="G272" s="28">
        <f>H265+D272</f>
        <v>3.3767533019760099E-4</v>
      </c>
      <c r="H272" s="28"/>
      <c r="I272" s="28"/>
      <c r="J272" s="28"/>
      <c r="K272" s="49"/>
      <c r="N272" s="4">
        <f t="shared" si="125"/>
        <v>609</v>
      </c>
      <c r="P272" s="47"/>
      <c r="Q272" s="48" t="s">
        <v>60</v>
      </c>
      <c r="R272" s="28">
        <f>R266*SQRT(R268*R270)</f>
        <v>2.5638032071037417E-4</v>
      </c>
      <c r="S272" s="28"/>
      <c r="T272" s="48" t="s">
        <v>68</v>
      </c>
      <c r="U272" s="28">
        <f>V265+R272</f>
        <v>2.8825261777150471E-4</v>
      </c>
      <c r="V272" s="28"/>
      <c r="W272" s="28"/>
      <c r="X272" s="28"/>
      <c r="Y272" s="49"/>
    </row>
    <row r="273" spans="1:25">
      <c r="N273" s="4">
        <f t="shared" si="125"/>
        <v>445</v>
      </c>
    </row>
    <row r="274" spans="1:25">
      <c r="N274" s="4">
        <f t="shared" si="125"/>
        <v>435</v>
      </c>
    </row>
    <row r="275" spans="1:25" ht="13.5" thickBot="1"/>
    <row r="276" spans="1:25" ht="13.5" thickBot="1">
      <c r="P276" s="39"/>
      <c r="Q276" s="40" t="s">
        <v>61</v>
      </c>
      <c r="R276" s="41">
        <v>0.9</v>
      </c>
      <c r="S276" s="41"/>
      <c r="T276" s="64" t="s">
        <v>95</v>
      </c>
      <c r="U276" s="41">
        <f>G277</f>
        <v>0.82</v>
      </c>
      <c r="V276" s="41" t="str">
        <f t="shared" ref="V276:V278" si="126">H277</f>
        <v>x4=</v>
      </c>
      <c r="W276" s="41">
        <f t="shared" ref="W276:W278" si="127">I277</f>
        <v>47369</v>
      </c>
      <c r="X276" s="41"/>
      <c r="Y276" s="42">
        <f>K277</f>
        <v>236093.49455618649</v>
      </c>
    </row>
    <row r="277" spans="1:25">
      <c r="A277" s="21" t="s">
        <v>78</v>
      </c>
      <c r="B277" s="39"/>
      <c r="C277" s="40" t="s">
        <v>61</v>
      </c>
      <c r="D277" s="41">
        <v>0.95</v>
      </c>
      <c r="E277" s="41"/>
      <c r="F277" s="64" t="s">
        <v>95</v>
      </c>
      <c r="G277" s="41">
        <f>N16</f>
        <v>0.82</v>
      </c>
      <c r="H277" s="74" t="s">
        <v>134</v>
      </c>
      <c r="I277" s="41">
        <f>Q16</f>
        <v>47369</v>
      </c>
      <c r="J277" s="41"/>
      <c r="K277" s="42">
        <f>D165</f>
        <v>236093.49455618649</v>
      </c>
      <c r="L277" s="68"/>
      <c r="M277" s="68"/>
      <c r="N277" s="68"/>
      <c r="O277" s="68"/>
      <c r="P277" s="43"/>
      <c r="Q277" s="44" t="s">
        <v>62</v>
      </c>
      <c r="R277" s="14">
        <f>1-R276</f>
        <v>9.9999999999999978E-2</v>
      </c>
      <c r="S277" s="14"/>
      <c r="T277" s="29" t="s">
        <v>96</v>
      </c>
      <c r="U277" s="14">
        <f t="shared" ref="U277:U278" si="128">G278</f>
        <v>865</v>
      </c>
      <c r="V277" s="14" t="str">
        <f t="shared" si="126"/>
        <v>x5=</v>
      </c>
      <c r="W277" s="14">
        <f t="shared" si="127"/>
        <v>0.2036</v>
      </c>
      <c r="X277" s="14"/>
      <c r="Y277" s="45"/>
    </row>
    <row r="278" spans="1:25">
      <c r="A278" s="21" t="s">
        <v>91</v>
      </c>
      <c r="B278" s="43"/>
      <c r="C278" s="44" t="s">
        <v>62</v>
      </c>
      <c r="D278" s="14">
        <f>1-D277</f>
        <v>5.0000000000000044E-2</v>
      </c>
      <c r="E278" s="14"/>
      <c r="F278" s="29" t="s">
        <v>96</v>
      </c>
      <c r="G278" s="14">
        <f>O16</f>
        <v>865</v>
      </c>
      <c r="H278" s="73" t="s">
        <v>135</v>
      </c>
      <c r="I278" s="14">
        <f>R16</f>
        <v>0.2036</v>
      </c>
      <c r="J278" s="14"/>
      <c r="K278" s="45"/>
      <c r="L278" s="68"/>
      <c r="M278" s="68"/>
      <c r="N278" s="68"/>
      <c r="O278" s="68"/>
      <c r="P278" s="43"/>
      <c r="Q278" s="14"/>
      <c r="R278" s="14">
        <f>ROUND(_xlfn.T.INV(1-R277/2,120-(6+1)),2)</f>
        <v>1.66</v>
      </c>
      <c r="S278" s="14"/>
      <c r="T278" s="29" t="s">
        <v>97</v>
      </c>
      <c r="U278" s="14">
        <f t="shared" si="128"/>
        <v>6869</v>
      </c>
      <c r="V278" s="14" t="str">
        <f t="shared" si="126"/>
        <v>x6=</v>
      </c>
      <c r="W278" s="14">
        <f t="shared" si="127"/>
        <v>80488</v>
      </c>
      <c r="X278" s="14"/>
      <c r="Y278" s="4">
        <f>Q280</f>
        <v>1</v>
      </c>
    </row>
    <row r="279" spans="1:25">
      <c r="A279" s="21" t="s">
        <v>92</v>
      </c>
      <c r="B279" s="43"/>
      <c r="C279" s="14"/>
      <c r="D279" s="14">
        <f>ROUND(_xlfn.T.INV(1-D278/2,120-(6+1)),2)</f>
        <v>1.98</v>
      </c>
      <c r="E279" s="14"/>
      <c r="F279" s="29" t="s">
        <v>97</v>
      </c>
      <c r="G279" s="14">
        <f>P16</f>
        <v>6869</v>
      </c>
      <c r="H279" s="73" t="s">
        <v>136</v>
      </c>
      <c r="I279" s="14">
        <f>S16</f>
        <v>80488</v>
      </c>
      <c r="J279" s="14"/>
      <c r="K279" s="4">
        <f>C281</f>
        <v>1</v>
      </c>
      <c r="L279" s="68"/>
      <c r="M279" s="68"/>
      <c r="N279" s="68"/>
      <c r="O279" s="68"/>
      <c r="P279" s="43"/>
      <c r="Q279" s="14"/>
      <c r="R279" s="14"/>
      <c r="S279" s="14"/>
      <c r="T279" s="73"/>
      <c r="U279" s="14"/>
      <c r="V279" s="14"/>
      <c r="W279" s="14"/>
      <c r="X279" s="14"/>
      <c r="Y279" s="4">
        <f>R280</f>
        <v>0.82</v>
      </c>
    </row>
    <row r="280" spans="1:25">
      <c r="A280" s="21" t="s">
        <v>93</v>
      </c>
      <c r="B280" s="43"/>
      <c r="C280" s="14"/>
      <c r="D280" s="14"/>
      <c r="E280" s="14"/>
      <c r="F280" s="73"/>
      <c r="G280" s="14"/>
      <c r="H280" s="14"/>
      <c r="I280" s="14"/>
      <c r="J280" s="14"/>
      <c r="K280" s="4">
        <f>D281</f>
        <v>0.82</v>
      </c>
      <c r="L280" s="68"/>
      <c r="M280" s="68"/>
      <c r="N280" s="68"/>
      <c r="O280" s="68"/>
      <c r="P280" s="43"/>
      <c r="Q280" s="4">
        <v>1</v>
      </c>
      <c r="R280" s="4">
        <f>D281</f>
        <v>0.82</v>
      </c>
      <c r="S280" s="4">
        <f t="shared" ref="S280:W280" si="129">E281</f>
        <v>865</v>
      </c>
      <c r="T280" s="4">
        <f t="shared" si="129"/>
        <v>6869</v>
      </c>
      <c r="U280" s="4">
        <f t="shared" si="129"/>
        <v>47369</v>
      </c>
      <c r="V280" s="4">
        <f t="shared" si="129"/>
        <v>0.2036</v>
      </c>
      <c r="W280" s="4">
        <f t="shared" si="129"/>
        <v>80488</v>
      </c>
      <c r="X280" s="14"/>
      <c r="Y280" s="4">
        <f>S280</f>
        <v>865</v>
      </c>
    </row>
    <row r="281" spans="1:25">
      <c r="A281" s="21" t="s">
        <v>94</v>
      </c>
      <c r="B281" s="43"/>
      <c r="C281" s="4">
        <v>1</v>
      </c>
      <c r="D281" s="4">
        <f t="shared" ref="D281:I281" si="130">N16</f>
        <v>0.82</v>
      </c>
      <c r="E281" s="4">
        <f t="shared" si="130"/>
        <v>865</v>
      </c>
      <c r="F281" s="4">
        <f t="shared" si="130"/>
        <v>6869</v>
      </c>
      <c r="G281" s="4">
        <f t="shared" si="130"/>
        <v>47369</v>
      </c>
      <c r="H281" s="4">
        <f t="shared" si="130"/>
        <v>0.2036</v>
      </c>
      <c r="I281" s="4">
        <f t="shared" si="130"/>
        <v>80488</v>
      </c>
      <c r="J281" s="14"/>
      <c r="K281" s="4">
        <f>E281</f>
        <v>865</v>
      </c>
      <c r="L281" s="68"/>
      <c r="M281" s="68"/>
      <c r="N281" s="68"/>
      <c r="O281" s="68"/>
      <c r="P281" s="43"/>
      <c r="Q281" s="14"/>
      <c r="R281" s="14"/>
      <c r="S281" s="14"/>
      <c r="T281" s="73"/>
      <c r="U281" s="14"/>
      <c r="V281" s="14"/>
      <c r="W281" s="14"/>
      <c r="X281" s="14"/>
      <c r="Y281" s="4">
        <f>T280</f>
        <v>6869</v>
      </c>
    </row>
    <row r="282" spans="1:25">
      <c r="A282" s="68"/>
      <c r="B282" s="43"/>
      <c r="C282" s="14"/>
      <c r="D282" s="14"/>
      <c r="E282" s="14"/>
      <c r="F282" s="73"/>
      <c r="G282" s="14"/>
      <c r="H282" s="14"/>
      <c r="I282" s="14"/>
      <c r="J282" s="14"/>
      <c r="K282" s="4">
        <f>F281</f>
        <v>6869</v>
      </c>
      <c r="L282" s="68"/>
      <c r="M282" s="68"/>
      <c r="N282" s="68"/>
      <c r="O282" s="68"/>
      <c r="P282" s="43"/>
      <c r="Q282" s="14"/>
      <c r="R282" s="14">
        <f>ROUND(MMULT(C295:I295,AG140:AG146),4)</f>
        <v>7335.5956999999999</v>
      </c>
      <c r="S282" s="14"/>
      <c r="T282" s="14"/>
      <c r="U282" s="14"/>
      <c r="V282" s="14"/>
      <c r="W282" s="14"/>
      <c r="X282" s="14"/>
      <c r="Y282" s="4">
        <f>U280</f>
        <v>47369</v>
      </c>
    </row>
    <row r="283" spans="1:25">
      <c r="A283" s="68"/>
      <c r="B283" s="43"/>
      <c r="C283" s="14"/>
      <c r="D283" s="14">
        <f>ROUND(MMULT(C295:I295,AG140:AG146),4)</f>
        <v>7335.5956999999999</v>
      </c>
      <c r="E283" s="14"/>
      <c r="F283" s="14"/>
      <c r="G283" s="14"/>
      <c r="H283" s="14"/>
      <c r="I283" s="14"/>
      <c r="J283" s="14"/>
      <c r="K283" s="4">
        <f>G281</f>
        <v>47369</v>
      </c>
      <c r="L283" s="68"/>
      <c r="M283" s="68"/>
      <c r="N283" s="68"/>
      <c r="O283" s="68"/>
      <c r="P283" s="43"/>
      <c r="Q283" s="14"/>
      <c r="R283" s="14"/>
      <c r="S283" s="14"/>
      <c r="T283" s="14"/>
      <c r="U283" s="14"/>
      <c r="V283" s="14"/>
      <c r="W283" s="14"/>
      <c r="X283" s="14"/>
      <c r="Y283" s="4">
        <f>V280</f>
        <v>0.2036</v>
      </c>
    </row>
    <row r="284" spans="1:25">
      <c r="A284" s="68"/>
      <c r="B284" s="43"/>
      <c r="C284" s="14"/>
      <c r="D284" s="14"/>
      <c r="E284" s="14"/>
      <c r="F284" s="14"/>
      <c r="G284" s="14"/>
      <c r="H284" s="14"/>
      <c r="I284" s="14"/>
      <c r="J284" s="14"/>
      <c r="K284" s="4">
        <f>H281</f>
        <v>0.2036</v>
      </c>
      <c r="L284" s="68"/>
      <c r="M284" s="68"/>
      <c r="N284" s="68"/>
      <c r="O284" s="68"/>
      <c r="P284" s="43"/>
      <c r="Q284" s="14"/>
      <c r="R284" s="14">
        <f>MMULT(MMULT(C295:I295,N140:T146),K293:K299)</f>
        <v>0.21447257451281512</v>
      </c>
      <c r="S284" s="14"/>
      <c r="T284" s="14"/>
      <c r="U284" s="14"/>
      <c r="V284" s="14"/>
      <c r="W284" s="14"/>
      <c r="X284" s="14"/>
      <c r="Y284" s="4">
        <f>W280</f>
        <v>80488</v>
      </c>
    </row>
    <row r="285" spans="1:25">
      <c r="A285" s="68"/>
      <c r="B285" s="43"/>
      <c r="C285" s="14"/>
      <c r="D285" s="14">
        <f>MMULT(MMULT(C295:I295,N140:T146),K293:K299)</f>
        <v>0.21447257451281512</v>
      </c>
      <c r="E285" s="14"/>
      <c r="F285" s="14"/>
      <c r="G285" s="14"/>
      <c r="H285" s="14"/>
      <c r="I285" s="14"/>
      <c r="J285" s="14"/>
      <c r="K285" s="4">
        <f>I281</f>
        <v>80488</v>
      </c>
      <c r="L285" s="68"/>
      <c r="M285" s="68"/>
      <c r="N285" s="68"/>
      <c r="O285" s="68"/>
      <c r="P285" s="43"/>
      <c r="Q285" s="14"/>
      <c r="R285" s="14"/>
      <c r="S285" s="14"/>
      <c r="T285" s="14"/>
      <c r="U285" s="14"/>
      <c r="V285" s="14"/>
      <c r="W285" s="14"/>
      <c r="X285" s="14"/>
      <c r="Y285" s="45"/>
    </row>
    <row r="286" spans="1:25">
      <c r="A286" s="68"/>
      <c r="B286" s="43"/>
      <c r="C286" s="14"/>
      <c r="D286" s="14"/>
      <c r="E286" s="14"/>
      <c r="F286" s="14"/>
      <c r="G286" s="14"/>
      <c r="H286" s="14"/>
      <c r="I286" s="14"/>
      <c r="J286" s="14"/>
      <c r="K286" s="45"/>
      <c r="L286" s="68"/>
      <c r="M286" s="68"/>
      <c r="N286" s="68"/>
      <c r="O286" s="68"/>
      <c r="P286" s="43"/>
      <c r="Q286" s="14"/>
      <c r="R286" s="14">
        <f>Y276*R284</f>
        <v>50635.579603192615</v>
      </c>
      <c r="S286" s="14"/>
      <c r="T286" s="14"/>
      <c r="U286" s="14"/>
      <c r="V286" s="14"/>
      <c r="W286" s="14"/>
      <c r="X286" s="14"/>
      <c r="Y286" s="45"/>
    </row>
    <row r="287" spans="1:25" ht="15.75">
      <c r="A287" s="68"/>
      <c r="B287" s="43"/>
      <c r="C287" s="14"/>
      <c r="D287" s="14">
        <f>K277*D285</f>
        <v>50635.579603192615</v>
      </c>
      <c r="E287" s="14"/>
      <c r="F287" s="14"/>
      <c r="G287" s="14"/>
      <c r="H287" s="14"/>
      <c r="I287" s="14"/>
      <c r="J287" s="14"/>
      <c r="K287" s="45"/>
      <c r="L287" s="68"/>
      <c r="M287" s="68"/>
      <c r="N287" s="68"/>
      <c r="O287" s="68"/>
      <c r="P287" s="43"/>
      <c r="Q287" s="14"/>
      <c r="R287" s="14"/>
      <c r="S287" s="14"/>
      <c r="T287" s="29" t="s">
        <v>67</v>
      </c>
      <c r="U287" s="14">
        <f>R282-R288</f>
        <v>6962.0567000000001</v>
      </c>
      <c r="V287" s="14"/>
      <c r="W287" s="14" t="s">
        <v>139</v>
      </c>
      <c r="X287" s="75" t="str">
        <f>"]"&amp;U287&amp;";"&amp;U288&amp;"["</f>
        <v>]6962,0567;7709,1347[</v>
      </c>
      <c r="Y287" s="45"/>
    </row>
    <row r="288" spans="1:25" ht="16.5" thickBot="1">
      <c r="A288" s="68"/>
      <c r="B288" s="43"/>
      <c r="C288" s="14"/>
      <c r="D288" s="14"/>
      <c r="E288" s="14"/>
      <c r="F288" s="29" t="s">
        <v>67</v>
      </c>
      <c r="G288" s="14">
        <f>D283-D289</f>
        <v>6890.0491999999995</v>
      </c>
      <c r="H288" s="14"/>
      <c r="I288" s="14" t="s">
        <v>98</v>
      </c>
      <c r="J288" s="75" t="str">
        <f>"]"&amp;G288&amp;";"&amp;G289&amp;"["</f>
        <v>]6890,0492;7781,1422[</v>
      </c>
      <c r="K288" s="45"/>
      <c r="L288" s="68"/>
      <c r="M288" s="68"/>
      <c r="N288" s="68"/>
      <c r="O288" s="68"/>
      <c r="P288" s="47"/>
      <c r="Q288" s="48" t="s">
        <v>60</v>
      </c>
      <c r="R288" s="28">
        <f>ROUND(R278*SQRT(R286),4)</f>
        <v>373.53899999999999</v>
      </c>
      <c r="S288" s="28"/>
      <c r="T288" s="48" t="s">
        <v>68</v>
      </c>
      <c r="U288" s="28">
        <f>R282+R288</f>
        <v>7709.1346999999996</v>
      </c>
      <c r="V288" s="28"/>
      <c r="W288" s="28"/>
      <c r="X288" s="28"/>
      <c r="Y288" s="49"/>
    </row>
    <row r="289" spans="1:25" ht="13.5" thickBot="1">
      <c r="A289" s="68"/>
      <c r="B289" s="47"/>
      <c r="C289" s="48" t="s">
        <v>60</v>
      </c>
      <c r="D289" s="28">
        <f>ROUND(D279*SQRT(D287),4)</f>
        <v>445.54649999999998</v>
      </c>
      <c r="E289" s="28"/>
      <c r="F289" s="48" t="s">
        <v>68</v>
      </c>
      <c r="G289" s="28">
        <f>D283+D289</f>
        <v>7781.1422000000002</v>
      </c>
      <c r="H289" s="28"/>
      <c r="I289" s="28"/>
      <c r="J289" s="28"/>
      <c r="K289" s="49"/>
      <c r="L289" s="68"/>
      <c r="M289" s="68"/>
      <c r="N289" s="68"/>
      <c r="O289" s="68"/>
      <c r="P289" s="77"/>
      <c r="Q289" s="77"/>
      <c r="R289" s="77"/>
      <c r="S289" s="77"/>
      <c r="T289" s="77"/>
      <c r="U289" s="77"/>
      <c r="V289" s="77"/>
      <c r="W289" s="77"/>
      <c r="X289" s="77"/>
      <c r="Y289" s="77"/>
    </row>
    <row r="290" spans="1:25" ht="13.5" thickBot="1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39"/>
      <c r="Q290" s="40" t="s">
        <v>61</v>
      </c>
      <c r="R290" s="41">
        <v>0.9</v>
      </c>
      <c r="S290" s="41"/>
      <c r="T290" s="64" t="s">
        <v>95</v>
      </c>
      <c r="U290" s="41">
        <f>U276</f>
        <v>0.82</v>
      </c>
      <c r="V290" s="74" t="s">
        <v>134</v>
      </c>
      <c r="W290" s="41">
        <f>W276</f>
        <v>47369</v>
      </c>
      <c r="X290" s="41"/>
      <c r="Y290" s="42">
        <f>K291</f>
        <v>236093.49455618649</v>
      </c>
    </row>
    <row r="291" spans="1:25">
      <c r="A291" s="21" t="s">
        <v>78</v>
      </c>
      <c r="B291" s="39"/>
      <c r="C291" s="40" t="s">
        <v>61</v>
      </c>
      <c r="D291" s="41">
        <v>0.95</v>
      </c>
      <c r="E291" s="41"/>
      <c r="F291" s="64" t="s">
        <v>95</v>
      </c>
      <c r="G291" s="41">
        <f>G277</f>
        <v>0.82</v>
      </c>
      <c r="H291" s="74" t="s">
        <v>134</v>
      </c>
      <c r="I291" s="41">
        <f>I277</f>
        <v>47369</v>
      </c>
      <c r="J291" s="41"/>
      <c r="K291" s="42">
        <f>D165</f>
        <v>236093.49455618649</v>
      </c>
      <c r="L291" s="68"/>
      <c r="M291" s="68"/>
      <c r="N291" s="68"/>
      <c r="O291" s="68"/>
      <c r="P291" s="43"/>
      <c r="Q291" s="44" t="s">
        <v>62</v>
      </c>
      <c r="R291" s="14">
        <f>1-R290</f>
        <v>9.9999999999999978E-2</v>
      </c>
      <c r="S291" s="14"/>
      <c r="T291" s="29" t="s">
        <v>96</v>
      </c>
      <c r="U291" s="14">
        <f>U277</f>
        <v>865</v>
      </c>
      <c r="V291" s="73" t="s">
        <v>135</v>
      </c>
      <c r="W291" s="14">
        <f>W277</f>
        <v>0.2036</v>
      </c>
      <c r="X291" s="14"/>
      <c r="Y291" s="45"/>
    </row>
    <row r="292" spans="1:25">
      <c r="A292" s="21" t="s">
        <v>99</v>
      </c>
      <c r="B292" s="43"/>
      <c r="C292" s="44" t="s">
        <v>62</v>
      </c>
      <c r="D292" s="14">
        <f>1-D291</f>
        <v>5.0000000000000044E-2</v>
      </c>
      <c r="E292" s="14"/>
      <c r="F292" s="29" t="s">
        <v>96</v>
      </c>
      <c r="G292" s="14">
        <f>G278</f>
        <v>865</v>
      </c>
      <c r="H292" s="73" t="s">
        <v>135</v>
      </c>
      <c r="I292" s="14">
        <f>I278</f>
        <v>0.2036</v>
      </c>
      <c r="J292" s="14"/>
      <c r="K292" s="45"/>
      <c r="L292" s="68"/>
      <c r="M292" s="68"/>
      <c r="N292" s="68"/>
      <c r="O292" s="68"/>
      <c r="P292" s="43"/>
      <c r="Q292" s="14"/>
      <c r="R292" s="14">
        <f>ROUND(_xlfn.T.INV(1-R291/2,120-(6+1)),2)</f>
        <v>1.66</v>
      </c>
      <c r="S292" s="14"/>
      <c r="T292" s="29" t="s">
        <v>97</v>
      </c>
      <c r="U292" s="14">
        <f>U278</f>
        <v>6869</v>
      </c>
      <c r="V292" s="73" t="s">
        <v>136</v>
      </c>
      <c r="W292" s="14">
        <f>W278</f>
        <v>80488</v>
      </c>
      <c r="X292" s="14"/>
      <c r="Y292" s="4">
        <f>Q294</f>
        <v>1</v>
      </c>
    </row>
    <row r="293" spans="1:25">
      <c r="A293" s="21" t="s">
        <v>100</v>
      </c>
      <c r="B293" s="43"/>
      <c r="C293" s="14"/>
      <c r="D293" s="14">
        <f>ROUND(_xlfn.T.INV(1-D292/2,120-(6+1)),2)</f>
        <v>1.98</v>
      </c>
      <c r="E293" s="14"/>
      <c r="F293" s="29" t="s">
        <v>97</v>
      </c>
      <c r="G293" s="14">
        <f>G279</f>
        <v>6869</v>
      </c>
      <c r="H293" s="73" t="s">
        <v>136</v>
      </c>
      <c r="I293" s="14">
        <f>I279</f>
        <v>80488</v>
      </c>
      <c r="J293" s="14"/>
      <c r="K293" s="4">
        <f>C295</f>
        <v>1</v>
      </c>
      <c r="L293" s="68"/>
      <c r="M293" s="68"/>
      <c r="N293" s="68"/>
      <c r="O293" s="68"/>
      <c r="P293" s="43"/>
      <c r="Q293" s="14"/>
      <c r="R293" s="14"/>
      <c r="S293" s="14"/>
      <c r="T293" s="73"/>
      <c r="U293" s="14"/>
      <c r="V293" s="14"/>
      <c r="W293" s="14"/>
      <c r="X293" s="14"/>
      <c r="Y293" s="4">
        <f>R294</f>
        <v>0.82</v>
      </c>
    </row>
    <row r="294" spans="1:25">
      <c r="A294" s="21" t="s">
        <v>101</v>
      </c>
      <c r="B294" s="43"/>
      <c r="C294" s="14"/>
      <c r="D294" s="14"/>
      <c r="E294" s="14"/>
      <c r="F294" s="73"/>
      <c r="G294" s="14"/>
      <c r="H294" s="14"/>
      <c r="I294" s="14"/>
      <c r="J294" s="14"/>
      <c r="K294" s="4">
        <f>D295</f>
        <v>0.82</v>
      </c>
      <c r="L294" s="68"/>
      <c r="M294" s="68"/>
      <c r="N294" s="68"/>
      <c r="O294" s="68"/>
      <c r="P294" s="43"/>
      <c r="Q294" s="4">
        <v>1</v>
      </c>
      <c r="R294" s="4">
        <f>D295</f>
        <v>0.82</v>
      </c>
      <c r="S294" s="4">
        <f t="shared" ref="S294" si="131">E295</f>
        <v>865</v>
      </c>
      <c r="T294" s="4">
        <f t="shared" ref="T294" si="132">F295</f>
        <v>6869</v>
      </c>
      <c r="U294" s="4">
        <f t="shared" ref="U294" si="133">G295</f>
        <v>47369</v>
      </c>
      <c r="V294" s="4">
        <f t="shared" ref="V294" si="134">H295</f>
        <v>0.2036</v>
      </c>
      <c r="W294" s="4">
        <f t="shared" ref="W294" si="135">I295</f>
        <v>80488</v>
      </c>
      <c r="X294" s="14"/>
      <c r="Y294" s="4">
        <f>S294</f>
        <v>865</v>
      </c>
    </row>
    <row r="295" spans="1:25">
      <c r="A295" s="21" t="s">
        <v>102</v>
      </c>
      <c r="B295" s="43"/>
      <c r="C295" s="4">
        <v>1</v>
      </c>
      <c r="D295" s="4">
        <f t="shared" ref="D295:I295" si="136">N16</f>
        <v>0.82</v>
      </c>
      <c r="E295" s="4">
        <f t="shared" si="136"/>
        <v>865</v>
      </c>
      <c r="F295" s="4">
        <f t="shared" si="136"/>
        <v>6869</v>
      </c>
      <c r="G295" s="4">
        <f t="shared" si="136"/>
        <v>47369</v>
      </c>
      <c r="H295" s="4">
        <f t="shared" si="136"/>
        <v>0.2036</v>
      </c>
      <c r="I295" s="4">
        <f t="shared" si="136"/>
        <v>80488</v>
      </c>
      <c r="J295" s="14"/>
      <c r="K295" s="4">
        <f>E295</f>
        <v>865</v>
      </c>
      <c r="L295" s="68"/>
      <c r="M295" s="68"/>
      <c r="N295" s="68"/>
      <c r="O295" s="68"/>
      <c r="P295" s="43"/>
      <c r="Q295" s="14"/>
      <c r="R295" s="14"/>
      <c r="S295" s="14"/>
      <c r="T295" s="73"/>
      <c r="U295" s="14"/>
      <c r="V295" s="14"/>
      <c r="W295" s="14"/>
      <c r="X295" s="14"/>
      <c r="Y295" s="4">
        <f>T294</f>
        <v>6869</v>
      </c>
    </row>
    <row r="296" spans="1:25">
      <c r="A296" s="21" t="s">
        <v>94</v>
      </c>
      <c r="B296" s="43"/>
      <c r="C296" s="14"/>
      <c r="D296" s="14"/>
      <c r="E296" s="14"/>
      <c r="F296" s="73"/>
      <c r="G296" s="14"/>
      <c r="H296" s="14"/>
      <c r="I296" s="14"/>
      <c r="J296" s="14"/>
      <c r="K296" s="4">
        <f>F295</f>
        <v>6869</v>
      </c>
      <c r="L296" s="68"/>
      <c r="M296" s="68"/>
      <c r="N296" s="68"/>
      <c r="O296" s="68"/>
      <c r="P296" s="43"/>
      <c r="Q296" s="14"/>
      <c r="R296" s="14">
        <f>ROUND(MMULT(C295:I295,AG140:AG146),4)</f>
        <v>7335.5956999999999</v>
      </c>
      <c r="S296" s="14"/>
      <c r="T296" s="14"/>
      <c r="U296" s="14"/>
      <c r="V296" s="14"/>
      <c r="W296" s="14"/>
      <c r="X296" s="14"/>
      <c r="Y296" s="4">
        <f>U294</f>
        <v>47369</v>
      </c>
    </row>
    <row r="297" spans="1:25">
      <c r="A297" s="68"/>
      <c r="B297" s="43"/>
      <c r="C297" s="14"/>
      <c r="D297" s="14">
        <f>ROUND(MMULT(C295:I295,AG140:AG146),4)</f>
        <v>7335.5956999999999</v>
      </c>
      <c r="E297" s="14"/>
      <c r="F297" s="14"/>
      <c r="G297" s="14"/>
      <c r="H297" s="14"/>
      <c r="I297" s="14"/>
      <c r="J297" s="14"/>
      <c r="K297" s="4">
        <f>G295</f>
        <v>47369</v>
      </c>
      <c r="L297" s="68"/>
      <c r="M297" s="68"/>
      <c r="N297" s="68"/>
      <c r="O297" s="68"/>
      <c r="P297" s="43"/>
      <c r="Q297" s="14"/>
      <c r="R297" s="14"/>
      <c r="S297" s="14"/>
      <c r="T297" s="14"/>
      <c r="U297" s="14"/>
      <c r="V297" s="14"/>
      <c r="W297" s="14"/>
      <c r="X297" s="14"/>
      <c r="Y297" s="4">
        <f>V294</f>
        <v>0.2036</v>
      </c>
    </row>
    <row r="298" spans="1:25">
      <c r="A298" s="68"/>
      <c r="B298" s="43"/>
      <c r="C298" s="14"/>
      <c r="D298" s="14"/>
      <c r="E298" s="14"/>
      <c r="F298" s="14"/>
      <c r="G298" s="14"/>
      <c r="H298" s="14"/>
      <c r="I298" s="14"/>
      <c r="J298" s="14"/>
      <c r="K298" s="4">
        <f>H295</f>
        <v>0.2036</v>
      </c>
      <c r="L298" s="68"/>
      <c r="M298" s="68"/>
      <c r="N298" s="68"/>
      <c r="O298" s="68"/>
      <c r="P298" s="43"/>
      <c r="Q298" s="14"/>
      <c r="R298" s="14">
        <f>MMULT(MMULT(C295:I295,N140:T146),K293:K299)</f>
        <v>0.21447257451281512</v>
      </c>
      <c r="S298" s="14"/>
      <c r="T298" s="14"/>
      <c r="U298" s="14"/>
      <c r="V298" s="14"/>
      <c r="W298" s="14"/>
      <c r="X298" s="14"/>
      <c r="Y298" s="4">
        <f>W294</f>
        <v>80488</v>
      </c>
    </row>
    <row r="299" spans="1:25">
      <c r="A299" s="68"/>
      <c r="B299" s="43"/>
      <c r="C299" s="14"/>
      <c r="D299" s="14">
        <f>MMULT(MMULT(C295:I295,N140:T146),K293:K299)</f>
        <v>0.21447257451281512</v>
      </c>
      <c r="E299" s="14"/>
      <c r="F299" s="14"/>
      <c r="G299" s="14"/>
      <c r="H299" s="14"/>
      <c r="I299" s="14"/>
      <c r="J299" s="14"/>
      <c r="K299" s="4">
        <f>I295</f>
        <v>80488</v>
      </c>
      <c r="L299" s="68"/>
      <c r="M299" s="68"/>
      <c r="N299" s="68"/>
      <c r="O299" s="68"/>
      <c r="P299" s="43"/>
      <c r="Q299" s="14"/>
      <c r="R299" s="14"/>
      <c r="S299" s="14"/>
      <c r="T299" s="14"/>
      <c r="U299" s="14"/>
      <c r="V299" s="14"/>
      <c r="W299" s="14"/>
      <c r="X299" s="14"/>
      <c r="Y299" s="45"/>
    </row>
    <row r="300" spans="1:25">
      <c r="A300" s="68"/>
      <c r="B300" s="43"/>
      <c r="C300" s="14"/>
      <c r="D300" s="14"/>
      <c r="E300" s="14"/>
      <c r="F300" s="14"/>
      <c r="G300" s="14"/>
      <c r="H300" s="14"/>
      <c r="I300" s="14"/>
      <c r="J300" s="14"/>
      <c r="K300" s="45"/>
      <c r="L300" s="68"/>
      <c r="M300" s="68"/>
      <c r="N300" s="68"/>
      <c r="O300" s="68"/>
      <c r="P300" s="43"/>
      <c r="Q300" s="14"/>
      <c r="R300" s="14">
        <f>Y290*(1+R298)</f>
        <v>286729.07415937912</v>
      </c>
      <c r="S300" s="14"/>
      <c r="T300" s="14"/>
      <c r="U300" s="14"/>
      <c r="V300" s="14"/>
      <c r="W300" s="14"/>
      <c r="X300" s="14"/>
      <c r="Y300" s="45"/>
    </row>
    <row r="301" spans="1:25" ht="15.75">
      <c r="A301" s="68"/>
      <c r="B301" s="43"/>
      <c r="C301" s="14"/>
      <c r="D301" s="14">
        <f>K291*(1+D299)</f>
        <v>286729.07415937912</v>
      </c>
      <c r="E301" s="14"/>
      <c r="F301" s="14"/>
      <c r="G301" s="14"/>
      <c r="H301" s="14"/>
      <c r="I301" s="14"/>
      <c r="J301" s="14"/>
      <c r="K301" s="45"/>
      <c r="L301" s="68"/>
      <c r="M301" s="68"/>
      <c r="N301" s="68"/>
      <c r="O301" s="68"/>
      <c r="P301" s="43"/>
      <c r="Q301" s="14"/>
      <c r="R301" s="14"/>
      <c r="S301" s="14"/>
      <c r="T301" s="29" t="s">
        <v>67</v>
      </c>
      <c r="U301" s="14">
        <f>R296-R302</f>
        <v>6446.7139999999999</v>
      </c>
      <c r="V301" s="14"/>
      <c r="W301" s="14" t="s">
        <v>139</v>
      </c>
      <c r="X301" s="75" t="str">
        <f>"]"&amp;U301&amp;";"&amp;U302&amp;"["</f>
        <v>]6446,714;8224,4774[</v>
      </c>
      <c r="Y301" s="45"/>
    </row>
    <row r="302" spans="1:25" ht="16.5" thickBot="1">
      <c r="A302" s="68"/>
      <c r="B302" s="43"/>
      <c r="C302" s="14"/>
      <c r="D302" s="14"/>
      <c r="E302" s="14"/>
      <c r="F302" s="29" t="s">
        <v>67</v>
      </c>
      <c r="G302" s="14">
        <f>D297-D303</f>
        <v>6275.3633</v>
      </c>
      <c r="H302" s="14"/>
      <c r="I302" s="14" t="s">
        <v>98</v>
      </c>
      <c r="J302" s="75" t="str">
        <f>"]"&amp;G302&amp;";"&amp;G303&amp;"["</f>
        <v>]6275,3633;8395,8281[</v>
      </c>
      <c r="K302" s="45"/>
      <c r="L302" s="68"/>
      <c r="M302" s="68"/>
      <c r="N302" s="68"/>
      <c r="O302" s="68"/>
      <c r="P302" s="47"/>
      <c r="Q302" s="48" t="s">
        <v>60</v>
      </c>
      <c r="R302" s="28">
        <f>ROUND(R292*SQRT(R300),4)</f>
        <v>888.88170000000002</v>
      </c>
      <c r="S302" s="28"/>
      <c r="T302" s="48" t="s">
        <v>68</v>
      </c>
      <c r="U302" s="28">
        <f>R296+R302</f>
        <v>8224.4773999999998</v>
      </c>
      <c r="V302" s="28"/>
      <c r="W302" s="28"/>
      <c r="X302" s="28"/>
      <c r="Y302" s="49"/>
    </row>
    <row r="303" spans="1:25" ht="13.5" thickBot="1">
      <c r="A303" s="68"/>
      <c r="B303" s="47"/>
      <c r="C303" s="48" t="s">
        <v>60</v>
      </c>
      <c r="D303" s="28">
        <f>ROUND(D293*SQRT(D301),4)</f>
        <v>1060.2324000000001</v>
      </c>
      <c r="E303" s="28"/>
      <c r="F303" s="48" t="s">
        <v>68</v>
      </c>
      <c r="G303" s="28">
        <f>D297+D303</f>
        <v>8395.8281000000006</v>
      </c>
      <c r="H303" s="28"/>
      <c r="I303" s="28"/>
      <c r="J303" s="28"/>
      <c r="K303" s="49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</row>
    <row r="304" spans="1:25" ht="13.5" thickBot="1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</row>
    <row r="305" spans="1:26">
      <c r="A305" s="68"/>
      <c r="B305" s="39"/>
      <c r="C305" s="41"/>
      <c r="D305" s="41"/>
      <c r="E305" s="41"/>
      <c r="F305" s="41"/>
      <c r="G305" s="41"/>
      <c r="H305" s="41"/>
      <c r="I305" s="41"/>
      <c r="J305" s="41"/>
      <c r="K305" s="41"/>
      <c r="L305" s="42"/>
      <c r="M305" s="68"/>
      <c r="N305" s="68"/>
      <c r="O305" s="68"/>
      <c r="P305" s="39"/>
      <c r="Q305" s="41"/>
      <c r="R305" s="41"/>
      <c r="S305" s="41"/>
      <c r="T305" s="41"/>
      <c r="U305" s="41"/>
      <c r="V305" s="41"/>
      <c r="W305" s="41"/>
      <c r="X305" s="41"/>
      <c r="Y305" s="41"/>
      <c r="Z305" s="42"/>
    </row>
    <row r="306" spans="1:26">
      <c r="A306" s="21" t="s">
        <v>103</v>
      </c>
      <c r="B306" s="43"/>
      <c r="C306" s="14"/>
      <c r="D306" s="14"/>
      <c r="E306" s="14"/>
      <c r="F306" s="14"/>
      <c r="G306" s="29" t="str">
        <f>A309&amp;"="</f>
        <v>β0=</v>
      </c>
      <c r="H306" s="14">
        <f>AG140</f>
        <v>-987.4208364797455</v>
      </c>
      <c r="I306" s="14"/>
      <c r="J306" s="14"/>
      <c r="K306" s="14"/>
      <c r="L306" s="45"/>
      <c r="M306" s="68"/>
      <c r="N306" s="68"/>
      <c r="O306" s="68"/>
      <c r="P306" s="43"/>
      <c r="Q306" s="14"/>
      <c r="R306" s="14"/>
      <c r="S306" s="14"/>
      <c r="T306" s="14"/>
      <c r="U306" s="29" t="str">
        <f>G306</f>
        <v>β0=</v>
      </c>
      <c r="V306" s="29">
        <f>H306</f>
        <v>-987.4208364797455</v>
      </c>
      <c r="W306" s="14"/>
      <c r="X306" s="14"/>
      <c r="Y306" s="14"/>
      <c r="Z306" s="45"/>
    </row>
    <row r="307" spans="1:26">
      <c r="A307" s="21" t="s">
        <v>83</v>
      </c>
      <c r="B307" s="43"/>
      <c r="C307" s="14"/>
      <c r="D307" s="14"/>
      <c r="E307" s="14"/>
      <c r="F307" s="14"/>
      <c r="G307" s="14"/>
      <c r="H307" s="14"/>
      <c r="I307" s="14"/>
      <c r="J307" s="14"/>
      <c r="K307" s="14"/>
      <c r="L307" s="45"/>
      <c r="M307" s="68"/>
      <c r="N307" s="68"/>
      <c r="O307" s="68"/>
      <c r="P307" s="43"/>
      <c r="Q307" s="14"/>
      <c r="R307" s="14"/>
      <c r="S307" s="14"/>
      <c r="T307" s="14"/>
      <c r="U307" s="14"/>
      <c r="V307" s="14"/>
      <c r="W307" s="14"/>
      <c r="X307" s="14"/>
      <c r="Y307" s="14"/>
      <c r="Z307" s="45"/>
    </row>
    <row r="308" spans="1:26">
      <c r="A308" s="21" t="s">
        <v>104</v>
      </c>
      <c r="B308" s="43"/>
      <c r="C308" s="14"/>
      <c r="D308" s="14"/>
      <c r="E308" s="14"/>
      <c r="F308" s="14"/>
      <c r="G308" s="14"/>
      <c r="H308" s="14">
        <f>N140</f>
        <v>1.7104622040486324</v>
      </c>
      <c r="I308" s="14"/>
      <c r="J308" s="14"/>
      <c r="K308" s="14"/>
      <c r="L308" s="45"/>
      <c r="M308" s="68"/>
      <c r="N308" s="68"/>
      <c r="O308" s="68"/>
      <c r="P308" s="43"/>
      <c r="Q308" s="14"/>
      <c r="R308" s="14"/>
      <c r="S308" s="14"/>
      <c r="T308" s="14"/>
      <c r="U308" s="14"/>
      <c r="V308" s="29">
        <f>H308</f>
        <v>1.7104622040486324</v>
      </c>
      <c r="W308" s="14"/>
      <c r="X308" s="14"/>
      <c r="Y308" s="14"/>
      <c r="Z308" s="45"/>
    </row>
    <row r="309" spans="1:26">
      <c r="A309" s="21" t="s">
        <v>84</v>
      </c>
      <c r="B309" s="43"/>
      <c r="C309" s="14"/>
      <c r="D309" s="14"/>
      <c r="E309" s="14"/>
      <c r="F309" s="14"/>
      <c r="G309" s="14"/>
      <c r="H309" s="14"/>
      <c r="I309" s="14"/>
      <c r="J309" s="14"/>
      <c r="K309" s="14"/>
      <c r="L309" s="45"/>
      <c r="M309" s="68"/>
      <c r="N309" s="68"/>
      <c r="O309" s="68"/>
      <c r="P309" s="43"/>
      <c r="Q309" s="14"/>
      <c r="R309" s="14"/>
      <c r="S309" s="14"/>
      <c r="T309" s="14"/>
      <c r="U309" s="14"/>
      <c r="V309" s="14"/>
      <c r="W309" s="14"/>
      <c r="X309" s="14"/>
      <c r="Y309" s="14"/>
      <c r="Z309" s="45"/>
    </row>
    <row r="310" spans="1:26">
      <c r="A310" s="68"/>
      <c r="B310" s="43"/>
      <c r="C310" s="14"/>
      <c r="D310" s="14"/>
      <c r="E310" s="14"/>
      <c r="F310" s="14"/>
      <c r="G310" s="14"/>
      <c r="H310" s="14"/>
      <c r="I310" s="14"/>
      <c r="J310" s="14"/>
      <c r="K310" s="14"/>
      <c r="L310" s="45"/>
      <c r="M310" s="68"/>
      <c r="N310" s="68"/>
      <c r="O310" s="68"/>
      <c r="P310" s="43"/>
      <c r="Q310" s="14"/>
      <c r="R310" s="14"/>
      <c r="S310" s="14"/>
      <c r="T310" s="14"/>
      <c r="U310" s="14"/>
      <c r="V310" s="14"/>
      <c r="W310" s="14"/>
      <c r="X310" s="14"/>
      <c r="Y310" s="14"/>
      <c r="Z310" s="45"/>
    </row>
    <row r="311" spans="1:26">
      <c r="A311" s="68"/>
      <c r="B311" s="43"/>
      <c r="C311" s="14">
        <f>D165</f>
        <v>236093.49455618649</v>
      </c>
      <c r="D311" s="14"/>
      <c r="E311" s="14"/>
      <c r="F311" s="14"/>
      <c r="G311" s="14"/>
      <c r="H311" s="14"/>
      <c r="I311" s="14"/>
      <c r="J311" s="14"/>
      <c r="K311" s="14"/>
      <c r="L311" s="45"/>
      <c r="M311" s="68"/>
      <c r="N311" s="68"/>
      <c r="O311" s="68"/>
      <c r="P311" s="43"/>
      <c r="Q311" s="14">
        <f>C311</f>
        <v>236093.49455618649</v>
      </c>
      <c r="R311" s="14"/>
      <c r="S311" s="14"/>
      <c r="T311" s="14"/>
      <c r="U311" s="14"/>
      <c r="V311" s="14"/>
      <c r="W311" s="14"/>
      <c r="X311" s="14"/>
      <c r="Y311" s="14"/>
      <c r="Z311" s="45"/>
    </row>
    <row r="312" spans="1:26">
      <c r="A312" s="68"/>
      <c r="B312" s="43"/>
      <c r="C312" s="14"/>
      <c r="D312" s="14"/>
      <c r="E312" s="14"/>
      <c r="F312" s="14"/>
      <c r="G312" s="14"/>
      <c r="H312" s="14"/>
      <c r="I312" s="14"/>
      <c r="J312" s="14"/>
      <c r="K312" s="14"/>
      <c r="L312" s="45"/>
      <c r="M312" s="68"/>
      <c r="N312" s="68"/>
      <c r="O312" s="68"/>
      <c r="P312" s="43"/>
      <c r="Q312" s="14"/>
      <c r="R312" s="14"/>
      <c r="S312" s="14"/>
      <c r="T312" s="14"/>
      <c r="U312" s="14"/>
      <c r="V312" s="14"/>
      <c r="W312" s="14"/>
      <c r="X312" s="14"/>
      <c r="Y312" s="14"/>
      <c r="Z312" s="45"/>
    </row>
    <row r="313" spans="1:26">
      <c r="A313" s="68"/>
      <c r="B313" s="43"/>
      <c r="C313" s="44" t="s">
        <v>105</v>
      </c>
      <c r="D313" s="14">
        <v>0.05</v>
      </c>
      <c r="E313" s="14"/>
      <c r="F313" s="14"/>
      <c r="G313" s="29" t="s">
        <v>108</v>
      </c>
      <c r="H313" s="14" t="str">
        <f>"]-∞;-"&amp;ROUND(D315,4)&amp;"[ U ]"&amp;ROUND(D315,4)&amp;";+∞["</f>
        <v>]-∞;-1,98[ U ]1,98;+∞[</v>
      </c>
      <c r="I313" s="14"/>
      <c r="J313" s="14"/>
      <c r="K313" s="14"/>
      <c r="L313" s="45"/>
      <c r="M313" s="68"/>
      <c r="N313" s="68"/>
      <c r="O313" s="68"/>
      <c r="P313" s="43"/>
      <c r="Q313" s="44" t="s">
        <v>105</v>
      </c>
      <c r="R313" s="14">
        <v>0.01</v>
      </c>
      <c r="S313" s="14"/>
      <c r="T313" s="14"/>
      <c r="U313" s="29" t="s">
        <v>108</v>
      </c>
      <c r="V313" s="14" t="str">
        <f>"]-∞;-"&amp;ROUND(R315,4)&amp;"[ U ]"&amp;ROUND(R315,4)&amp;";+∞["</f>
        <v>]-∞;-2,62[ U ]2,62;+∞[</v>
      </c>
      <c r="W313" s="14"/>
      <c r="X313" s="14"/>
      <c r="Y313" s="14"/>
      <c r="Z313" s="45"/>
    </row>
    <row r="314" spans="1:26">
      <c r="A314" s="68"/>
      <c r="B314" s="43"/>
      <c r="C314" s="44"/>
      <c r="D314" s="14"/>
      <c r="E314" s="14"/>
      <c r="F314" s="14"/>
      <c r="G314" s="14"/>
      <c r="H314" s="14"/>
      <c r="I314" s="14"/>
      <c r="J314" s="14"/>
      <c r="K314" s="14"/>
      <c r="L314" s="45"/>
      <c r="M314" s="68"/>
      <c r="N314" s="68"/>
      <c r="O314" s="68"/>
      <c r="P314" s="43"/>
      <c r="Q314" s="44"/>
      <c r="R314" s="14"/>
      <c r="S314" s="14"/>
      <c r="T314" s="14"/>
      <c r="U314" s="14"/>
      <c r="V314" s="14"/>
      <c r="W314" s="14"/>
      <c r="X314" s="14"/>
      <c r="Y314" s="14"/>
      <c r="Z314" s="45"/>
    </row>
    <row r="315" spans="1:26">
      <c r="A315" s="68"/>
      <c r="B315" s="43"/>
      <c r="C315" s="14"/>
      <c r="D315" s="14">
        <f>ROUND(_xlfn.T.INV(1-D313/2,120-(6+1)),2)</f>
        <v>1.98</v>
      </c>
      <c r="E315" s="14"/>
      <c r="F315" s="14"/>
      <c r="G315" s="14"/>
      <c r="H315" s="14"/>
      <c r="I315" s="14"/>
      <c r="J315" s="14"/>
      <c r="K315" s="14"/>
      <c r="L315" s="45"/>
      <c r="M315" s="68"/>
      <c r="N315" s="68"/>
      <c r="O315" s="68"/>
      <c r="P315" s="43"/>
      <c r="Q315" s="14"/>
      <c r="R315" s="14">
        <f>ROUND(_xlfn.T.INV(1-R313/2,120-(6+1)),2)</f>
        <v>2.62</v>
      </c>
      <c r="S315" s="14"/>
      <c r="T315" s="14"/>
      <c r="U315" s="14"/>
      <c r="V315" s="14"/>
      <c r="W315" s="14"/>
      <c r="X315" s="14"/>
      <c r="Y315" s="14"/>
      <c r="Z315" s="45"/>
    </row>
    <row r="316" spans="1:26">
      <c r="A316" s="68"/>
      <c r="B316" s="43"/>
      <c r="C316" s="29"/>
      <c r="D316" s="14"/>
      <c r="E316" s="14"/>
      <c r="F316" s="14"/>
      <c r="G316" s="14"/>
      <c r="H316" s="14"/>
      <c r="I316" s="14"/>
      <c r="J316" s="14"/>
      <c r="K316" s="14"/>
      <c r="L316" s="45"/>
      <c r="M316" s="68"/>
      <c r="N316" s="68"/>
      <c r="O316" s="68"/>
      <c r="P316" s="43"/>
      <c r="Q316" s="29"/>
      <c r="R316" s="14"/>
      <c r="S316" s="14"/>
      <c r="T316" s="14"/>
      <c r="U316" s="14"/>
      <c r="V316" s="14"/>
      <c r="W316" s="14"/>
      <c r="X316" s="14"/>
      <c r="Y316" s="14"/>
      <c r="Z316" s="45"/>
    </row>
    <row r="317" spans="1:26">
      <c r="A317" s="68"/>
      <c r="B317" s="43"/>
      <c r="C317" s="14"/>
      <c r="D317" s="14"/>
      <c r="E317" s="14"/>
      <c r="F317" s="14"/>
      <c r="G317" s="14"/>
      <c r="H317" s="14"/>
      <c r="I317" s="14"/>
      <c r="J317" s="14"/>
      <c r="K317" s="14"/>
      <c r="L317" s="45"/>
      <c r="M317" s="68"/>
      <c r="N317" s="68"/>
      <c r="O317" s="68"/>
      <c r="P317" s="43"/>
      <c r="Q317" s="14"/>
      <c r="R317" s="14"/>
      <c r="S317" s="14"/>
      <c r="T317" s="14"/>
      <c r="U317" s="14"/>
      <c r="V317" s="14"/>
      <c r="W317" s="14"/>
      <c r="X317" s="14"/>
      <c r="Y317" s="14"/>
      <c r="Z317" s="45"/>
    </row>
    <row r="318" spans="1:26">
      <c r="A318" s="68"/>
      <c r="B318" s="43"/>
      <c r="C318" s="14"/>
      <c r="D318" s="14"/>
      <c r="E318" s="14"/>
      <c r="F318" s="14"/>
      <c r="G318" s="14"/>
      <c r="H318" s="14"/>
      <c r="I318" s="14"/>
      <c r="J318" s="14"/>
      <c r="K318" s="14"/>
      <c r="L318" s="45"/>
      <c r="M318" s="68"/>
      <c r="N318" s="68"/>
      <c r="O318" s="68"/>
      <c r="P318" s="43"/>
      <c r="Q318" s="14"/>
      <c r="R318" s="14"/>
      <c r="S318" s="14"/>
      <c r="T318" s="14"/>
      <c r="U318" s="14"/>
      <c r="V318" s="14"/>
      <c r="W318" s="14"/>
      <c r="X318" s="14"/>
      <c r="Y318" s="14"/>
      <c r="Z318" s="45"/>
    </row>
    <row r="319" spans="1:26">
      <c r="A319" s="68"/>
      <c r="B319" s="43"/>
      <c r="C319" s="29" t="s">
        <v>106</v>
      </c>
      <c r="D319" s="14">
        <f>ROUND(H306/SQRT(C311*H308),4)</f>
        <v>-1.5538000000000001</v>
      </c>
      <c r="E319" s="14"/>
      <c r="F319" s="14"/>
      <c r="G319" s="14"/>
      <c r="H319" s="14"/>
      <c r="I319" s="14"/>
      <c r="J319" s="14"/>
      <c r="K319" s="14"/>
      <c r="L319" s="45"/>
      <c r="M319" s="68"/>
      <c r="N319" s="68"/>
      <c r="O319" s="68"/>
      <c r="P319" s="43"/>
      <c r="Q319" s="29" t="s">
        <v>106</v>
      </c>
      <c r="R319" s="14">
        <f>ROUND(V306/SQRT(Q311*V308),4)</f>
        <v>-1.5538000000000001</v>
      </c>
      <c r="S319" s="14"/>
      <c r="T319" s="14"/>
      <c r="U319" s="14"/>
      <c r="V319" s="14"/>
      <c r="W319" s="14"/>
      <c r="X319" s="14"/>
      <c r="Y319" s="14"/>
      <c r="Z319" s="45"/>
    </row>
    <row r="320" spans="1:26">
      <c r="A320" s="68"/>
      <c r="B320" s="43"/>
      <c r="C320" s="29" t="s">
        <v>107</v>
      </c>
      <c r="D320" s="14">
        <f>ABS(D319)</f>
        <v>1.5538000000000001</v>
      </c>
      <c r="E320" s="14"/>
      <c r="F320" s="14"/>
      <c r="G320" s="14"/>
      <c r="H320" s="14"/>
      <c r="I320" s="14"/>
      <c r="J320" s="14"/>
      <c r="K320" s="14"/>
      <c r="L320" s="45"/>
      <c r="M320" s="68"/>
      <c r="N320" s="68"/>
      <c r="O320" s="68"/>
      <c r="P320" s="43"/>
      <c r="Q320" s="29" t="s">
        <v>107</v>
      </c>
      <c r="R320" s="14">
        <f>ABS(R319)</f>
        <v>1.5538000000000001</v>
      </c>
      <c r="S320" s="14"/>
      <c r="T320" s="14"/>
      <c r="U320" s="14"/>
      <c r="V320" s="14"/>
      <c r="W320" s="14"/>
      <c r="X320" s="14"/>
      <c r="Y320" s="14"/>
      <c r="Z320" s="45"/>
    </row>
    <row r="321" spans="1:26" ht="13.5" thickBot="1">
      <c r="A321" s="68"/>
      <c r="B321" s="47" t="str">
        <f>IF(ABS(D319)&gt;ROUND(D315,4), "Como |"&amp;ROUND(D319,2)&amp;"| &gt; "&amp;ROUND(D315,4)&amp;" então rejeita-se H0, logo a um nível de significância de "&amp;D313*100&amp;"% há evidencia estatística suficiente para se concluir que beta2 é não nulo","Como |"&amp;ROUND(D319,2)&amp;"|  ≤ "&amp;ROUND(D315,4)&amp;" então não se rejeita H0, logo a um nível de significância de "&amp;D313*100&amp;"% há evidencia estatística suficiente para se concluir que beta0 é nulo")</f>
        <v>Como |-1,55|  ≤ 1,98 então não se rejeita H0, logo a um nível de significância de 5% há evidencia estatística suficiente para se concluir que beta0 é nulo</v>
      </c>
      <c r="C321" s="28"/>
      <c r="D321" s="28"/>
      <c r="E321" s="28"/>
      <c r="F321" s="28"/>
      <c r="G321" s="28"/>
      <c r="H321" s="28"/>
      <c r="I321" s="28"/>
      <c r="J321" s="28"/>
      <c r="K321" s="49"/>
      <c r="L321" s="49"/>
      <c r="M321" s="68"/>
      <c r="N321" s="68"/>
      <c r="O321" s="68"/>
      <c r="P321" s="47" t="str">
        <f>IF(ABS(R319)&gt;ROUND(R315,4), "Como |"&amp;ROUND(R319,2)&amp;"| &gt; "&amp;ROUND(R315,4)&amp;" então rejeita-se H0, logo a um nível de significância de "&amp;R313*100&amp;"% há evidencia estatística suficiente para se concluir que beta2 é não nulo","Como |"&amp;ROUND(R319,2)&amp;"|  ≤ "&amp;ROUND(R315,4)&amp;" então não se rejeita H0, logo a um nível de significância de "&amp;R313*100&amp;"% há evidencia estatística suficiente para se concluir que beta0 é nulo")</f>
        <v>Como |-1,55|  ≤ 2,62 então não se rejeita H0, logo a um nível de significância de 1% há evidencia estatística suficiente para se concluir que beta0 é nulo</v>
      </c>
      <c r="Q321" s="28"/>
      <c r="R321" s="28"/>
      <c r="S321" s="28"/>
      <c r="T321" s="28"/>
      <c r="U321" s="28"/>
      <c r="V321" s="28"/>
      <c r="W321" s="28"/>
      <c r="X321" s="28"/>
      <c r="Y321" s="49"/>
      <c r="Z321" s="49"/>
    </row>
    <row r="322" spans="1:26" ht="13.5" thickBot="1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>
      <c r="A323" s="68"/>
      <c r="B323" s="39"/>
      <c r="C323" s="41"/>
      <c r="D323" s="41"/>
      <c r="E323" s="41"/>
      <c r="F323" s="41"/>
      <c r="G323" s="41"/>
      <c r="H323" s="41"/>
      <c r="I323" s="41"/>
      <c r="J323" s="41"/>
      <c r="K323" s="41"/>
      <c r="L323" s="42"/>
      <c r="M323" s="68"/>
      <c r="N323" s="68"/>
      <c r="O323" s="68"/>
      <c r="P323" s="39"/>
      <c r="Q323" s="41"/>
      <c r="R323" s="41"/>
      <c r="S323" s="41"/>
      <c r="T323" s="41"/>
      <c r="U323" s="41"/>
      <c r="V323" s="41"/>
      <c r="W323" s="41"/>
      <c r="X323" s="41"/>
      <c r="Y323" s="41"/>
      <c r="Z323" s="42"/>
    </row>
    <row r="324" spans="1:26">
      <c r="A324" s="21" t="s">
        <v>103</v>
      </c>
      <c r="B324" s="43"/>
      <c r="C324" s="14"/>
      <c r="D324" s="14"/>
      <c r="E324" s="14"/>
      <c r="F324" s="14"/>
      <c r="G324" s="29" t="str">
        <f>A327&amp;"="</f>
        <v>β1=</v>
      </c>
      <c r="H324" s="14">
        <f>AG141</f>
        <v>488.50632607548869</v>
      </c>
      <c r="I324" s="14"/>
      <c r="J324" s="14"/>
      <c r="K324" s="14"/>
      <c r="L324" s="45"/>
      <c r="M324" s="68"/>
      <c r="N324" s="68"/>
      <c r="O324" s="68"/>
      <c r="P324" s="43"/>
      <c r="Q324" s="14"/>
      <c r="R324" s="14"/>
      <c r="S324" s="14"/>
      <c r="T324" s="14"/>
      <c r="U324" s="29" t="str">
        <f>G324</f>
        <v>β1=</v>
      </c>
      <c r="V324" s="29">
        <f>H324</f>
        <v>488.50632607548869</v>
      </c>
      <c r="W324" s="14"/>
      <c r="X324" s="14"/>
      <c r="Y324" s="14"/>
      <c r="Z324" s="45"/>
    </row>
    <row r="325" spans="1:26">
      <c r="A325" s="21" t="s">
        <v>83</v>
      </c>
      <c r="B325" s="43"/>
      <c r="C325" s="14"/>
      <c r="D325" s="14"/>
      <c r="E325" s="14"/>
      <c r="F325" s="14"/>
      <c r="G325" s="14"/>
      <c r="H325" s="14"/>
      <c r="I325" s="14"/>
      <c r="J325" s="14"/>
      <c r="K325" s="14"/>
      <c r="L325" s="45"/>
      <c r="M325" s="68"/>
      <c r="N325" s="68"/>
      <c r="O325" s="68"/>
      <c r="P325" s="43"/>
      <c r="Q325" s="14"/>
      <c r="R325" s="14"/>
      <c r="S325" s="14"/>
      <c r="T325" s="14"/>
      <c r="U325" s="14"/>
      <c r="V325" s="14"/>
      <c r="W325" s="14"/>
      <c r="X325" s="14"/>
      <c r="Y325" s="14"/>
      <c r="Z325" s="45"/>
    </row>
    <row r="326" spans="1:26">
      <c r="A326" s="21" t="s">
        <v>104</v>
      </c>
      <c r="B326" s="43"/>
      <c r="C326" s="14"/>
      <c r="D326" s="14"/>
      <c r="E326" s="14"/>
      <c r="F326" s="14"/>
      <c r="G326" s="14"/>
      <c r="H326" s="14">
        <f>O141</f>
        <v>1.6552006542783573</v>
      </c>
      <c r="I326" s="14"/>
      <c r="J326" s="14"/>
      <c r="K326" s="14"/>
      <c r="L326" s="45"/>
      <c r="M326" s="68"/>
      <c r="N326" s="68"/>
      <c r="O326" s="68"/>
      <c r="P326" s="43"/>
      <c r="Q326" s="14"/>
      <c r="R326" s="14"/>
      <c r="S326" s="14"/>
      <c r="T326" s="14"/>
      <c r="U326" s="14"/>
      <c r="V326" s="29">
        <f>H326</f>
        <v>1.6552006542783573</v>
      </c>
      <c r="W326" s="14"/>
      <c r="X326" s="14"/>
      <c r="Y326" s="14"/>
      <c r="Z326" s="45"/>
    </row>
    <row r="327" spans="1:26">
      <c r="A327" s="21" t="s">
        <v>85</v>
      </c>
      <c r="B327" s="43"/>
      <c r="C327" s="14"/>
      <c r="D327" s="14"/>
      <c r="E327" s="14"/>
      <c r="F327" s="14"/>
      <c r="G327" s="14"/>
      <c r="H327" s="14"/>
      <c r="I327" s="14"/>
      <c r="J327" s="14"/>
      <c r="K327" s="14"/>
      <c r="L327" s="45"/>
      <c r="M327" s="68"/>
      <c r="N327" s="68"/>
      <c r="O327" s="68"/>
      <c r="P327" s="43"/>
      <c r="Q327" s="14"/>
      <c r="R327" s="14"/>
      <c r="S327" s="14"/>
      <c r="T327" s="14"/>
      <c r="U327" s="14"/>
      <c r="V327" s="14"/>
      <c r="W327" s="14"/>
      <c r="X327" s="14"/>
      <c r="Y327" s="14"/>
      <c r="Z327" s="45"/>
    </row>
    <row r="328" spans="1:26">
      <c r="A328" s="68"/>
      <c r="B328" s="43"/>
      <c r="C328" s="14"/>
      <c r="D328" s="14"/>
      <c r="E328" s="14"/>
      <c r="F328" s="14"/>
      <c r="G328" s="14"/>
      <c r="H328" s="14"/>
      <c r="I328" s="14"/>
      <c r="J328" s="14"/>
      <c r="K328" s="14"/>
      <c r="L328" s="45"/>
      <c r="M328" s="68"/>
      <c r="N328" s="68"/>
      <c r="O328" s="68"/>
      <c r="P328" s="43"/>
      <c r="Q328" s="14"/>
      <c r="R328" s="14"/>
      <c r="S328" s="14"/>
      <c r="T328" s="14"/>
      <c r="U328" s="14"/>
      <c r="V328" s="14"/>
      <c r="W328" s="14"/>
      <c r="X328" s="14"/>
      <c r="Y328" s="14"/>
      <c r="Z328" s="45"/>
    </row>
    <row r="329" spans="1:26">
      <c r="A329" s="68"/>
      <c r="B329" s="43"/>
      <c r="C329" s="14">
        <f>D165</f>
        <v>236093.49455618649</v>
      </c>
      <c r="D329" s="14"/>
      <c r="E329" s="14"/>
      <c r="F329" s="14"/>
      <c r="G329" s="14"/>
      <c r="H329" s="14"/>
      <c r="I329" s="14"/>
      <c r="J329" s="14"/>
      <c r="K329" s="14"/>
      <c r="L329" s="45"/>
      <c r="M329" s="68"/>
      <c r="N329" s="68"/>
      <c r="O329" s="68"/>
      <c r="P329" s="43"/>
      <c r="Q329" s="14">
        <f>C329</f>
        <v>236093.49455618649</v>
      </c>
      <c r="R329" s="14"/>
      <c r="S329" s="14"/>
      <c r="T329" s="14"/>
      <c r="U329" s="14"/>
      <c r="V329" s="14"/>
      <c r="W329" s="14"/>
      <c r="X329" s="14"/>
      <c r="Y329" s="14"/>
      <c r="Z329" s="45"/>
    </row>
    <row r="330" spans="1:26">
      <c r="A330" s="68"/>
      <c r="B330" s="43"/>
      <c r="C330" s="14"/>
      <c r="D330" s="14"/>
      <c r="E330" s="14"/>
      <c r="F330" s="14"/>
      <c r="G330" s="14"/>
      <c r="H330" s="14"/>
      <c r="I330" s="14"/>
      <c r="J330" s="14"/>
      <c r="K330" s="14"/>
      <c r="L330" s="45"/>
      <c r="M330" s="68"/>
      <c r="N330" s="68"/>
      <c r="O330" s="68"/>
      <c r="P330" s="43"/>
      <c r="Q330" s="14"/>
      <c r="R330" s="14"/>
      <c r="S330" s="14"/>
      <c r="T330" s="14"/>
      <c r="U330" s="14"/>
      <c r="V330" s="14"/>
      <c r="W330" s="14"/>
      <c r="X330" s="14"/>
      <c r="Y330" s="14"/>
      <c r="Z330" s="45"/>
    </row>
    <row r="331" spans="1:26">
      <c r="A331" s="68"/>
      <c r="B331" s="43"/>
      <c r="C331" s="44" t="s">
        <v>105</v>
      </c>
      <c r="D331" s="14">
        <v>0.05</v>
      </c>
      <c r="E331" s="14"/>
      <c r="F331" s="14"/>
      <c r="G331" s="29" t="s">
        <v>108</v>
      </c>
      <c r="H331" s="14" t="str">
        <f>"]-∞;-"&amp;ROUND(D333,4)&amp;"[ U ]"&amp;ROUND(D333,4)&amp;";+∞["</f>
        <v>]-∞;-1,98[ U ]1,98;+∞[</v>
      </c>
      <c r="I331" s="14"/>
      <c r="J331" s="14"/>
      <c r="K331" s="14"/>
      <c r="L331" s="45"/>
      <c r="M331" s="68"/>
      <c r="N331" s="68"/>
      <c r="O331" s="68"/>
      <c r="P331" s="43"/>
      <c r="Q331" s="44" t="s">
        <v>105</v>
      </c>
      <c r="R331" s="14">
        <v>0.01</v>
      </c>
      <c r="S331" s="14"/>
      <c r="T331" s="14"/>
      <c r="U331" s="29" t="s">
        <v>108</v>
      </c>
      <c r="V331" s="14" t="str">
        <f>"]-∞;-"&amp;ROUND(R333,4)&amp;"[ U ]"&amp;ROUND(R333,4)&amp;";+∞["</f>
        <v>]-∞;-2,62[ U ]2,62;+∞[</v>
      </c>
      <c r="W331" s="14"/>
      <c r="X331" s="14"/>
      <c r="Y331" s="14"/>
      <c r="Z331" s="45"/>
    </row>
    <row r="332" spans="1:26">
      <c r="A332" s="68"/>
      <c r="B332" s="43"/>
      <c r="C332" s="44"/>
      <c r="D332" s="14"/>
      <c r="E332" s="14"/>
      <c r="F332" s="14"/>
      <c r="G332" s="14"/>
      <c r="H332" s="14"/>
      <c r="I332" s="14"/>
      <c r="J332" s="14"/>
      <c r="K332" s="14"/>
      <c r="L332" s="45"/>
      <c r="M332" s="68"/>
      <c r="N332" s="68"/>
      <c r="O332" s="68"/>
      <c r="P332" s="43"/>
      <c r="Q332" s="44"/>
      <c r="R332" s="14"/>
      <c r="S332" s="14"/>
      <c r="T332" s="14"/>
      <c r="U332" s="14"/>
      <c r="V332" s="14"/>
      <c r="W332" s="14"/>
      <c r="X332" s="14"/>
      <c r="Y332" s="14"/>
      <c r="Z332" s="45"/>
    </row>
    <row r="333" spans="1:26">
      <c r="A333" s="68"/>
      <c r="B333" s="43"/>
      <c r="C333" s="14"/>
      <c r="D333" s="14">
        <f>ROUND(_xlfn.T.INV(1-D331/2,120-(6+1)),2)</f>
        <v>1.98</v>
      </c>
      <c r="E333" s="14"/>
      <c r="F333" s="14"/>
      <c r="G333" s="14"/>
      <c r="H333" s="14"/>
      <c r="I333" s="14"/>
      <c r="J333" s="14"/>
      <c r="K333" s="14"/>
      <c r="L333" s="45"/>
      <c r="M333" s="68"/>
      <c r="N333" s="68"/>
      <c r="O333" s="68"/>
      <c r="P333" s="43"/>
      <c r="Q333" s="14"/>
      <c r="R333" s="14">
        <f>ROUND(_xlfn.T.INV(1-R331/2,120-(6+1)),2)</f>
        <v>2.62</v>
      </c>
      <c r="S333" s="14"/>
      <c r="T333" s="14"/>
      <c r="U333" s="14"/>
      <c r="V333" s="14"/>
      <c r="W333" s="14"/>
      <c r="X333" s="14"/>
      <c r="Y333" s="14"/>
      <c r="Z333" s="45"/>
    </row>
    <row r="334" spans="1:26">
      <c r="A334" s="68"/>
      <c r="B334" s="43"/>
      <c r="C334" s="29"/>
      <c r="D334" s="14"/>
      <c r="E334" s="14"/>
      <c r="F334" s="14"/>
      <c r="G334" s="14"/>
      <c r="H334" s="14"/>
      <c r="I334" s="14"/>
      <c r="J334" s="14"/>
      <c r="K334" s="14"/>
      <c r="L334" s="45"/>
      <c r="M334" s="68"/>
      <c r="N334" s="68"/>
      <c r="O334" s="68"/>
      <c r="P334" s="43"/>
      <c r="Q334" s="29"/>
      <c r="R334" s="14"/>
      <c r="S334" s="14"/>
      <c r="T334" s="14"/>
      <c r="U334" s="14"/>
      <c r="V334" s="14"/>
      <c r="W334" s="14"/>
      <c r="X334" s="14"/>
      <c r="Y334" s="14"/>
      <c r="Z334" s="45"/>
    </row>
    <row r="335" spans="1:26">
      <c r="A335" s="68"/>
      <c r="B335" s="43"/>
      <c r="C335" s="14"/>
      <c r="D335" s="14"/>
      <c r="E335" s="14"/>
      <c r="F335" s="14"/>
      <c r="G335" s="14"/>
      <c r="H335" s="14"/>
      <c r="I335" s="14"/>
      <c r="J335" s="14"/>
      <c r="K335" s="14"/>
      <c r="L335" s="45"/>
      <c r="M335" s="68"/>
      <c r="N335" s="68"/>
      <c r="O335" s="68"/>
      <c r="P335" s="43"/>
      <c r="Q335" s="14"/>
      <c r="R335" s="14"/>
      <c r="S335" s="14"/>
      <c r="T335" s="14"/>
      <c r="U335" s="14"/>
      <c r="V335" s="14"/>
      <c r="W335" s="14"/>
      <c r="X335" s="14"/>
      <c r="Y335" s="14"/>
      <c r="Z335" s="45"/>
    </row>
    <row r="336" spans="1:26">
      <c r="A336" s="68"/>
      <c r="B336" s="43"/>
      <c r="C336" s="14"/>
      <c r="D336" s="14"/>
      <c r="E336" s="14"/>
      <c r="F336" s="14"/>
      <c r="G336" s="14"/>
      <c r="H336" s="14"/>
      <c r="I336" s="14"/>
      <c r="J336" s="14"/>
      <c r="K336" s="14"/>
      <c r="L336" s="45"/>
      <c r="M336" s="68"/>
      <c r="N336" s="68"/>
      <c r="O336" s="68"/>
      <c r="P336" s="43"/>
      <c r="Q336" s="14"/>
      <c r="R336" s="14"/>
      <c r="S336" s="14"/>
      <c r="T336" s="14"/>
      <c r="U336" s="14"/>
      <c r="V336" s="14"/>
      <c r="W336" s="14"/>
      <c r="X336" s="14"/>
      <c r="Y336" s="14"/>
      <c r="Z336" s="45"/>
    </row>
    <row r="337" spans="1:26">
      <c r="A337" s="68"/>
      <c r="B337" s="43"/>
      <c r="C337" s="29" t="s">
        <v>106</v>
      </c>
      <c r="D337" s="14">
        <f>ROUND(H324/SQRT(C329*H326),4)</f>
        <v>0.78149999999999997</v>
      </c>
      <c r="E337" s="14"/>
      <c r="F337" s="14"/>
      <c r="G337" s="14"/>
      <c r="H337" s="14"/>
      <c r="I337" s="14"/>
      <c r="J337" s="14"/>
      <c r="K337" s="14"/>
      <c r="L337" s="45"/>
      <c r="M337" s="68"/>
      <c r="N337" s="68"/>
      <c r="O337" s="68"/>
      <c r="P337" s="43"/>
      <c r="Q337" s="29" t="s">
        <v>106</v>
      </c>
      <c r="R337" s="14">
        <f>ROUND(V324/SQRT(Q329*V326),4)</f>
        <v>0.78149999999999997</v>
      </c>
      <c r="S337" s="14"/>
      <c r="T337" s="14"/>
      <c r="U337" s="14"/>
      <c r="V337" s="14"/>
      <c r="W337" s="14"/>
      <c r="X337" s="14"/>
      <c r="Y337" s="14"/>
      <c r="Z337" s="45"/>
    </row>
    <row r="338" spans="1:26">
      <c r="A338" s="68"/>
      <c r="B338" s="43"/>
      <c r="C338" s="29" t="s">
        <v>107</v>
      </c>
      <c r="D338" s="14">
        <f>ABS(D337)</f>
        <v>0.78149999999999997</v>
      </c>
      <c r="E338" s="14"/>
      <c r="F338" s="14"/>
      <c r="G338" s="14"/>
      <c r="H338" s="14"/>
      <c r="I338" s="14"/>
      <c r="J338" s="14"/>
      <c r="K338" s="14"/>
      <c r="L338" s="45"/>
      <c r="M338" s="68"/>
      <c r="N338" s="68"/>
      <c r="O338" s="68"/>
      <c r="P338" s="43"/>
      <c r="Q338" s="29" t="s">
        <v>107</v>
      </c>
      <c r="R338" s="14">
        <f>ABS(R337)</f>
        <v>0.78149999999999997</v>
      </c>
      <c r="S338" s="14"/>
      <c r="T338" s="14"/>
      <c r="U338" s="14"/>
      <c r="V338" s="14"/>
      <c r="W338" s="14"/>
      <c r="X338" s="14"/>
      <c r="Y338" s="14"/>
      <c r="Z338" s="45"/>
    </row>
    <row r="339" spans="1:26" ht="13.5" thickBot="1">
      <c r="A339" s="68"/>
      <c r="B339" s="47" t="str">
        <f>IF(ABS(D337)&gt;ROUND(D333,4), "Como |"&amp;ROUND(D337,2)&amp;"| &gt; "&amp;ROUND(D333,4)&amp;" então rejeita-se H0, logo a um nível de significância de "&amp;D331*100&amp;"% há evidencia estatística suficiente para se concluir que beta2 é não nulo","Como |"&amp;ROUND(D337,2)&amp;"|  ≤ "&amp;ROUND(D333,4)&amp;" então não se rejeita H0, logo a um nível de significância de "&amp;D331*100&amp;"% há evidencia estatística suficiente para se concluir que beta1 é nulo")</f>
        <v>Como |0,78|  ≤ 1,98 então não se rejeita H0, logo a um nível de significância de 5% há evidencia estatística suficiente para se concluir que beta1 é nulo</v>
      </c>
      <c r="C339" s="28"/>
      <c r="D339" s="28"/>
      <c r="E339" s="28"/>
      <c r="F339" s="28"/>
      <c r="G339" s="28"/>
      <c r="H339" s="28"/>
      <c r="I339" s="28"/>
      <c r="J339" s="28"/>
      <c r="K339" s="49"/>
      <c r="L339" s="49"/>
      <c r="M339" s="68"/>
      <c r="N339" s="68"/>
      <c r="O339" s="68"/>
      <c r="P339" s="47" t="str">
        <f>IF(ABS(R337)&gt;ROUND(R333,4), "Como |"&amp;ROUND(R337,2)&amp;"| &gt; "&amp;ROUND(R333,4)&amp;" então rejeita-se H0, logo a um nível de significância de "&amp;R331*100&amp;"% há evidencia estatística suficiente para se concluir que beta2 é não nulo","Como |"&amp;ROUND(R337,2)&amp;"|  ≤ "&amp;ROUND(R333,4)&amp;" então não se rejeita H0, logo a um nível de significância de "&amp;R331*100&amp;"% há evidencia estatística suficiente para se concluir que beta1 é nulo")</f>
        <v>Como |0,78|  ≤ 2,62 então não se rejeita H0, logo a um nível de significância de 1% há evidencia estatística suficiente para se concluir que beta1 é nulo</v>
      </c>
      <c r="Q339" s="28"/>
      <c r="R339" s="28"/>
      <c r="S339" s="28"/>
      <c r="T339" s="28"/>
      <c r="U339" s="28"/>
      <c r="V339" s="28"/>
      <c r="W339" s="28"/>
      <c r="X339" s="28"/>
      <c r="Y339" s="49"/>
      <c r="Z339" s="49"/>
    </row>
    <row r="340" spans="1:26" ht="13.5" thickBot="1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>
      <c r="A341" s="68"/>
      <c r="B341" s="39"/>
      <c r="C341" s="41"/>
      <c r="D341" s="41"/>
      <c r="E341" s="41"/>
      <c r="F341" s="41"/>
      <c r="G341" s="41"/>
      <c r="H341" s="41"/>
      <c r="I341" s="41"/>
      <c r="J341" s="41"/>
      <c r="K341" s="41"/>
      <c r="L341" s="42"/>
      <c r="M341" s="68"/>
      <c r="N341" s="68"/>
      <c r="O341" s="68"/>
      <c r="P341" s="39"/>
      <c r="Q341" s="41"/>
      <c r="R341" s="41"/>
      <c r="S341" s="41"/>
      <c r="T341" s="41"/>
      <c r="U341" s="41"/>
      <c r="V341" s="41"/>
      <c r="W341" s="41"/>
      <c r="X341" s="41"/>
      <c r="Y341" s="41"/>
      <c r="Z341" s="42"/>
    </row>
    <row r="342" spans="1:26">
      <c r="A342" s="21" t="s">
        <v>103</v>
      </c>
      <c r="B342" s="43"/>
      <c r="C342" s="14"/>
      <c r="D342" s="14"/>
      <c r="E342" s="14"/>
      <c r="F342" s="14"/>
      <c r="G342" s="29" t="str">
        <f>A345&amp;"="</f>
        <v>β2=</v>
      </c>
      <c r="H342" s="14">
        <f>AG142</f>
        <v>3.3568492424434835</v>
      </c>
      <c r="I342" s="14"/>
      <c r="J342" s="14"/>
      <c r="K342" s="14"/>
      <c r="L342" s="45"/>
      <c r="M342" s="68"/>
      <c r="N342" s="68"/>
      <c r="O342" s="68"/>
      <c r="P342" s="43"/>
      <c r="Q342" s="14"/>
      <c r="R342" s="14"/>
      <c r="S342" s="14"/>
      <c r="T342" s="14"/>
      <c r="U342" s="29" t="str">
        <f>G342</f>
        <v>β2=</v>
      </c>
      <c r="V342" s="29">
        <f>H342</f>
        <v>3.3568492424434835</v>
      </c>
      <c r="W342" s="14"/>
      <c r="X342" s="14"/>
      <c r="Y342" s="14"/>
      <c r="Z342" s="45"/>
    </row>
    <row r="343" spans="1:26">
      <c r="A343" s="21" t="s">
        <v>83</v>
      </c>
      <c r="B343" s="43"/>
      <c r="C343" s="14"/>
      <c r="D343" s="14"/>
      <c r="E343" s="14"/>
      <c r="F343" s="14"/>
      <c r="G343" s="14"/>
      <c r="H343" s="14"/>
      <c r="I343" s="14"/>
      <c r="J343" s="14"/>
      <c r="K343" s="14"/>
      <c r="L343" s="45"/>
      <c r="M343" s="68"/>
      <c r="N343" s="68"/>
      <c r="O343" s="68"/>
      <c r="P343" s="43"/>
      <c r="Q343" s="14"/>
      <c r="R343" s="14"/>
      <c r="S343" s="14"/>
      <c r="T343" s="14"/>
      <c r="U343" s="14"/>
      <c r="V343" s="14"/>
      <c r="W343" s="14"/>
      <c r="X343" s="14"/>
      <c r="Y343" s="14"/>
      <c r="Z343" s="45"/>
    </row>
    <row r="344" spans="1:26">
      <c r="A344" s="21" t="s">
        <v>104</v>
      </c>
      <c r="B344" s="43"/>
      <c r="C344" s="14"/>
      <c r="D344" s="14"/>
      <c r="E344" s="14"/>
      <c r="F344" s="14"/>
      <c r="G344" s="14"/>
      <c r="H344" s="14">
        <f>P142</f>
        <v>1.3447872705781517E-5</v>
      </c>
      <c r="I344" s="14"/>
      <c r="J344" s="14"/>
      <c r="K344" s="14"/>
      <c r="L344" s="45"/>
      <c r="M344" s="68"/>
      <c r="N344" s="68"/>
      <c r="O344" s="68"/>
      <c r="P344" s="43"/>
      <c r="Q344" s="14"/>
      <c r="R344" s="14"/>
      <c r="S344" s="14"/>
      <c r="T344" s="14"/>
      <c r="U344" s="14"/>
      <c r="V344" s="29">
        <f>H344</f>
        <v>1.3447872705781517E-5</v>
      </c>
      <c r="W344" s="14"/>
      <c r="X344" s="14"/>
      <c r="Y344" s="14"/>
      <c r="Z344" s="45"/>
    </row>
    <row r="345" spans="1:26">
      <c r="A345" s="21" t="s">
        <v>86</v>
      </c>
      <c r="B345" s="43"/>
      <c r="C345" s="14"/>
      <c r="D345" s="14"/>
      <c r="E345" s="14"/>
      <c r="F345" s="14"/>
      <c r="G345" s="14"/>
      <c r="H345" s="14"/>
      <c r="I345" s="14"/>
      <c r="J345" s="14"/>
      <c r="K345" s="14"/>
      <c r="L345" s="45"/>
      <c r="M345" s="68"/>
      <c r="N345" s="68"/>
      <c r="O345" s="68"/>
      <c r="P345" s="43"/>
      <c r="Q345" s="14"/>
      <c r="R345" s="14"/>
      <c r="S345" s="14"/>
      <c r="T345" s="14"/>
      <c r="U345" s="14"/>
      <c r="V345" s="14"/>
      <c r="W345" s="14"/>
      <c r="X345" s="14"/>
      <c r="Y345" s="14"/>
      <c r="Z345" s="45"/>
    </row>
    <row r="346" spans="1:26">
      <c r="A346" s="68"/>
      <c r="B346" s="43"/>
      <c r="C346" s="14"/>
      <c r="D346" s="14"/>
      <c r="E346" s="14"/>
      <c r="F346" s="14"/>
      <c r="G346" s="14"/>
      <c r="H346" s="14"/>
      <c r="I346" s="14"/>
      <c r="J346" s="14"/>
      <c r="K346" s="14"/>
      <c r="L346" s="45"/>
      <c r="M346" s="68"/>
      <c r="N346" s="68"/>
      <c r="O346" s="68"/>
      <c r="P346" s="43"/>
      <c r="Q346" s="14"/>
      <c r="R346" s="14"/>
      <c r="S346" s="14"/>
      <c r="T346" s="14"/>
      <c r="U346" s="14"/>
      <c r="V346" s="14"/>
      <c r="W346" s="14"/>
      <c r="X346" s="14"/>
      <c r="Y346" s="14"/>
      <c r="Z346" s="45"/>
    </row>
    <row r="347" spans="1:26">
      <c r="A347" s="68"/>
      <c r="B347" s="43"/>
      <c r="C347" s="14">
        <f>D165</f>
        <v>236093.49455618649</v>
      </c>
      <c r="D347" s="14"/>
      <c r="E347" s="14"/>
      <c r="F347" s="14"/>
      <c r="G347" s="14"/>
      <c r="H347" s="14"/>
      <c r="I347" s="14"/>
      <c r="J347" s="14"/>
      <c r="K347" s="14"/>
      <c r="L347" s="45"/>
      <c r="M347" s="68"/>
      <c r="N347" s="68"/>
      <c r="O347" s="68"/>
      <c r="P347" s="43"/>
      <c r="Q347" s="14">
        <f>C347</f>
        <v>236093.49455618649</v>
      </c>
      <c r="R347" s="14"/>
      <c r="S347" s="14"/>
      <c r="T347" s="14"/>
      <c r="U347" s="14"/>
      <c r="V347" s="14"/>
      <c r="W347" s="14"/>
      <c r="X347" s="14"/>
      <c r="Y347" s="14"/>
      <c r="Z347" s="45"/>
    </row>
    <row r="348" spans="1:26">
      <c r="A348" s="68"/>
      <c r="B348" s="43"/>
      <c r="C348" s="14"/>
      <c r="D348" s="14"/>
      <c r="E348" s="14"/>
      <c r="F348" s="14"/>
      <c r="G348" s="14"/>
      <c r="H348" s="14"/>
      <c r="I348" s="14"/>
      <c r="J348" s="14"/>
      <c r="K348" s="14"/>
      <c r="L348" s="45"/>
      <c r="M348" s="68"/>
      <c r="N348" s="68"/>
      <c r="O348" s="68"/>
      <c r="P348" s="43"/>
      <c r="Q348" s="14"/>
      <c r="R348" s="14"/>
      <c r="S348" s="14"/>
      <c r="T348" s="14"/>
      <c r="U348" s="14"/>
      <c r="V348" s="14"/>
      <c r="W348" s="14"/>
      <c r="X348" s="14"/>
      <c r="Y348" s="14"/>
      <c r="Z348" s="45"/>
    </row>
    <row r="349" spans="1:26">
      <c r="A349" s="68"/>
      <c r="B349" s="43"/>
      <c r="C349" s="44" t="s">
        <v>105</v>
      </c>
      <c r="D349" s="14">
        <v>0.05</v>
      </c>
      <c r="E349" s="14"/>
      <c r="F349" s="14"/>
      <c r="G349" s="29" t="s">
        <v>108</v>
      </c>
      <c r="H349" s="14" t="str">
        <f>"]-∞;-"&amp;ROUND(D351,4)&amp;"[ U ]"&amp;ROUND(D351,4)&amp;";+∞["</f>
        <v>]-∞;-1,98[ U ]1,98;+∞[</v>
      </c>
      <c r="I349" s="14"/>
      <c r="J349" s="14"/>
      <c r="K349" s="14"/>
      <c r="L349" s="45"/>
      <c r="M349" s="68"/>
      <c r="N349" s="68"/>
      <c r="O349" s="68"/>
      <c r="P349" s="43"/>
      <c r="Q349" s="44" t="s">
        <v>105</v>
      </c>
      <c r="R349" s="14">
        <v>0.01</v>
      </c>
      <c r="S349" s="14"/>
      <c r="T349" s="14"/>
      <c r="U349" s="29" t="s">
        <v>108</v>
      </c>
      <c r="V349" s="14" t="str">
        <f>"]-∞;-"&amp;ROUND(R351,4)&amp;"[ U ]"&amp;ROUND(R351,4)&amp;";+∞["</f>
        <v>]-∞;-2,62[ U ]2,62;+∞[</v>
      </c>
      <c r="W349" s="14"/>
      <c r="X349" s="14"/>
      <c r="Y349" s="14"/>
      <c r="Z349" s="45"/>
    </row>
    <row r="350" spans="1:26">
      <c r="A350" s="68"/>
      <c r="B350" s="43"/>
      <c r="C350" s="44"/>
      <c r="D350" s="14"/>
      <c r="E350" s="14"/>
      <c r="F350" s="14"/>
      <c r="G350" s="14"/>
      <c r="H350" s="14"/>
      <c r="I350" s="14"/>
      <c r="J350" s="14"/>
      <c r="K350" s="14"/>
      <c r="L350" s="45"/>
      <c r="M350" s="68"/>
      <c r="N350" s="68"/>
      <c r="O350" s="68"/>
      <c r="P350" s="43"/>
      <c r="Q350" s="44"/>
      <c r="R350" s="14"/>
      <c r="S350" s="14"/>
      <c r="T350" s="14"/>
      <c r="U350" s="14"/>
      <c r="V350" s="14"/>
      <c r="W350" s="14"/>
      <c r="X350" s="14"/>
      <c r="Y350" s="14"/>
      <c r="Z350" s="45"/>
    </row>
    <row r="351" spans="1:26">
      <c r="A351" s="68"/>
      <c r="B351" s="43"/>
      <c r="C351" s="14"/>
      <c r="D351" s="14">
        <f>ROUND(_xlfn.T.INV(1-D349/2,120-(6+1)),2)</f>
        <v>1.98</v>
      </c>
      <c r="E351" s="14"/>
      <c r="F351" s="14"/>
      <c r="G351" s="14"/>
      <c r="H351" s="14"/>
      <c r="I351" s="14"/>
      <c r="J351" s="14"/>
      <c r="K351" s="14"/>
      <c r="L351" s="45"/>
      <c r="M351" s="68"/>
      <c r="N351" s="68"/>
      <c r="O351" s="68"/>
      <c r="P351" s="43"/>
      <c r="Q351" s="14"/>
      <c r="R351" s="14">
        <f>ROUND(_xlfn.T.INV(1-R349/2,120-(6+1)),2)</f>
        <v>2.62</v>
      </c>
      <c r="S351" s="14"/>
      <c r="T351" s="14"/>
      <c r="U351" s="14"/>
      <c r="V351" s="14"/>
      <c r="W351" s="14"/>
      <c r="X351" s="14"/>
      <c r="Y351" s="14"/>
      <c r="Z351" s="45"/>
    </row>
    <row r="352" spans="1:26">
      <c r="A352" s="68"/>
      <c r="B352" s="43"/>
      <c r="C352" s="29"/>
      <c r="D352" s="14"/>
      <c r="E352" s="14"/>
      <c r="F352" s="14"/>
      <c r="G352" s="14"/>
      <c r="H352" s="14"/>
      <c r="I352" s="14"/>
      <c r="J352" s="14"/>
      <c r="K352" s="14"/>
      <c r="L352" s="45"/>
      <c r="M352" s="68"/>
      <c r="N352" s="68"/>
      <c r="O352" s="68"/>
      <c r="P352" s="43"/>
      <c r="Q352" s="29"/>
      <c r="R352" s="14"/>
      <c r="S352" s="14"/>
      <c r="T352" s="14"/>
      <c r="U352" s="14"/>
      <c r="V352" s="14"/>
      <c r="W352" s="14"/>
      <c r="X352" s="14"/>
      <c r="Y352" s="14"/>
      <c r="Z352" s="45"/>
    </row>
    <row r="353" spans="1:26">
      <c r="A353" s="68"/>
      <c r="B353" s="43"/>
      <c r="C353" s="14"/>
      <c r="D353" s="14"/>
      <c r="E353" s="14"/>
      <c r="F353" s="14"/>
      <c r="G353" s="14"/>
      <c r="H353" s="14"/>
      <c r="I353" s="14"/>
      <c r="J353" s="14"/>
      <c r="K353" s="14"/>
      <c r="L353" s="45"/>
      <c r="M353" s="68"/>
      <c r="N353" s="68"/>
      <c r="O353" s="68"/>
      <c r="P353" s="43"/>
      <c r="Q353" s="14"/>
      <c r="R353" s="14"/>
      <c r="S353" s="14"/>
      <c r="T353" s="14"/>
      <c r="U353" s="14"/>
      <c r="V353" s="14"/>
      <c r="W353" s="14"/>
      <c r="X353" s="14"/>
      <c r="Y353" s="14"/>
      <c r="Z353" s="45"/>
    </row>
    <row r="354" spans="1:26">
      <c r="A354" s="68"/>
      <c r="B354" s="43"/>
      <c r="C354" s="14"/>
      <c r="D354" s="14"/>
      <c r="E354" s="14"/>
      <c r="F354" s="14"/>
      <c r="G354" s="14"/>
      <c r="H354" s="14"/>
      <c r="I354" s="14"/>
      <c r="J354" s="14"/>
      <c r="K354" s="14"/>
      <c r="L354" s="45"/>
      <c r="M354" s="68"/>
      <c r="N354" s="68"/>
      <c r="O354" s="68"/>
      <c r="P354" s="43"/>
      <c r="Q354" s="14"/>
      <c r="R354" s="14"/>
      <c r="S354" s="14"/>
      <c r="T354" s="14"/>
      <c r="U354" s="14"/>
      <c r="V354" s="14"/>
      <c r="W354" s="14"/>
      <c r="X354" s="14"/>
      <c r="Y354" s="14"/>
      <c r="Z354" s="45"/>
    </row>
    <row r="355" spans="1:26">
      <c r="A355" s="68"/>
      <c r="B355" s="43"/>
      <c r="C355" s="29" t="s">
        <v>106</v>
      </c>
      <c r="D355" s="14">
        <f>ROUND(H342/SQRT(C347*H344),4)</f>
        <v>1.8838999999999999</v>
      </c>
      <c r="E355" s="14"/>
      <c r="F355" s="14"/>
      <c r="G355" s="14"/>
      <c r="H355" s="14"/>
      <c r="I355" s="14"/>
      <c r="J355" s="14"/>
      <c r="K355" s="14"/>
      <c r="L355" s="45"/>
      <c r="M355" s="68"/>
      <c r="N355" s="68"/>
      <c r="O355" s="68"/>
      <c r="P355" s="43"/>
      <c r="Q355" s="29" t="s">
        <v>106</v>
      </c>
      <c r="R355" s="14">
        <f>ROUND(V342/SQRT(Q347*V344),4)</f>
        <v>1.8838999999999999</v>
      </c>
      <c r="S355" s="14"/>
      <c r="T355" s="14"/>
      <c r="U355" s="14"/>
      <c r="V355" s="14"/>
      <c r="W355" s="14"/>
      <c r="X355" s="14"/>
      <c r="Y355" s="14"/>
      <c r="Z355" s="45"/>
    </row>
    <row r="356" spans="1:26">
      <c r="A356" s="68"/>
      <c r="B356" s="43"/>
      <c r="C356" s="29" t="s">
        <v>107</v>
      </c>
      <c r="D356" s="14">
        <f>ABS(D355)</f>
        <v>1.8838999999999999</v>
      </c>
      <c r="E356" s="14"/>
      <c r="F356" s="14"/>
      <c r="G356" s="14"/>
      <c r="H356" s="14"/>
      <c r="I356" s="14"/>
      <c r="J356" s="14"/>
      <c r="K356" s="14"/>
      <c r="L356" s="45"/>
      <c r="M356" s="68"/>
      <c r="N356" s="68"/>
      <c r="O356" s="68"/>
      <c r="P356" s="43"/>
      <c r="Q356" s="29" t="s">
        <v>107</v>
      </c>
      <c r="R356" s="14">
        <f>ABS(R355)</f>
        <v>1.8838999999999999</v>
      </c>
      <c r="S356" s="14"/>
      <c r="T356" s="14"/>
      <c r="U356" s="14"/>
      <c r="V356" s="14"/>
      <c r="W356" s="14"/>
      <c r="X356" s="14"/>
      <c r="Y356" s="14"/>
      <c r="Z356" s="45"/>
    </row>
    <row r="357" spans="1:26" ht="13.5" thickBot="1">
      <c r="A357" s="68"/>
      <c r="B357" s="47" t="str">
        <f>IF(ABS(D355)&gt;ROUND(D351,4), "Como |"&amp;ROUND(D355,2)&amp;"| &gt; "&amp;ROUND(D351,4)&amp;" então rejeita-se H0, logo a um nível de significância de "&amp;D349*100&amp;"% há evidencia estatística suficiente para se concluir que beta2 é não nulo","Como |"&amp;ROUND(D355,2)&amp;"|  ≤ "&amp;ROUND(D351,4)&amp;" então não se rejeita H0, logo a um nível de significância de "&amp;D349*100&amp;"% há evidencia estatística suficiente para se concluir que beta2 é nulo")</f>
        <v>Como |1,88|  ≤ 1,98 então não se rejeita H0, logo a um nível de significância de 5% há evidencia estatística suficiente para se concluir que beta2 é nulo</v>
      </c>
      <c r="C357" s="28"/>
      <c r="D357" s="28"/>
      <c r="E357" s="28"/>
      <c r="F357" s="28"/>
      <c r="G357" s="28"/>
      <c r="H357" s="28"/>
      <c r="I357" s="28"/>
      <c r="J357" s="28"/>
      <c r="K357" s="49"/>
      <c r="L357" s="49"/>
      <c r="M357" s="68"/>
      <c r="N357" s="68"/>
      <c r="O357" s="68"/>
      <c r="P357" s="47" t="str">
        <f>IF(ABS(R355)&gt;ROUND(R351,4), "Como |"&amp;ROUND(R355,2)&amp;"| &gt; "&amp;ROUND(R351,4)&amp;" então rejeita-se H0, logo a um nível de significância de "&amp;R349*100&amp;"% há evidencia estatística suficiente para se concluir que beta2 é não nulo","Como |"&amp;ROUND(R355,2)&amp;"|  ≤ "&amp;ROUND(R351,4)&amp;" então não se rejeita H0, logo a um nível de significância de "&amp;R349*100&amp;"% há evidencia estatística suficiente para se concluir que beta2 é nulo")</f>
        <v>Como |1,88|  ≤ 2,62 então não se rejeita H0, logo a um nível de significância de 1% há evidencia estatística suficiente para se concluir que beta2 é nulo</v>
      </c>
      <c r="Q357" s="28"/>
      <c r="R357" s="28"/>
      <c r="S357" s="28"/>
      <c r="T357" s="28"/>
      <c r="U357" s="28"/>
      <c r="V357" s="28"/>
      <c r="W357" s="28"/>
      <c r="X357" s="28"/>
      <c r="Y357" s="49"/>
      <c r="Z357" s="49"/>
    </row>
    <row r="358" spans="1:26" ht="13.5" thickBot="1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>
      <c r="A359" s="68"/>
      <c r="B359" s="39"/>
      <c r="C359" s="41"/>
      <c r="D359" s="41"/>
      <c r="E359" s="41"/>
      <c r="F359" s="41"/>
      <c r="G359" s="41"/>
      <c r="H359" s="41"/>
      <c r="I359" s="41"/>
      <c r="J359" s="41"/>
      <c r="K359" s="41"/>
      <c r="L359" s="42"/>
      <c r="M359" s="68"/>
      <c r="N359" s="68"/>
      <c r="O359" s="68"/>
      <c r="P359" s="39"/>
      <c r="Q359" s="41"/>
      <c r="R359" s="41"/>
      <c r="S359" s="41"/>
      <c r="T359" s="41"/>
      <c r="U359" s="41"/>
      <c r="V359" s="41"/>
      <c r="W359" s="41"/>
      <c r="X359" s="41"/>
      <c r="Y359" s="41"/>
      <c r="Z359" s="42"/>
    </row>
    <row r="360" spans="1:26">
      <c r="A360" s="21" t="s">
        <v>103</v>
      </c>
      <c r="B360" s="43"/>
      <c r="C360" s="14"/>
      <c r="D360" s="14"/>
      <c r="E360" s="14"/>
      <c r="F360" s="14"/>
      <c r="G360" s="29" t="str">
        <f>A363&amp;"="</f>
        <v>β3=</v>
      </c>
      <c r="H360" s="14">
        <f>AG143</f>
        <v>-1.2721510361882267</v>
      </c>
      <c r="I360" s="14"/>
      <c r="J360" s="14"/>
      <c r="K360" s="14"/>
      <c r="L360" s="45"/>
      <c r="M360" s="68"/>
      <c r="N360" s="68"/>
      <c r="O360" s="68"/>
      <c r="P360" s="43"/>
      <c r="Q360" s="14"/>
      <c r="R360" s="14"/>
      <c r="S360" s="14"/>
      <c r="T360" s="14"/>
      <c r="U360" s="29" t="str">
        <f>G360</f>
        <v>β3=</v>
      </c>
      <c r="V360" s="29">
        <f>H360</f>
        <v>-1.2721510361882267</v>
      </c>
      <c r="W360" s="14"/>
      <c r="X360" s="14"/>
      <c r="Y360" s="14"/>
      <c r="Z360" s="45"/>
    </row>
    <row r="361" spans="1:26">
      <c r="A361" s="21" t="s">
        <v>83</v>
      </c>
      <c r="B361" s="43"/>
      <c r="C361" s="14"/>
      <c r="D361" s="14"/>
      <c r="E361" s="14"/>
      <c r="F361" s="14"/>
      <c r="G361" s="14"/>
      <c r="H361" s="14"/>
      <c r="I361" s="14"/>
      <c r="J361" s="14"/>
      <c r="K361" s="14"/>
      <c r="L361" s="45"/>
      <c r="M361" s="68"/>
      <c r="N361" s="68"/>
      <c r="O361" s="68"/>
      <c r="P361" s="43"/>
      <c r="Q361" s="14"/>
      <c r="R361" s="14"/>
      <c r="S361" s="14"/>
      <c r="T361" s="14"/>
      <c r="U361" s="14"/>
      <c r="V361" s="29"/>
      <c r="W361" s="14"/>
      <c r="X361" s="14"/>
      <c r="Y361" s="14"/>
      <c r="Z361" s="45"/>
    </row>
    <row r="362" spans="1:26">
      <c r="A362" s="21" t="s">
        <v>104</v>
      </c>
      <c r="B362" s="43"/>
      <c r="C362" s="14"/>
      <c r="D362" s="14"/>
      <c r="E362" s="14"/>
      <c r="F362" s="14"/>
      <c r="G362" s="14"/>
      <c r="H362" s="14">
        <f>Q143</f>
        <v>5.1062060383920892E-7</v>
      </c>
      <c r="I362" s="14"/>
      <c r="J362" s="14"/>
      <c r="K362" s="14"/>
      <c r="L362" s="45"/>
      <c r="M362" s="68"/>
      <c r="N362" s="68"/>
      <c r="O362" s="68"/>
      <c r="P362" s="43"/>
      <c r="Q362" s="14"/>
      <c r="R362" s="14"/>
      <c r="S362" s="14"/>
      <c r="T362" s="14"/>
      <c r="U362" s="14"/>
      <c r="V362" s="29">
        <f>H362</f>
        <v>5.1062060383920892E-7</v>
      </c>
      <c r="W362" s="14"/>
      <c r="X362" s="14"/>
      <c r="Y362" s="14"/>
      <c r="Z362" s="45"/>
    </row>
    <row r="363" spans="1:26">
      <c r="A363" s="21" t="s">
        <v>87</v>
      </c>
      <c r="B363" s="43"/>
      <c r="C363" s="14"/>
      <c r="D363" s="14"/>
      <c r="E363" s="14"/>
      <c r="F363" s="14"/>
      <c r="G363" s="14"/>
      <c r="H363" s="14"/>
      <c r="I363" s="14"/>
      <c r="J363" s="14"/>
      <c r="K363" s="14"/>
      <c r="L363" s="45"/>
      <c r="M363" s="68"/>
      <c r="N363" s="68"/>
      <c r="O363" s="68"/>
      <c r="P363" s="43"/>
      <c r="Q363" s="14"/>
      <c r="R363" s="14"/>
      <c r="S363" s="14"/>
      <c r="T363" s="14"/>
      <c r="U363" s="14"/>
      <c r="V363" s="14"/>
      <c r="W363" s="14"/>
      <c r="X363" s="14"/>
      <c r="Y363" s="14"/>
      <c r="Z363" s="45"/>
    </row>
    <row r="364" spans="1:26">
      <c r="A364" s="68"/>
      <c r="B364" s="43"/>
      <c r="C364" s="14"/>
      <c r="D364" s="14"/>
      <c r="E364" s="14"/>
      <c r="F364" s="14"/>
      <c r="G364" s="14"/>
      <c r="H364" s="14"/>
      <c r="I364" s="14"/>
      <c r="J364" s="14"/>
      <c r="K364" s="14"/>
      <c r="L364" s="45"/>
      <c r="M364" s="68"/>
      <c r="N364" s="68"/>
      <c r="O364" s="68"/>
      <c r="P364" s="43"/>
      <c r="Q364" s="14"/>
      <c r="R364" s="14"/>
      <c r="S364" s="14"/>
      <c r="T364" s="14"/>
      <c r="U364" s="14"/>
      <c r="V364" s="14"/>
      <c r="W364" s="14"/>
      <c r="X364" s="14"/>
      <c r="Y364" s="14"/>
      <c r="Z364" s="45"/>
    </row>
    <row r="365" spans="1:26">
      <c r="A365" s="68"/>
      <c r="B365" s="43"/>
      <c r="C365" s="14">
        <f>D165</f>
        <v>236093.49455618649</v>
      </c>
      <c r="D365" s="14"/>
      <c r="E365" s="14"/>
      <c r="F365" s="14"/>
      <c r="G365" s="14"/>
      <c r="H365" s="14"/>
      <c r="I365" s="14"/>
      <c r="J365" s="14"/>
      <c r="K365" s="14"/>
      <c r="L365" s="45"/>
      <c r="M365" s="68"/>
      <c r="N365" s="68"/>
      <c r="O365" s="68"/>
      <c r="P365" s="43"/>
      <c r="Q365" s="14">
        <f>C365</f>
        <v>236093.49455618649</v>
      </c>
      <c r="R365" s="14"/>
      <c r="S365" s="14"/>
      <c r="T365" s="14"/>
      <c r="U365" s="14"/>
      <c r="V365" s="14"/>
      <c r="W365" s="14"/>
      <c r="X365" s="14"/>
      <c r="Y365" s="14"/>
      <c r="Z365" s="45"/>
    </row>
    <row r="366" spans="1:26">
      <c r="A366" s="68"/>
      <c r="B366" s="43"/>
      <c r="C366" s="14"/>
      <c r="D366" s="14"/>
      <c r="E366" s="14"/>
      <c r="F366" s="14"/>
      <c r="G366" s="14"/>
      <c r="H366" s="14"/>
      <c r="I366" s="14"/>
      <c r="J366" s="14"/>
      <c r="K366" s="14"/>
      <c r="L366" s="45"/>
      <c r="M366" s="68"/>
      <c r="N366" s="68"/>
      <c r="O366" s="68"/>
      <c r="P366" s="43"/>
      <c r="Q366" s="14"/>
      <c r="R366" s="14"/>
      <c r="S366" s="14"/>
      <c r="T366" s="14"/>
      <c r="U366" s="14"/>
      <c r="V366" s="14"/>
      <c r="W366" s="14"/>
      <c r="X366" s="14"/>
      <c r="Y366" s="14"/>
      <c r="Z366" s="45"/>
    </row>
    <row r="367" spans="1:26">
      <c r="A367" s="68"/>
      <c r="B367" s="43"/>
      <c r="C367" s="44" t="s">
        <v>105</v>
      </c>
      <c r="D367" s="14">
        <v>0.05</v>
      </c>
      <c r="E367" s="14"/>
      <c r="F367" s="14"/>
      <c r="G367" s="29" t="s">
        <v>108</v>
      </c>
      <c r="H367" s="14" t="str">
        <f>"]-∞;-"&amp;ROUND(D369,4)&amp;"[ U ]"&amp;ROUND(D369,4)&amp;";+∞["</f>
        <v>]-∞;-1,98[ U ]1,98;+∞[</v>
      </c>
      <c r="I367" s="14"/>
      <c r="J367" s="14"/>
      <c r="K367" s="14"/>
      <c r="L367" s="45"/>
      <c r="M367" s="68"/>
      <c r="N367" s="68"/>
      <c r="O367" s="68"/>
      <c r="P367" s="43"/>
      <c r="Q367" s="44" t="s">
        <v>105</v>
      </c>
      <c r="R367" s="14">
        <v>0.01</v>
      </c>
      <c r="S367" s="14"/>
      <c r="T367" s="14"/>
      <c r="U367" s="29" t="s">
        <v>108</v>
      </c>
      <c r="V367" s="14" t="str">
        <f>"]-∞;-"&amp;ROUND(R369,4)&amp;"[ U ]"&amp;ROUND(R369,4)&amp;";+∞["</f>
        <v>]-∞;-2,62[ U ]2,62;+∞[</v>
      </c>
      <c r="W367" s="14"/>
      <c r="X367" s="14"/>
      <c r="Y367" s="14"/>
      <c r="Z367" s="45"/>
    </row>
    <row r="368" spans="1:26">
      <c r="A368" s="68"/>
      <c r="B368" s="43"/>
      <c r="C368" s="44"/>
      <c r="D368" s="14"/>
      <c r="E368" s="14"/>
      <c r="F368" s="14"/>
      <c r="G368" s="14"/>
      <c r="H368" s="14"/>
      <c r="I368" s="14"/>
      <c r="J368" s="14"/>
      <c r="K368" s="14"/>
      <c r="L368" s="45"/>
      <c r="M368" s="68"/>
      <c r="N368" s="68"/>
      <c r="O368" s="68"/>
      <c r="P368" s="43"/>
      <c r="Q368" s="44"/>
      <c r="R368" s="14"/>
      <c r="S368" s="14"/>
      <c r="T368" s="14"/>
      <c r="U368" s="14"/>
      <c r="V368" s="14"/>
      <c r="W368" s="14"/>
      <c r="X368" s="14"/>
      <c r="Y368" s="14"/>
      <c r="Z368" s="45"/>
    </row>
    <row r="369" spans="1:26">
      <c r="A369" s="68"/>
      <c r="B369" s="43"/>
      <c r="C369" s="14"/>
      <c r="D369" s="14">
        <f>ROUND(_xlfn.T.INV(1-D367/2,120-(6+1)),2)</f>
        <v>1.98</v>
      </c>
      <c r="E369" s="14"/>
      <c r="F369" s="14"/>
      <c r="G369" s="14"/>
      <c r="H369" s="14"/>
      <c r="I369" s="14"/>
      <c r="J369" s="14"/>
      <c r="K369" s="14"/>
      <c r="L369" s="45"/>
      <c r="M369" s="68"/>
      <c r="N369" s="68"/>
      <c r="O369" s="68"/>
      <c r="P369" s="43"/>
      <c r="Q369" s="14"/>
      <c r="R369" s="14">
        <f>ROUND(_xlfn.T.INV(1-R367/2,120-(6+1)),2)</f>
        <v>2.62</v>
      </c>
      <c r="S369" s="14"/>
      <c r="T369" s="14"/>
      <c r="U369" s="14"/>
      <c r="V369" s="14"/>
      <c r="W369" s="14"/>
      <c r="X369" s="14"/>
      <c r="Y369" s="14"/>
      <c r="Z369" s="45"/>
    </row>
    <row r="370" spans="1:26">
      <c r="A370" s="68"/>
      <c r="B370" s="43"/>
      <c r="C370" s="29"/>
      <c r="D370" s="14"/>
      <c r="E370" s="14"/>
      <c r="F370" s="14"/>
      <c r="G370" s="14"/>
      <c r="H370" s="14"/>
      <c r="I370" s="14"/>
      <c r="J370" s="14"/>
      <c r="K370" s="14"/>
      <c r="L370" s="45"/>
      <c r="M370" s="68"/>
      <c r="N370" s="68"/>
      <c r="O370" s="68"/>
      <c r="P370" s="43"/>
      <c r="Q370" s="29"/>
      <c r="R370" s="14"/>
      <c r="S370" s="14"/>
      <c r="T370" s="14"/>
      <c r="U370" s="14"/>
      <c r="V370" s="14"/>
      <c r="W370" s="14"/>
      <c r="X370" s="14"/>
      <c r="Y370" s="14"/>
      <c r="Z370" s="45"/>
    </row>
    <row r="371" spans="1:26">
      <c r="A371" s="68"/>
      <c r="B371" s="43"/>
      <c r="C371" s="14"/>
      <c r="D371" s="14"/>
      <c r="E371" s="14"/>
      <c r="F371" s="14"/>
      <c r="G371" s="14"/>
      <c r="H371" s="14"/>
      <c r="I371" s="14"/>
      <c r="J371" s="14"/>
      <c r="K371" s="14"/>
      <c r="L371" s="45"/>
      <c r="M371" s="68"/>
      <c r="N371" s="68"/>
      <c r="O371" s="68"/>
      <c r="P371" s="43"/>
      <c r="Q371" s="14"/>
      <c r="R371" s="14"/>
      <c r="S371" s="14"/>
      <c r="T371" s="14"/>
      <c r="U371" s="14"/>
      <c r="V371" s="14"/>
      <c r="W371" s="14"/>
      <c r="X371" s="14"/>
      <c r="Y371" s="14"/>
      <c r="Z371" s="45"/>
    </row>
    <row r="372" spans="1:26">
      <c r="A372" s="68"/>
      <c r="B372" s="43"/>
      <c r="C372" s="14"/>
      <c r="D372" s="14"/>
      <c r="E372" s="14"/>
      <c r="F372" s="14"/>
      <c r="G372" s="14"/>
      <c r="H372" s="14"/>
      <c r="I372" s="14"/>
      <c r="J372" s="14"/>
      <c r="K372" s="14"/>
      <c r="L372" s="45"/>
      <c r="M372" s="68"/>
      <c r="N372" s="68"/>
      <c r="O372" s="68"/>
      <c r="P372" s="43"/>
      <c r="Q372" s="14"/>
      <c r="R372" s="14"/>
      <c r="S372" s="14"/>
      <c r="T372" s="14"/>
      <c r="U372" s="14"/>
      <c r="V372" s="14"/>
      <c r="W372" s="14"/>
      <c r="X372" s="14"/>
      <c r="Y372" s="14"/>
      <c r="Z372" s="45"/>
    </row>
    <row r="373" spans="1:26">
      <c r="A373" s="68"/>
      <c r="B373" s="43"/>
      <c r="C373" s="29" t="s">
        <v>106</v>
      </c>
      <c r="D373" s="14">
        <f>ROUND(H360/SQRT(C365*H362),4)</f>
        <v>-3.6638999999999999</v>
      </c>
      <c r="E373" s="14"/>
      <c r="F373" s="14"/>
      <c r="G373" s="14"/>
      <c r="H373" s="14"/>
      <c r="I373" s="14"/>
      <c r="J373" s="14"/>
      <c r="K373" s="14"/>
      <c r="L373" s="45"/>
      <c r="M373" s="68"/>
      <c r="N373" s="68"/>
      <c r="O373" s="68"/>
      <c r="P373" s="43"/>
      <c r="Q373" s="29" t="s">
        <v>106</v>
      </c>
      <c r="R373" s="14">
        <f>ROUND(V360/SQRT(Q365*V362),4)</f>
        <v>-3.6638999999999999</v>
      </c>
      <c r="S373" s="14"/>
      <c r="T373" s="14"/>
      <c r="U373" s="14"/>
      <c r="V373" s="14"/>
      <c r="W373" s="14"/>
      <c r="X373" s="14"/>
      <c r="Y373" s="14"/>
      <c r="Z373" s="45"/>
    </row>
    <row r="374" spans="1:26">
      <c r="A374" s="68"/>
      <c r="B374" s="43"/>
      <c r="C374" s="29" t="s">
        <v>107</v>
      </c>
      <c r="D374" s="14">
        <f>ABS(D373)</f>
        <v>3.6638999999999999</v>
      </c>
      <c r="E374" s="14"/>
      <c r="F374" s="14"/>
      <c r="G374" s="14"/>
      <c r="H374" s="14"/>
      <c r="I374" s="14"/>
      <c r="J374" s="14"/>
      <c r="K374" s="14"/>
      <c r="L374" s="45"/>
      <c r="M374" s="68"/>
      <c r="N374" s="68"/>
      <c r="O374" s="68"/>
      <c r="P374" s="43"/>
      <c r="Q374" s="29" t="s">
        <v>107</v>
      </c>
      <c r="R374" s="14">
        <f>ABS(R373)</f>
        <v>3.6638999999999999</v>
      </c>
      <c r="S374" s="14"/>
      <c r="T374" s="14"/>
      <c r="U374" s="14"/>
      <c r="V374" s="14"/>
      <c r="W374" s="14"/>
      <c r="X374" s="14"/>
      <c r="Y374" s="14"/>
      <c r="Z374" s="45"/>
    </row>
    <row r="375" spans="1:26" ht="13.5" thickBot="1">
      <c r="A375" s="68"/>
      <c r="B375" s="47" t="str">
        <f>IF(ABS(D373)&gt;ROUND(D369,4), "Como |"&amp;ROUND(D373,2)&amp;"| &gt; "&amp;ROUND(D369,4)&amp;" então rejeita-se H0, logo a um nível de significância de "&amp;D367*100&amp;"% há evidencia estatística suficiente para se concluir que beta3 é não nulo","Como |"&amp;ROUND(D373,2)&amp;"|  ≤ "&amp;ROUND(D369,4)&amp;" então não se rejeita H0, logo a um nível de significância de "&amp;D367*100&amp;"% há evidencia estatística suficiente para se concluir que beta2 é nulo")</f>
        <v>Como |-3,66| &gt; 1,98 então rejeita-se H0, logo a um nível de significância de 5% há evidencia estatística suficiente para se concluir que beta3 é não nulo</v>
      </c>
      <c r="C375" s="28"/>
      <c r="D375" s="28"/>
      <c r="E375" s="28"/>
      <c r="F375" s="28"/>
      <c r="G375" s="28"/>
      <c r="H375" s="28"/>
      <c r="I375" s="28"/>
      <c r="J375" s="28"/>
      <c r="K375" s="49"/>
      <c r="L375" s="49"/>
      <c r="M375" s="68"/>
      <c r="N375" s="68"/>
      <c r="O375" s="68"/>
      <c r="P375" s="47" t="str">
        <f>IF(ABS(R373)&gt;ROUND(R369,4), "Como |"&amp;ROUND(R373,2)&amp;"| &gt; "&amp;ROUND(R369,4)&amp;" então rejeita-se H0, logo a um nível de significância de "&amp;R367*100&amp;"% há evidencia estatística suficiente para se concluir que beta3 é não nulo","Como |"&amp;ROUND(R373,2)&amp;"|  ≤ "&amp;ROUND(R369,4)&amp;" então não se rejeita H0, logo a um nível de significância de "&amp;R367*100&amp;"% há evidencia estatística suficiente para se concluir que beta2 é nulo")</f>
        <v>Como |-3,66| &gt; 2,62 então rejeita-se H0, logo a um nível de significância de 1% há evidencia estatística suficiente para se concluir que beta3 é não nulo</v>
      </c>
      <c r="Q375" s="28"/>
      <c r="R375" s="28"/>
      <c r="S375" s="28"/>
      <c r="T375" s="28"/>
      <c r="U375" s="28"/>
      <c r="V375" s="28"/>
      <c r="W375" s="28"/>
      <c r="X375" s="28"/>
      <c r="Y375" s="49"/>
      <c r="Z375" s="49"/>
    </row>
    <row r="376" spans="1:26" ht="13.5" thickBot="1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>
      <c r="A377" s="68"/>
      <c r="B377" s="39"/>
      <c r="C377" s="41"/>
      <c r="D377" s="41"/>
      <c r="E377" s="41"/>
      <c r="F377" s="41"/>
      <c r="G377" s="41"/>
      <c r="H377" s="41"/>
      <c r="I377" s="41"/>
      <c r="J377" s="41"/>
      <c r="K377" s="41"/>
      <c r="L377" s="42"/>
      <c r="M377" s="68"/>
      <c r="N377" s="68"/>
      <c r="O377" s="68"/>
      <c r="P377" s="39"/>
      <c r="Q377" s="41"/>
      <c r="R377" s="41"/>
      <c r="S377" s="41"/>
      <c r="T377" s="41"/>
      <c r="U377" s="41"/>
      <c r="V377" s="41"/>
      <c r="W377" s="41"/>
      <c r="X377" s="41"/>
      <c r="Y377" s="41"/>
      <c r="Z377" s="42"/>
    </row>
    <row r="378" spans="1:26">
      <c r="A378" s="21" t="s">
        <v>103</v>
      </c>
      <c r="B378" s="43"/>
      <c r="C378" s="14"/>
      <c r="D378" s="14"/>
      <c r="E378" s="14"/>
      <c r="F378" s="14"/>
      <c r="G378" s="29" t="str">
        <f>A381&amp;"="</f>
        <v>β4=</v>
      </c>
      <c r="H378" s="14">
        <f>AG144</f>
        <v>7.5170539749766976E-3</v>
      </c>
      <c r="I378" s="14"/>
      <c r="J378" s="14"/>
      <c r="K378" s="14"/>
      <c r="L378" s="45"/>
      <c r="M378" s="68"/>
      <c r="N378" s="68"/>
      <c r="O378" s="68"/>
      <c r="P378" s="43"/>
      <c r="Q378" s="14"/>
      <c r="R378" s="14"/>
      <c r="S378" s="14"/>
      <c r="T378" s="14"/>
      <c r="U378" s="29" t="str">
        <f>G378</f>
        <v>β4=</v>
      </c>
      <c r="V378" s="29">
        <f>H378</f>
        <v>7.5170539749766976E-3</v>
      </c>
      <c r="W378" s="14"/>
      <c r="X378" s="14"/>
      <c r="Y378" s="14"/>
      <c r="Z378" s="45"/>
    </row>
    <row r="379" spans="1:26">
      <c r="A379" s="21" t="s">
        <v>83</v>
      </c>
      <c r="B379" s="43"/>
      <c r="C379" s="14"/>
      <c r="D379" s="14"/>
      <c r="E379" s="14"/>
      <c r="F379" s="14"/>
      <c r="G379" s="14"/>
      <c r="H379" s="14"/>
      <c r="I379" s="14"/>
      <c r="J379" s="14"/>
      <c r="K379" s="14"/>
      <c r="L379" s="45"/>
      <c r="P379" s="43"/>
      <c r="Q379" s="14"/>
      <c r="R379" s="14"/>
      <c r="S379" s="14"/>
      <c r="T379" s="14"/>
      <c r="U379" s="14"/>
      <c r="V379" s="14"/>
      <c r="W379" s="14"/>
      <c r="X379" s="14"/>
      <c r="Y379" s="14"/>
      <c r="Z379" s="45"/>
    </row>
    <row r="380" spans="1:26">
      <c r="A380" s="21" t="s">
        <v>104</v>
      </c>
      <c r="B380" s="43"/>
      <c r="C380" s="14"/>
      <c r="D380" s="14"/>
      <c r="E380" s="14"/>
      <c r="F380" s="14"/>
      <c r="G380" s="14"/>
      <c r="H380" s="14">
        <f>R144</f>
        <v>3.1587176050139956E-11</v>
      </c>
      <c r="I380" s="14"/>
      <c r="J380" s="14"/>
      <c r="K380" s="14"/>
      <c r="L380" s="45"/>
      <c r="P380" s="43"/>
      <c r="Q380" s="14"/>
      <c r="R380" s="14"/>
      <c r="S380" s="14"/>
      <c r="T380" s="14"/>
      <c r="U380" s="14"/>
      <c r="V380" s="29">
        <f>H380</f>
        <v>3.1587176050139956E-11</v>
      </c>
      <c r="W380" s="14"/>
      <c r="X380" s="14"/>
      <c r="Y380" s="14"/>
      <c r="Z380" s="45"/>
    </row>
    <row r="381" spans="1:26">
      <c r="A381" s="21" t="s">
        <v>90</v>
      </c>
      <c r="B381" s="43"/>
      <c r="C381" s="14"/>
      <c r="D381" s="14"/>
      <c r="E381" s="14"/>
      <c r="F381" s="14"/>
      <c r="G381" s="14"/>
      <c r="H381" s="14"/>
      <c r="I381" s="14"/>
      <c r="J381" s="14"/>
      <c r="K381" s="14"/>
      <c r="L381" s="45"/>
      <c r="P381" s="43"/>
      <c r="Q381" s="14"/>
      <c r="R381" s="14"/>
      <c r="S381" s="14"/>
      <c r="T381" s="14"/>
      <c r="U381" s="14"/>
      <c r="V381" s="14"/>
      <c r="W381" s="14"/>
      <c r="X381" s="14"/>
      <c r="Y381" s="14"/>
      <c r="Z381" s="45"/>
    </row>
    <row r="382" spans="1:26">
      <c r="A382" s="68"/>
      <c r="B382" s="43"/>
      <c r="C382" s="14"/>
      <c r="D382" s="14"/>
      <c r="E382" s="14"/>
      <c r="F382" s="14"/>
      <c r="G382" s="14"/>
      <c r="H382" s="14"/>
      <c r="I382" s="14"/>
      <c r="J382" s="14"/>
      <c r="K382" s="14"/>
      <c r="L382" s="45"/>
      <c r="P382" s="43"/>
      <c r="Q382" s="14"/>
      <c r="R382" s="14"/>
      <c r="S382" s="14"/>
      <c r="T382" s="14"/>
      <c r="U382" s="14"/>
      <c r="V382" s="14"/>
      <c r="W382" s="14"/>
      <c r="X382" s="14"/>
      <c r="Y382" s="14"/>
      <c r="Z382" s="45"/>
    </row>
    <row r="383" spans="1:26">
      <c r="A383" s="68"/>
      <c r="B383" s="43"/>
      <c r="C383" s="14">
        <f>D165</f>
        <v>236093.49455618649</v>
      </c>
      <c r="D383" s="14"/>
      <c r="E383" s="14"/>
      <c r="F383" s="14"/>
      <c r="G383" s="14"/>
      <c r="H383" s="14"/>
      <c r="I383" s="14"/>
      <c r="J383" s="14"/>
      <c r="K383" s="14"/>
      <c r="L383" s="45"/>
      <c r="P383" s="43"/>
      <c r="Q383" s="14">
        <f>C383</f>
        <v>236093.49455618649</v>
      </c>
      <c r="R383" s="14"/>
      <c r="S383" s="14"/>
      <c r="T383" s="14"/>
      <c r="U383" s="14"/>
      <c r="V383" s="14"/>
      <c r="W383" s="14"/>
      <c r="X383" s="14"/>
      <c r="Y383" s="14"/>
      <c r="Z383" s="45"/>
    </row>
    <row r="384" spans="1:26">
      <c r="A384" s="68"/>
      <c r="B384" s="43"/>
      <c r="C384" s="14"/>
      <c r="D384" s="14"/>
      <c r="E384" s="14"/>
      <c r="F384" s="14"/>
      <c r="G384" s="14"/>
      <c r="H384" s="14"/>
      <c r="I384" s="14"/>
      <c r="J384" s="14"/>
      <c r="K384" s="14"/>
      <c r="L384" s="45"/>
      <c r="P384" s="43"/>
      <c r="Q384" s="14"/>
      <c r="R384" s="14"/>
      <c r="S384" s="14"/>
      <c r="T384" s="14"/>
      <c r="U384" s="14"/>
      <c r="V384" s="14"/>
      <c r="W384" s="14"/>
      <c r="X384" s="14"/>
      <c r="Y384" s="14"/>
      <c r="Z384" s="45"/>
    </row>
    <row r="385" spans="1:26">
      <c r="A385" s="68"/>
      <c r="B385" s="43"/>
      <c r="C385" s="44" t="s">
        <v>105</v>
      </c>
      <c r="D385" s="14">
        <v>0.05</v>
      </c>
      <c r="E385" s="14"/>
      <c r="F385" s="14"/>
      <c r="G385" s="29" t="s">
        <v>108</v>
      </c>
      <c r="H385" s="14" t="str">
        <f>"]-∞;-"&amp;ROUND(D387,4)&amp;"[ U ]"&amp;ROUND(D387,4)&amp;";+∞["</f>
        <v>]-∞;-1,98[ U ]1,98;+∞[</v>
      </c>
      <c r="I385" s="14"/>
      <c r="J385" s="14"/>
      <c r="K385" s="14"/>
      <c r="L385" s="45"/>
      <c r="P385" s="43"/>
      <c r="Q385" s="44" t="s">
        <v>105</v>
      </c>
      <c r="R385" s="14">
        <v>0.01</v>
      </c>
      <c r="S385" s="14"/>
      <c r="T385" s="14"/>
      <c r="U385" s="29" t="s">
        <v>108</v>
      </c>
      <c r="V385" s="14" t="str">
        <f>"]-∞;-"&amp;ROUND(R387,4)&amp;"[ U ]"&amp;ROUND(R387,4)&amp;";+∞["</f>
        <v>]-∞;-2,62[ U ]2,62;+∞[</v>
      </c>
      <c r="W385" s="14"/>
      <c r="X385" s="14"/>
      <c r="Y385" s="14"/>
      <c r="Z385" s="45"/>
    </row>
    <row r="386" spans="1:26">
      <c r="A386" s="68"/>
      <c r="B386" s="43"/>
      <c r="C386" s="44"/>
      <c r="D386" s="14"/>
      <c r="E386" s="14"/>
      <c r="F386" s="14"/>
      <c r="G386" s="14"/>
      <c r="H386" s="14"/>
      <c r="I386" s="14"/>
      <c r="J386" s="14"/>
      <c r="K386" s="14"/>
      <c r="L386" s="45"/>
      <c r="P386" s="43"/>
      <c r="Q386" s="44"/>
      <c r="R386" s="14"/>
      <c r="S386" s="14"/>
      <c r="T386" s="14"/>
      <c r="U386" s="14"/>
      <c r="V386" s="14"/>
      <c r="W386" s="14"/>
      <c r="X386" s="14"/>
      <c r="Y386" s="14"/>
      <c r="Z386" s="45"/>
    </row>
    <row r="387" spans="1:26">
      <c r="A387" s="68"/>
      <c r="B387" s="43"/>
      <c r="C387" s="14"/>
      <c r="D387" s="14">
        <f>ROUND(_xlfn.T.INV(1-D385/2,120-(6+1)),2)</f>
        <v>1.98</v>
      </c>
      <c r="E387" s="14"/>
      <c r="F387" s="14"/>
      <c r="G387" s="14"/>
      <c r="H387" s="14"/>
      <c r="I387" s="14"/>
      <c r="J387" s="14"/>
      <c r="K387" s="14"/>
      <c r="L387" s="45"/>
      <c r="P387" s="43"/>
      <c r="Q387" s="14"/>
      <c r="R387" s="14">
        <f>ROUND(_xlfn.T.INV(1-R385/2,120-(6+1)),2)</f>
        <v>2.62</v>
      </c>
      <c r="S387" s="14"/>
      <c r="T387" s="14"/>
      <c r="U387" s="14"/>
      <c r="V387" s="14"/>
      <c r="W387" s="14"/>
      <c r="X387" s="14"/>
      <c r="Y387" s="14"/>
      <c r="Z387" s="45"/>
    </row>
    <row r="388" spans="1:26">
      <c r="A388" s="68"/>
      <c r="B388" s="43"/>
      <c r="C388" s="29"/>
      <c r="D388" s="14"/>
      <c r="E388" s="14"/>
      <c r="F388" s="14"/>
      <c r="G388" s="14"/>
      <c r="H388" s="14"/>
      <c r="I388" s="14"/>
      <c r="J388" s="14"/>
      <c r="K388" s="14"/>
      <c r="L388" s="45"/>
      <c r="P388" s="43"/>
      <c r="Q388" s="29"/>
      <c r="R388" s="14"/>
      <c r="S388" s="14"/>
      <c r="T388" s="14"/>
      <c r="U388" s="14"/>
      <c r="V388" s="14"/>
      <c r="W388" s="14"/>
      <c r="X388" s="14"/>
      <c r="Y388" s="14"/>
      <c r="Z388" s="45"/>
    </row>
    <row r="389" spans="1:26">
      <c r="A389" s="68"/>
      <c r="B389" s="43"/>
      <c r="C389" s="14"/>
      <c r="D389" s="14"/>
      <c r="E389" s="14"/>
      <c r="F389" s="14"/>
      <c r="G389" s="14"/>
      <c r="H389" s="14"/>
      <c r="I389" s="14"/>
      <c r="J389" s="14"/>
      <c r="K389" s="14"/>
      <c r="L389" s="45"/>
      <c r="P389" s="43"/>
      <c r="Q389" s="14"/>
      <c r="R389" s="14"/>
      <c r="S389" s="14"/>
      <c r="T389" s="14"/>
      <c r="U389" s="14"/>
      <c r="V389" s="14"/>
      <c r="W389" s="14"/>
      <c r="X389" s="14"/>
      <c r="Y389" s="14"/>
      <c r="Z389" s="45"/>
    </row>
    <row r="390" spans="1:26">
      <c r="A390" s="68"/>
      <c r="B390" s="43"/>
      <c r="C390" s="14"/>
      <c r="D390" s="14"/>
      <c r="E390" s="14"/>
      <c r="F390" s="14"/>
      <c r="G390" s="14"/>
      <c r="H390" s="14"/>
      <c r="I390" s="14"/>
      <c r="J390" s="14"/>
      <c r="K390" s="14"/>
      <c r="L390" s="45"/>
      <c r="P390" s="43"/>
      <c r="Q390" s="14"/>
      <c r="R390" s="14"/>
      <c r="S390" s="14"/>
      <c r="T390" s="14"/>
      <c r="U390" s="14"/>
      <c r="V390" s="14"/>
      <c r="W390" s="14"/>
      <c r="X390" s="14"/>
      <c r="Y390" s="14"/>
      <c r="Z390" s="45"/>
    </row>
    <row r="391" spans="1:26">
      <c r="A391" s="68"/>
      <c r="B391" s="43"/>
      <c r="C391" s="29" t="s">
        <v>106</v>
      </c>
      <c r="D391" s="14">
        <f>ROUND(H378/SQRT(C383*H380),4)</f>
        <v>2.7526000000000002</v>
      </c>
      <c r="E391" s="14"/>
      <c r="F391" s="14"/>
      <c r="G391" s="14"/>
      <c r="H391" s="14"/>
      <c r="I391" s="14"/>
      <c r="J391" s="14"/>
      <c r="K391" s="14"/>
      <c r="L391" s="45"/>
      <c r="P391" s="43"/>
      <c r="Q391" s="29" t="s">
        <v>106</v>
      </c>
      <c r="R391" s="14">
        <f>ROUND(V378/SQRT(Q383*V380),4)</f>
        <v>2.7526000000000002</v>
      </c>
      <c r="S391" s="14"/>
      <c r="T391" s="14"/>
      <c r="U391" s="14"/>
      <c r="V391" s="14"/>
      <c r="W391" s="14"/>
      <c r="X391" s="14"/>
      <c r="Y391" s="14"/>
      <c r="Z391" s="45"/>
    </row>
    <row r="392" spans="1:26">
      <c r="A392" s="68"/>
      <c r="B392" s="43"/>
      <c r="C392" s="29" t="s">
        <v>107</v>
      </c>
      <c r="D392" s="14">
        <f>ABS(D391)</f>
        <v>2.7526000000000002</v>
      </c>
      <c r="E392" s="14"/>
      <c r="F392" s="14"/>
      <c r="G392" s="14"/>
      <c r="H392" s="14"/>
      <c r="I392" s="14"/>
      <c r="J392" s="14"/>
      <c r="K392" s="14"/>
      <c r="L392" s="45"/>
      <c r="P392" s="43"/>
      <c r="Q392" s="29" t="s">
        <v>107</v>
      </c>
      <c r="R392" s="14">
        <f>ABS(R391)</f>
        <v>2.7526000000000002</v>
      </c>
      <c r="S392" s="14"/>
      <c r="T392" s="14"/>
      <c r="U392" s="14"/>
      <c r="V392" s="14"/>
      <c r="W392" s="14"/>
      <c r="X392" s="14"/>
      <c r="Y392" s="14"/>
      <c r="Z392" s="45"/>
    </row>
    <row r="393" spans="1:26" ht="13.5" thickBot="1">
      <c r="A393" s="68"/>
      <c r="B393" s="47" t="str">
        <f>IF(ABS(D391)&gt;ROUND(D387,4), "Como |"&amp;ROUND(D391,2)&amp;"| &gt; "&amp;ROUND(D387,4)&amp;" então rejeita-se H0, logo a um nível de significância de "&amp;D385*100&amp;"% há evidencia estatística suficiente para se concluir que beta4 é não nulo","Como |"&amp;ROUND(D391,2)&amp;"|  ≤ "&amp;ROUND(D387,4)&amp;" então não se rejeita H0, logo a um nível de significância de "&amp;D385*100&amp;"% há evidencia estatística suficiente para se concluir que beta2 é nulo")</f>
        <v>Como |2,75| &gt; 1,98 então rejeita-se H0, logo a um nível de significância de 5% há evidencia estatística suficiente para se concluir que beta4 é não nulo</v>
      </c>
      <c r="C393" s="28"/>
      <c r="D393" s="28"/>
      <c r="E393" s="28"/>
      <c r="F393" s="28"/>
      <c r="G393" s="28"/>
      <c r="H393" s="28"/>
      <c r="I393" s="28"/>
      <c r="J393" s="28"/>
      <c r="K393" s="49"/>
      <c r="L393" s="49"/>
      <c r="P393" s="47" t="str">
        <f>IF(ABS(R391)&gt;ROUND(R387,4), "Como |"&amp;ROUND(R391,2)&amp;"| &gt; "&amp;ROUND(R387,4)&amp;" então rejeita-se H0, logo a um nível de significância de "&amp;R385*100&amp;"% há evidencia estatística suficiente para se concluir que beta4 é não nulo","Como |"&amp;ROUND(R391,2)&amp;"|  ≤ "&amp;ROUND(R387,4)&amp;" então não se rejeita H0, logo a um nível de significância de "&amp;R385*100&amp;"% há evidencia estatística suficiente para se concluir que beta2 é nulo")</f>
        <v>Como |2,75| &gt; 2,62 então rejeita-se H0, logo a um nível de significância de 1% há evidencia estatística suficiente para se concluir que beta4 é não nulo</v>
      </c>
      <c r="Q393" s="28"/>
      <c r="R393" s="28"/>
      <c r="S393" s="28"/>
      <c r="T393" s="28"/>
      <c r="U393" s="28"/>
      <c r="V393" s="28"/>
      <c r="W393" s="28"/>
      <c r="X393" s="28"/>
      <c r="Y393" s="49"/>
      <c r="Z393" s="49"/>
    </row>
    <row r="394" spans="1:26" ht="13.5" thickBot="1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>
      <c r="A395" s="68"/>
      <c r="B395" s="39"/>
      <c r="C395" s="41"/>
      <c r="D395" s="41"/>
      <c r="E395" s="41"/>
      <c r="F395" s="41"/>
      <c r="G395" s="41"/>
      <c r="H395" s="41"/>
      <c r="I395" s="41"/>
      <c r="J395" s="41"/>
      <c r="K395" s="41"/>
      <c r="L395" s="42"/>
      <c r="P395" s="39"/>
      <c r="Q395" s="41"/>
      <c r="R395" s="41"/>
      <c r="S395" s="41"/>
      <c r="T395" s="41"/>
      <c r="U395" s="41"/>
      <c r="V395" s="41"/>
      <c r="W395" s="41"/>
      <c r="X395" s="41"/>
      <c r="Y395" s="41"/>
      <c r="Z395" s="42"/>
    </row>
    <row r="396" spans="1:26">
      <c r="A396" s="21" t="s">
        <v>103</v>
      </c>
      <c r="B396" s="43"/>
      <c r="C396" s="14"/>
      <c r="D396" s="14"/>
      <c r="E396" s="14"/>
      <c r="F396" s="14"/>
      <c r="G396" s="29" t="str">
        <f>A399&amp;"="</f>
        <v>β5=</v>
      </c>
      <c r="H396" s="14">
        <f>AG145</f>
        <v>65808.11190271785</v>
      </c>
      <c r="I396" s="14"/>
      <c r="J396" s="14"/>
      <c r="K396" s="14"/>
      <c r="L396" s="45"/>
      <c r="P396" s="43"/>
      <c r="Q396" s="14"/>
      <c r="R396" s="14"/>
      <c r="S396" s="14"/>
      <c r="T396" s="14"/>
      <c r="U396" s="29" t="str">
        <f>G396</f>
        <v>β5=</v>
      </c>
      <c r="V396" s="29">
        <f>H396</f>
        <v>65808.11190271785</v>
      </c>
      <c r="W396" s="14"/>
      <c r="X396" s="14"/>
      <c r="Y396" s="14"/>
      <c r="Z396" s="45"/>
    </row>
    <row r="397" spans="1:26">
      <c r="A397" s="21" t="s">
        <v>83</v>
      </c>
      <c r="B397" s="43"/>
      <c r="C397" s="14"/>
      <c r="D397" s="14"/>
      <c r="E397" s="14"/>
      <c r="F397" s="14"/>
      <c r="G397" s="14"/>
      <c r="H397" s="14"/>
      <c r="I397" s="14"/>
      <c r="J397" s="14"/>
      <c r="K397" s="14"/>
      <c r="L397" s="45"/>
      <c r="P397" s="43"/>
      <c r="Q397" s="14"/>
      <c r="R397" s="14"/>
      <c r="S397" s="14"/>
      <c r="T397" s="14"/>
      <c r="U397" s="14"/>
      <c r="V397" s="14"/>
      <c r="W397" s="14"/>
      <c r="X397" s="14"/>
      <c r="Y397" s="14"/>
      <c r="Z397" s="45"/>
    </row>
    <row r="398" spans="1:26">
      <c r="A398" s="21" t="s">
        <v>104</v>
      </c>
      <c r="B398" s="43"/>
      <c r="C398" s="14"/>
      <c r="D398" s="14"/>
      <c r="E398" s="14"/>
      <c r="F398" s="14"/>
      <c r="G398" s="14"/>
      <c r="H398" s="14">
        <f>S145</f>
        <v>209.57514003671596</v>
      </c>
      <c r="I398" s="14"/>
      <c r="J398" s="14"/>
      <c r="K398" s="14"/>
      <c r="L398" s="45"/>
      <c r="P398" s="43"/>
      <c r="Q398" s="14"/>
      <c r="R398" s="14"/>
      <c r="S398" s="14"/>
      <c r="T398" s="14"/>
      <c r="U398" s="14"/>
      <c r="V398" s="29">
        <f>H398</f>
        <v>209.57514003671596</v>
      </c>
      <c r="W398" s="14"/>
      <c r="X398" s="14"/>
      <c r="Y398" s="14"/>
      <c r="Z398" s="45"/>
    </row>
    <row r="399" spans="1:26">
      <c r="A399" s="21" t="s">
        <v>89</v>
      </c>
      <c r="B399" s="43"/>
      <c r="C399" s="14"/>
      <c r="D399" s="14"/>
      <c r="E399" s="14"/>
      <c r="F399" s="14"/>
      <c r="G399" s="14"/>
      <c r="H399" s="14"/>
      <c r="I399" s="14"/>
      <c r="J399" s="14"/>
      <c r="K399" s="14"/>
      <c r="L399" s="45"/>
      <c r="P399" s="43"/>
      <c r="Q399" s="14"/>
      <c r="R399" s="14"/>
      <c r="S399" s="14"/>
      <c r="T399" s="14"/>
      <c r="U399" s="14"/>
      <c r="V399" s="14"/>
      <c r="W399" s="14"/>
      <c r="X399" s="14"/>
      <c r="Y399" s="14"/>
      <c r="Z399" s="45"/>
    </row>
    <row r="400" spans="1:26">
      <c r="A400" s="68"/>
      <c r="B400" s="43"/>
      <c r="C400" s="14"/>
      <c r="D400" s="14"/>
      <c r="E400" s="14"/>
      <c r="F400" s="14"/>
      <c r="G400" s="14"/>
      <c r="H400" s="14"/>
      <c r="I400" s="14"/>
      <c r="J400" s="14"/>
      <c r="K400" s="14"/>
      <c r="L400" s="45"/>
      <c r="P400" s="43"/>
      <c r="Q400" s="14"/>
      <c r="R400" s="14"/>
      <c r="S400" s="14"/>
      <c r="T400" s="14"/>
      <c r="U400" s="14"/>
      <c r="V400" s="14"/>
      <c r="W400" s="14"/>
      <c r="X400" s="14"/>
      <c r="Y400" s="14"/>
      <c r="Z400" s="45"/>
    </row>
    <row r="401" spans="1:26">
      <c r="A401" s="68"/>
      <c r="B401" s="43"/>
      <c r="C401" s="14">
        <f>D165</f>
        <v>236093.49455618649</v>
      </c>
      <c r="D401" s="14"/>
      <c r="E401" s="14"/>
      <c r="F401" s="14"/>
      <c r="G401" s="14"/>
      <c r="H401" s="14"/>
      <c r="I401" s="14"/>
      <c r="J401" s="14"/>
      <c r="K401" s="14"/>
      <c r="L401" s="45"/>
      <c r="P401" s="43"/>
      <c r="Q401" s="14">
        <f>C401</f>
        <v>236093.49455618649</v>
      </c>
      <c r="R401" s="14"/>
      <c r="S401" s="14"/>
      <c r="T401" s="14"/>
      <c r="U401" s="14"/>
      <c r="V401" s="14"/>
      <c r="W401" s="14"/>
      <c r="X401" s="14"/>
      <c r="Y401" s="14"/>
      <c r="Z401" s="45"/>
    </row>
    <row r="402" spans="1:26">
      <c r="A402" s="68"/>
      <c r="B402" s="43"/>
      <c r="C402" s="14"/>
      <c r="D402" s="14"/>
      <c r="E402" s="14"/>
      <c r="F402" s="14"/>
      <c r="G402" s="14"/>
      <c r="H402" s="14"/>
      <c r="I402" s="14"/>
      <c r="J402" s="14"/>
      <c r="K402" s="14"/>
      <c r="L402" s="45"/>
      <c r="P402" s="43"/>
      <c r="Q402" s="14"/>
      <c r="R402" s="14"/>
      <c r="S402" s="14"/>
      <c r="T402" s="14"/>
      <c r="U402" s="14"/>
      <c r="V402" s="14"/>
      <c r="W402" s="14"/>
      <c r="X402" s="14"/>
      <c r="Y402" s="14"/>
      <c r="Z402" s="45"/>
    </row>
    <row r="403" spans="1:26">
      <c r="A403" s="68"/>
      <c r="B403" s="43"/>
      <c r="C403" s="44" t="s">
        <v>105</v>
      </c>
      <c r="D403" s="14">
        <v>0.05</v>
      </c>
      <c r="E403" s="14"/>
      <c r="F403" s="14"/>
      <c r="G403" s="29" t="s">
        <v>108</v>
      </c>
      <c r="H403" s="14" t="str">
        <f>"]-∞;-"&amp;ROUND(D405,4)&amp;"[ U ]"&amp;ROUND(D405,4)&amp;";+∞["</f>
        <v>]-∞;-1,98[ U ]1,98;+∞[</v>
      </c>
      <c r="I403" s="14"/>
      <c r="J403" s="14"/>
      <c r="K403" s="14"/>
      <c r="L403" s="45"/>
      <c r="P403" s="43"/>
      <c r="Q403" s="44" t="s">
        <v>105</v>
      </c>
      <c r="R403" s="14">
        <v>0.01</v>
      </c>
      <c r="S403" s="14"/>
      <c r="T403" s="14"/>
      <c r="U403" s="29" t="s">
        <v>108</v>
      </c>
      <c r="V403" s="14" t="str">
        <f>"]-∞;-"&amp;ROUND(R405,4)&amp;"[ U ]"&amp;ROUND(R405,4)&amp;";+∞["</f>
        <v>]-∞;-2,62[ U ]2,62;+∞[</v>
      </c>
      <c r="W403" s="14"/>
      <c r="X403" s="14"/>
      <c r="Y403" s="14"/>
      <c r="Z403" s="45"/>
    </row>
    <row r="404" spans="1:26">
      <c r="A404" s="68"/>
      <c r="B404" s="43"/>
      <c r="C404" s="44"/>
      <c r="D404" s="14"/>
      <c r="E404" s="14"/>
      <c r="F404" s="14"/>
      <c r="G404" s="14"/>
      <c r="H404" s="14"/>
      <c r="I404" s="14"/>
      <c r="J404" s="14"/>
      <c r="K404" s="14"/>
      <c r="L404" s="45"/>
      <c r="P404" s="43"/>
      <c r="Q404" s="44"/>
      <c r="R404" s="14"/>
      <c r="S404" s="14"/>
      <c r="T404" s="14"/>
      <c r="U404" s="14"/>
      <c r="V404" s="14"/>
      <c r="W404" s="14"/>
      <c r="X404" s="14"/>
      <c r="Y404" s="14"/>
      <c r="Z404" s="45"/>
    </row>
    <row r="405" spans="1:26">
      <c r="A405" s="68"/>
      <c r="B405" s="43"/>
      <c r="C405" s="14"/>
      <c r="D405" s="14">
        <f>ROUND(_xlfn.T.INV(1-D403/2,120-(6+1)),2)</f>
        <v>1.98</v>
      </c>
      <c r="E405" s="14"/>
      <c r="F405" s="14"/>
      <c r="G405" s="14"/>
      <c r="H405" s="14"/>
      <c r="I405" s="14"/>
      <c r="J405" s="14"/>
      <c r="K405" s="14"/>
      <c r="L405" s="45"/>
      <c r="P405" s="43"/>
      <c r="Q405" s="14"/>
      <c r="R405" s="14">
        <f>ROUND(_xlfn.T.INV(1-R403/2,120-(6+1)),2)</f>
        <v>2.62</v>
      </c>
      <c r="S405" s="14"/>
      <c r="T405" s="14"/>
      <c r="U405" s="14"/>
      <c r="V405" s="14"/>
      <c r="W405" s="14"/>
      <c r="X405" s="14"/>
      <c r="Y405" s="14"/>
      <c r="Z405" s="45"/>
    </row>
    <row r="406" spans="1:26">
      <c r="A406" s="68"/>
      <c r="B406" s="43"/>
      <c r="C406" s="29"/>
      <c r="D406" s="14"/>
      <c r="E406" s="14"/>
      <c r="F406" s="14"/>
      <c r="G406" s="14"/>
      <c r="H406" s="14"/>
      <c r="I406" s="14"/>
      <c r="J406" s="14"/>
      <c r="K406" s="14"/>
      <c r="L406" s="45"/>
      <c r="P406" s="43"/>
      <c r="Q406" s="29"/>
      <c r="R406" s="14"/>
      <c r="S406" s="14"/>
      <c r="T406" s="14"/>
      <c r="U406" s="14"/>
      <c r="V406" s="14"/>
      <c r="W406" s="14"/>
      <c r="X406" s="14"/>
      <c r="Y406" s="14"/>
      <c r="Z406" s="45"/>
    </row>
    <row r="407" spans="1:26">
      <c r="A407" s="68"/>
      <c r="B407" s="43"/>
      <c r="C407" s="14"/>
      <c r="D407" s="14"/>
      <c r="E407" s="14"/>
      <c r="F407" s="14"/>
      <c r="G407" s="14"/>
      <c r="H407" s="14"/>
      <c r="I407" s="14"/>
      <c r="J407" s="14"/>
      <c r="K407" s="14"/>
      <c r="L407" s="45"/>
      <c r="P407" s="43"/>
      <c r="Q407" s="14"/>
      <c r="R407" s="14"/>
      <c r="S407" s="14"/>
      <c r="T407" s="14"/>
      <c r="U407" s="14"/>
      <c r="V407" s="14"/>
      <c r="W407" s="14"/>
      <c r="X407" s="14"/>
      <c r="Y407" s="14"/>
      <c r="Z407" s="45"/>
    </row>
    <row r="408" spans="1:26">
      <c r="A408" s="68"/>
      <c r="B408" s="43"/>
      <c r="C408" s="14"/>
      <c r="D408" s="14"/>
      <c r="E408" s="14"/>
      <c r="F408" s="14"/>
      <c r="G408" s="14"/>
      <c r="H408" s="14"/>
      <c r="I408" s="14"/>
      <c r="J408" s="14"/>
      <c r="K408" s="14"/>
      <c r="L408" s="45"/>
      <c r="P408" s="43"/>
      <c r="Q408" s="14"/>
      <c r="R408" s="14"/>
      <c r="S408" s="14"/>
      <c r="T408" s="14"/>
      <c r="U408" s="14"/>
      <c r="V408" s="14"/>
      <c r="W408" s="14"/>
      <c r="X408" s="14"/>
      <c r="Y408" s="14"/>
      <c r="Z408" s="45"/>
    </row>
    <row r="409" spans="1:26">
      <c r="A409" s="68"/>
      <c r="B409" s="43"/>
      <c r="C409" s="29" t="s">
        <v>106</v>
      </c>
      <c r="D409" s="14">
        <f>ROUND(H396/SQRT(C401*H398),4)</f>
        <v>9.3554999999999993</v>
      </c>
      <c r="E409" s="14"/>
      <c r="F409" s="14"/>
      <c r="G409" s="14"/>
      <c r="H409" s="14"/>
      <c r="I409" s="14"/>
      <c r="J409" s="14"/>
      <c r="K409" s="14"/>
      <c r="L409" s="45"/>
      <c r="P409" s="43"/>
      <c r="Q409" s="29" t="s">
        <v>106</v>
      </c>
      <c r="R409" s="14">
        <f>ROUND(V396/SQRT(Q401*V398),4)</f>
        <v>9.3554999999999993</v>
      </c>
      <c r="S409" s="14"/>
      <c r="T409" s="14"/>
      <c r="U409" s="14"/>
      <c r="V409" s="14"/>
      <c r="W409" s="14"/>
      <c r="X409" s="14"/>
      <c r="Y409" s="14"/>
      <c r="Z409" s="45"/>
    </row>
    <row r="410" spans="1:26">
      <c r="A410" s="68"/>
      <c r="B410" s="43"/>
      <c r="C410" s="29" t="s">
        <v>107</v>
      </c>
      <c r="D410" s="14">
        <f>ABS(D409)</f>
        <v>9.3554999999999993</v>
      </c>
      <c r="E410" s="14"/>
      <c r="F410" s="14"/>
      <c r="G410" s="14"/>
      <c r="H410" s="14"/>
      <c r="I410" s="14"/>
      <c r="J410" s="14"/>
      <c r="K410" s="14"/>
      <c r="L410" s="45"/>
      <c r="P410" s="43"/>
      <c r="Q410" s="29" t="s">
        <v>107</v>
      </c>
      <c r="R410" s="14">
        <f>ABS(R409)</f>
        <v>9.3554999999999993</v>
      </c>
      <c r="S410" s="14"/>
      <c r="T410" s="14"/>
      <c r="U410" s="14"/>
      <c r="V410" s="14"/>
      <c r="W410" s="14"/>
      <c r="X410" s="14"/>
      <c r="Y410" s="14"/>
      <c r="Z410" s="45"/>
    </row>
    <row r="411" spans="1:26" ht="13.5" thickBot="1">
      <c r="A411" s="68"/>
      <c r="B411" s="47" t="str">
        <f>IF(ABS(D409)&gt;ROUND(D405,4), "Como |"&amp;ROUND(D409,2)&amp;"| &gt; "&amp;ROUND(D405,4)&amp;" então rejeita-se H0, logo a um nível de significância de "&amp;D403*100&amp;"% há evidencia estatística suficiente para se concluir que beta5 é não nulo","Como |"&amp;ROUND(D409,2)&amp;"|  ≤ "&amp;ROUND(D405,4)&amp;" então não se rejeita H0, logo a um nível de significância de "&amp;D403*100&amp;"% há evidencia estatística suficiente para se concluir que beta2 é nulo")</f>
        <v>Como |9,36| &gt; 1,98 então rejeita-se H0, logo a um nível de significância de 5% há evidencia estatística suficiente para se concluir que beta5 é não nulo</v>
      </c>
      <c r="C411" s="28"/>
      <c r="D411" s="28"/>
      <c r="E411" s="28"/>
      <c r="F411" s="28"/>
      <c r="G411" s="28"/>
      <c r="H411" s="28"/>
      <c r="I411" s="28"/>
      <c r="J411" s="28"/>
      <c r="K411" s="49"/>
      <c r="L411" s="49"/>
      <c r="P411" s="47" t="str">
        <f>IF(ABS(R409)&gt;ROUND(R405,4), "Como |"&amp;ROUND(R409,2)&amp;"| &gt; "&amp;ROUND(R405,4)&amp;" então rejeita-se H0, logo a um nível de significância de "&amp;R403*100&amp;"% há evidencia estatística suficiente para se concluir que beta5 é não nulo","Como |"&amp;ROUND(R409,2)&amp;"|  ≤ "&amp;ROUND(R405,4)&amp;" então não se rejeita H0, logo a um nível de significância de "&amp;R403*100&amp;"% há evidencia estatística suficiente para se concluir que beta2 é nulo")</f>
        <v>Como |9,36| &gt; 2,62 então rejeita-se H0, logo a um nível de significância de 1% há evidencia estatística suficiente para se concluir que beta5 é não nulo</v>
      </c>
      <c r="Q411" s="28"/>
      <c r="R411" s="28"/>
      <c r="S411" s="28"/>
      <c r="T411" s="28"/>
      <c r="U411" s="28"/>
      <c r="V411" s="28"/>
      <c r="W411" s="28"/>
      <c r="X411" s="28"/>
      <c r="Y411" s="49"/>
      <c r="Z411" s="49"/>
    </row>
    <row r="412" spans="1:26" ht="13.5" thickBot="1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>
      <c r="A413" s="68"/>
      <c r="B413" s="39"/>
      <c r="C413" s="41"/>
      <c r="D413" s="41"/>
      <c r="E413" s="41"/>
      <c r="F413" s="41"/>
      <c r="G413" s="41"/>
      <c r="H413" s="41"/>
      <c r="I413" s="41"/>
      <c r="J413" s="41"/>
      <c r="K413" s="41"/>
      <c r="L413" s="42"/>
      <c r="P413" s="39"/>
      <c r="Q413" s="41"/>
      <c r="R413" s="41"/>
      <c r="S413" s="41"/>
      <c r="T413" s="41"/>
      <c r="U413" s="41"/>
      <c r="V413" s="41"/>
      <c r="W413" s="41"/>
      <c r="X413" s="41"/>
      <c r="Y413" s="41"/>
      <c r="Z413" s="42"/>
    </row>
    <row r="414" spans="1:26">
      <c r="A414" s="21" t="s">
        <v>103</v>
      </c>
      <c r="B414" s="43"/>
      <c r="C414" s="14"/>
      <c r="D414" s="14"/>
      <c r="E414" s="14"/>
      <c r="F414" s="14"/>
      <c r="G414" s="29" t="str">
        <f>A417&amp;"="</f>
        <v>β6=</v>
      </c>
      <c r="H414" s="14">
        <f>AG146</f>
        <v>3.1872297061130532E-5</v>
      </c>
      <c r="I414" s="14"/>
      <c r="J414" s="14"/>
      <c r="K414" s="14"/>
      <c r="L414" s="45"/>
      <c r="P414" s="43"/>
      <c r="Q414" s="14"/>
      <c r="R414" s="14"/>
      <c r="S414" s="14"/>
      <c r="T414" s="14"/>
      <c r="U414" s="29" t="str">
        <f>G414</f>
        <v>β6=</v>
      </c>
      <c r="V414" s="29">
        <f>H414</f>
        <v>3.1872297061130532E-5</v>
      </c>
      <c r="W414" s="14"/>
      <c r="X414" s="14"/>
      <c r="Y414" s="14"/>
      <c r="Z414" s="45"/>
    </row>
    <row r="415" spans="1:26">
      <c r="A415" s="21" t="s">
        <v>83</v>
      </c>
      <c r="B415" s="43"/>
      <c r="C415" s="14"/>
      <c r="D415" s="14"/>
      <c r="E415" s="14"/>
      <c r="F415" s="14"/>
      <c r="G415" s="14"/>
      <c r="H415" s="14"/>
      <c r="I415" s="14"/>
      <c r="J415" s="14"/>
      <c r="K415" s="14"/>
      <c r="L415" s="45"/>
      <c r="P415" s="43"/>
      <c r="Q415" s="14"/>
      <c r="R415" s="14"/>
      <c r="S415" s="14"/>
      <c r="T415" s="14"/>
      <c r="U415" s="14"/>
      <c r="V415" s="14"/>
      <c r="W415" s="14"/>
      <c r="X415" s="14"/>
      <c r="Y415" s="14"/>
      <c r="Z415" s="45"/>
    </row>
    <row r="416" spans="1:26">
      <c r="A416" s="21" t="s">
        <v>104</v>
      </c>
      <c r="B416" s="43"/>
      <c r="C416" s="14"/>
      <c r="D416" s="14"/>
      <c r="E416" s="14"/>
      <c r="F416" s="14"/>
      <c r="G416" s="14"/>
      <c r="H416" s="14">
        <f>T146</f>
        <v>1.0103437898552161E-13</v>
      </c>
      <c r="I416" s="14"/>
      <c r="J416" s="14"/>
      <c r="K416" s="14"/>
      <c r="L416" s="45"/>
      <c r="P416" s="43"/>
      <c r="Q416" s="14"/>
      <c r="R416" s="14"/>
      <c r="S416" s="14"/>
      <c r="T416" s="14"/>
      <c r="U416" s="14"/>
      <c r="V416" s="29">
        <f>H416</f>
        <v>1.0103437898552161E-13</v>
      </c>
      <c r="W416" s="14"/>
      <c r="X416" s="14"/>
      <c r="Y416" s="14"/>
      <c r="Z416" s="45"/>
    </row>
    <row r="417" spans="1:26">
      <c r="A417" s="21" t="s">
        <v>88</v>
      </c>
      <c r="B417" s="43"/>
      <c r="C417" s="14"/>
      <c r="D417" s="14"/>
      <c r="E417" s="14"/>
      <c r="F417" s="14"/>
      <c r="G417" s="14"/>
      <c r="H417" s="14"/>
      <c r="I417" s="14"/>
      <c r="J417" s="14"/>
      <c r="K417" s="14"/>
      <c r="L417" s="45"/>
      <c r="P417" s="43"/>
      <c r="Q417" s="14"/>
      <c r="R417" s="14"/>
      <c r="S417" s="14"/>
      <c r="T417" s="14"/>
      <c r="U417" s="14"/>
      <c r="V417" s="14"/>
      <c r="W417" s="14"/>
      <c r="X417" s="14"/>
      <c r="Y417" s="14"/>
      <c r="Z417" s="45"/>
    </row>
    <row r="418" spans="1:26">
      <c r="A418" s="68"/>
      <c r="B418" s="43"/>
      <c r="C418" s="14"/>
      <c r="D418" s="14"/>
      <c r="E418" s="14"/>
      <c r="F418" s="14"/>
      <c r="G418" s="14"/>
      <c r="H418" s="14"/>
      <c r="I418" s="14"/>
      <c r="J418" s="14"/>
      <c r="K418" s="14"/>
      <c r="L418" s="45"/>
      <c r="P418" s="43"/>
      <c r="Q418" s="14"/>
      <c r="R418" s="14"/>
      <c r="S418" s="14"/>
      <c r="T418" s="14"/>
      <c r="U418" s="14"/>
      <c r="V418" s="14"/>
      <c r="W418" s="14"/>
      <c r="X418" s="14"/>
      <c r="Y418" s="14"/>
      <c r="Z418" s="45"/>
    </row>
    <row r="419" spans="1:26">
      <c r="A419" s="68"/>
      <c r="B419" s="43"/>
      <c r="C419" s="14">
        <f>D165</f>
        <v>236093.49455618649</v>
      </c>
      <c r="D419" s="14"/>
      <c r="E419" s="14"/>
      <c r="F419" s="14"/>
      <c r="G419" s="14"/>
      <c r="H419" s="14"/>
      <c r="I419" s="14"/>
      <c r="J419" s="14"/>
      <c r="K419" s="14"/>
      <c r="L419" s="45"/>
      <c r="P419" s="43"/>
      <c r="Q419" s="14">
        <f>C419</f>
        <v>236093.49455618649</v>
      </c>
      <c r="R419" s="14"/>
      <c r="S419" s="14"/>
      <c r="T419" s="14"/>
      <c r="U419" s="14"/>
      <c r="V419" s="14"/>
      <c r="W419" s="14"/>
      <c r="X419" s="14"/>
      <c r="Y419" s="14"/>
      <c r="Z419" s="45"/>
    </row>
    <row r="420" spans="1:26">
      <c r="A420" s="68"/>
      <c r="B420" s="43"/>
      <c r="C420" s="14"/>
      <c r="D420" s="14"/>
      <c r="E420" s="14"/>
      <c r="F420" s="14"/>
      <c r="G420" s="14"/>
      <c r="H420" s="14"/>
      <c r="I420" s="14"/>
      <c r="J420" s="14"/>
      <c r="K420" s="14"/>
      <c r="L420" s="45"/>
      <c r="P420" s="43"/>
      <c r="Q420" s="14"/>
      <c r="R420" s="14"/>
      <c r="S420" s="14"/>
      <c r="T420" s="14"/>
      <c r="U420" s="14"/>
      <c r="V420" s="14"/>
      <c r="W420" s="14"/>
      <c r="X420" s="14"/>
      <c r="Y420" s="14"/>
      <c r="Z420" s="45"/>
    </row>
    <row r="421" spans="1:26">
      <c r="A421" s="68"/>
      <c r="B421" s="43"/>
      <c r="C421" s="44" t="s">
        <v>105</v>
      </c>
      <c r="D421" s="14">
        <v>0.05</v>
      </c>
      <c r="E421" s="14"/>
      <c r="F421" s="14"/>
      <c r="G421" s="29" t="s">
        <v>108</v>
      </c>
      <c r="H421" s="14" t="str">
        <f>"]-∞;-"&amp;ROUND(D423,4)&amp;"[ U ]"&amp;ROUND(D423,4)&amp;";+∞["</f>
        <v>]-∞;-1,98[ U ]1,98;+∞[</v>
      </c>
      <c r="I421" s="14"/>
      <c r="J421" s="14"/>
      <c r="K421" s="14"/>
      <c r="L421" s="45"/>
      <c r="P421" s="43"/>
      <c r="Q421" s="44" t="s">
        <v>105</v>
      </c>
      <c r="R421" s="14">
        <v>0.01</v>
      </c>
      <c r="S421" s="14"/>
      <c r="T421" s="14"/>
      <c r="U421" s="29" t="s">
        <v>108</v>
      </c>
      <c r="V421" s="14" t="str">
        <f>"]-∞;-"&amp;ROUND(R423,4)&amp;"[ U ]"&amp;ROUND(R423,4)&amp;";+∞["</f>
        <v>]-∞;-2,62[ U ]2,62;+∞[</v>
      </c>
      <c r="W421" s="14"/>
      <c r="X421" s="14"/>
      <c r="Y421" s="14"/>
      <c r="Z421" s="45"/>
    </row>
    <row r="422" spans="1:26">
      <c r="A422" s="68"/>
      <c r="B422" s="43"/>
      <c r="C422" s="44"/>
      <c r="D422" s="14"/>
      <c r="E422" s="14"/>
      <c r="F422" s="14"/>
      <c r="G422" s="14"/>
      <c r="H422" s="14"/>
      <c r="I422" s="14"/>
      <c r="J422" s="14"/>
      <c r="K422" s="14"/>
      <c r="L422" s="45"/>
      <c r="P422" s="43"/>
      <c r="Q422" s="44"/>
      <c r="R422" s="14"/>
      <c r="S422" s="14"/>
      <c r="T422" s="14"/>
      <c r="U422" s="14"/>
      <c r="V422" s="14"/>
      <c r="W422" s="14"/>
      <c r="X422" s="14"/>
      <c r="Y422" s="14"/>
      <c r="Z422" s="45"/>
    </row>
    <row r="423" spans="1:26">
      <c r="A423" s="68"/>
      <c r="B423" s="43"/>
      <c r="C423" s="14"/>
      <c r="D423" s="14">
        <f>ROUND(_xlfn.T.INV(1-D421/2,120-(6+1)),2)</f>
        <v>1.98</v>
      </c>
      <c r="E423" s="14"/>
      <c r="F423" s="14"/>
      <c r="G423" s="14"/>
      <c r="H423" s="14"/>
      <c r="I423" s="14"/>
      <c r="J423" s="14"/>
      <c r="K423" s="14"/>
      <c r="L423" s="45"/>
      <c r="P423" s="43"/>
      <c r="Q423" s="14"/>
      <c r="R423" s="14">
        <f>ROUND(_xlfn.T.INV(1-R421/2,120-(6+1)),2)</f>
        <v>2.62</v>
      </c>
      <c r="S423" s="14"/>
      <c r="T423" s="14"/>
      <c r="U423" s="14"/>
      <c r="V423" s="14"/>
      <c r="W423" s="14"/>
      <c r="X423" s="14"/>
      <c r="Y423" s="14"/>
      <c r="Z423" s="45"/>
    </row>
    <row r="424" spans="1:26">
      <c r="A424" s="68"/>
      <c r="B424" s="43"/>
      <c r="C424" s="29"/>
      <c r="D424" s="14"/>
      <c r="E424" s="14"/>
      <c r="F424" s="14"/>
      <c r="G424" s="14"/>
      <c r="H424" s="14"/>
      <c r="I424" s="14"/>
      <c r="J424" s="14"/>
      <c r="K424" s="14"/>
      <c r="L424" s="45"/>
      <c r="P424" s="43"/>
      <c r="Q424" s="29"/>
      <c r="R424" s="14"/>
      <c r="S424" s="14"/>
      <c r="T424" s="14"/>
      <c r="U424" s="14"/>
      <c r="V424" s="14"/>
      <c r="W424" s="14"/>
      <c r="X424" s="14"/>
      <c r="Y424" s="14"/>
      <c r="Z424" s="45"/>
    </row>
    <row r="425" spans="1:26">
      <c r="A425" s="68"/>
      <c r="B425" s="43"/>
      <c r="C425" s="14"/>
      <c r="D425" s="14"/>
      <c r="E425" s="14"/>
      <c r="F425" s="14"/>
      <c r="G425" s="14"/>
      <c r="H425" s="14"/>
      <c r="I425" s="14"/>
      <c r="J425" s="14"/>
      <c r="K425" s="14"/>
      <c r="L425" s="45"/>
      <c r="P425" s="43"/>
      <c r="Q425" s="14"/>
      <c r="R425" s="14"/>
      <c r="S425" s="14"/>
      <c r="T425" s="14"/>
      <c r="U425" s="14"/>
      <c r="V425" s="14"/>
      <c r="W425" s="14"/>
      <c r="X425" s="14"/>
      <c r="Y425" s="14"/>
      <c r="Z425" s="45"/>
    </row>
    <row r="426" spans="1:26">
      <c r="A426" s="68"/>
      <c r="B426" s="43"/>
      <c r="C426" s="14"/>
      <c r="D426" s="14"/>
      <c r="E426" s="14"/>
      <c r="F426" s="14"/>
      <c r="G426" s="14"/>
      <c r="H426" s="14"/>
      <c r="I426" s="14"/>
      <c r="J426" s="14"/>
      <c r="K426" s="14"/>
      <c r="L426" s="45"/>
      <c r="P426" s="43"/>
      <c r="Q426" s="14"/>
      <c r="R426" s="14"/>
      <c r="S426" s="14"/>
      <c r="T426" s="14"/>
      <c r="U426" s="14"/>
      <c r="V426" s="14"/>
      <c r="W426" s="14"/>
      <c r="X426" s="14"/>
      <c r="Y426" s="14"/>
      <c r="Z426" s="45"/>
    </row>
    <row r="427" spans="1:26">
      <c r="A427" s="68"/>
      <c r="B427" s="43"/>
      <c r="C427" s="29" t="s">
        <v>106</v>
      </c>
      <c r="D427" s="14">
        <f>ROUND(H414/SQRT(C419*H416),4)</f>
        <v>0.2064</v>
      </c>
      <c r="E427" s="14"/>
      <c r="F427" s="14"/>
      <c r="G427" s="14"/>
      <c r="H427" s="14"/>
      <c r="I427" s="14"/>
      <c r="J427" s="14"/>
      <c r="K427" s="14"/>
      <c r="L427" s="45"/>
      <c r="P427" s="43"/>
      <c r="Q427" s="29" t="s">
        <v>106</v>
      </c>
      <c r="R427" s="14">
        <f>ROUND(V414/SQRT(Q419*V416),4)</f>
        <v>0.2064</v>
      </c>
      <c r="S427" s="14"/>
      <c r="T427" s="14"/>
      <c r="U427" s="14"/>
      <c r="V427" s="14"/>
      <c r="W427" s="14"/>
      <c r="X427" s="14"/>
      <c r="Y427" s="14"/>
      <c r="Z427" s="45"/>
    </row>
    <row r="428" spans="1:26">
      <c r="A428" s="68"/>
      <c r="B428" s="43"/>
      <c r="C428" s="29" t="s">
        <v>107</v>
      </c>
      <c r="D428" s="14">
        <f>ABS(D427)</f>
        <v>0.2064</v>
      </c>
      <c r="E428" s="14"/>
      <c r="F428" s="14"/>
      <c r="G428" s="14"/>
      <c r="H428" s="14"/>
      <c r="I428" s="14"/>
      <c r="J428" s="14"/>
      <c r="K428" s="14"/>
      <c r="L428" s="45"/>
      <c r="P428" s="43"/>
      <c r="Q428" s="29" t="s">
        <v>107</v>
      </c>
      <c r="R428" s="14">
        <f>ABS(R427)</f>
        <v>0.2064</v>
      </c>
      <c r="S428" s="14"/>
      <c r="T428" s="14"/>
      <c r="U428" s="14"/>
      <c r="V428" s="14"/>
      <c r="W428" s="14"/>
      <c r="X428" s="14"/>
      <c r="Y428" s="14"/>
      <c r="Z428" s="45"/>
    </row>
    <row r="429" spans="1:26" ht="13.5" thickBot="1">
      <c r="A429" s="68"/>
      <c r="B429" s="47" t="str">
        <f>IF(ABS(D427)&gt;ROUND(D423,4), "Como |"&amp;ROUND(D427,2)&amp;"| &gt; "&amp;ROUND(D423,4)&amp;" então rejeita-se H0, logo a um nível de significância de "&amp;D421*100&amp;"% há evidencia estatística suficiente para se concluir que beta2 é não nulo","Como |"&amp;ROUND(D427,2)&amp;"|  ≤ "&amp;ROUND(D423,4)&amp;" então não se rejeita H0, logo a um nível de significância de "&amp;D421*100&amp;"% há evidencia estatística suficiente para se concluir que beta6 é nulo")</f>
        <v>Como |0,21|  ≤ 1,98 então não se rejeita H0, logo a um nível de significância de 5% há evidencia estatística suficiente para se concluir que beta6 é nulo</v>
      </c>
      <c r="C429" s="28"/>
      <c r="D429" s="28"/>
      <c r="E429" s="28"/>
      <c r="F429" s="28"/>
      <c r="G429" s="28"/>
      <c r="H429" s="28"/>
      <c r="I429" s="28"/>
      <c r="J429" s="28"/>
      <c r="K429" s="49"/>
      <c r="L429" s="49"/>
      <c r="P429" s="47" t="str">
        <f>IF(ABS(R427)&gt;ROUND(R423,4), "Como |"&amp;ROUND(R427,2)&amp;"| &gt; "&amp;ROUND(R423,4)&amp;" então rejeita-se H0, logo a um nível de significância de "&amp;R421*100&amp;"% há evidencia estatística suficiente para se concluir que beta2 é não nulo","Como |"&amp;ROUND(R427,2)&amp;"|  ≤ "&amp;ROUND(R423,4)&amp;" então não se rejeita H0, logo a um nível de significância de "&amp;R421*100&amp;"% há evidencia estatística suficiente para se concluir que beta6 é nulo")</f>
        <v>Como |0,21|  ≤ 2,62 então não se rejeita H0, logo a um nível de significância de 1% há evidencia estatística suficiente para se concluir que beta6 é nulo</v>
      </c>
      <c r="Q429" s="28"/>
      <c r="R429" s="28"/>
      <c r="S429" s="28"/>
      <c r="T429" s="28"/>
      <c r="U429" s="28"/>
      <c r="V429" s="28"/>
      <c r="W429" s="28"/>
      <c r="X429" s="28"/>
      <c r="Y429" s="49"/>
      <c r="Z429" s="49"/>
    </row>
  </sheetData>
  <mergeCells count="1">
    <mergeCell ref="B152:O15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C1E87-3F0C-4FF0-A912-77D221F315B8}">
  <dimension ref="A2:EP429"/>
  <sheetViews>
    <sheetView tabSelected="1" topLeftCell="A382" zoomScale="66" zoomScaleNormal="66" workbookViewId="0">
      <selection activeCell="R382" sqref="R382"/>
    </sheetView>
  </sheetViews>
  <sheetFormatPr defaultRowHeight="12.75"/>
  <cols>
    <col min="1" max="1" width="10.28515625" style="68" customWidth="1"/>
    <col min="2" max="2" width="12" style="68" customWidth="1"/>
    <col min="3" max="3" width="15.42578125" style="68" customWidth="1"/>
    <col min="4" max="4" width="12.7109375" style="68" customWidth="1"/>
    <col min="5" max="5" width="12.42578125" style="68" customWidth="1"/>
    <col min="6" max="6" width="17.42578125" style="68" customWidth="1"/>
    <col min="7" max="7" width="12.28515625" style="68" customWidth="1"/>
    <col min="8" max="8" width="20.28515625" style="68" customWidth="1"/>
    <col min="9" max="9" width="11.140625" style="68" customWidth="1"/>
    <col min="10" max="10" width="13" style="68" bestFit="1" customWidth="1"/>
    <col min="11" max="12" width="9.28515625" style="68" bestFit="1" customWidth="1"/>
    <col min="13" max="13" width="9.140625" style="68"/>
    <col min="14" max="15" width="13.28515625" style="68" bestFit="1" customWidth="1"/>
    <col min="16" max="16" width="13.140625" style="68" bestFit="1" customWidth="1"/>
    <col min="17" max="18" width="13.28515625" style="68" bestFit="1" customWidth="1"/>
    <col min="19" max="19" width="12.5703125" style="68" bestFit="1" customWidth="1"/>
    <col min="20" max="20" width="13.28515625" style="68" bestFit="1" customWidth="1"/>
    <col min="21" max="24" width="12.28515625" style="68" bestFit="1" customWidth="1"/>
    <col min="25" max="25" width="14.85546875" style="68" bestFit="1" customWidth="1"/>
    <col min="26" max="28" width="12.28515625" style="68" bestFit="1" customWidth="1"/>
    <col min="29" max="16384" width="9.140625" style="68"/>
  </cols>
  <sheetData>
    <row r="2" spans="2:146">
      <c r="B2" s="2" t="s">
        <v>10</v>
      </c>
      <c r="C2" s="2" t="s">
        <v>33</v>
      </c>
      <c r="D2" s="2" t="s">
        <v>34</v>
      </c>
      <c r="E2" s="2" t="s">
        <v>35</v>
      </c>
      <c r="F2" s="2" t="s">
        <v>36</v>
      </c>
      <c r="G2" s="2" t="s">
        <v>37</v>
      </c>
      <c r="H2" s="2" t="s">
        <v>38</v>
      </c>
      <c r="I2" s="4"/>
    </row>
    <row r="3" spans="2:146"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/>
    </row>
    <row r="4" spans="2:146">
      <c r="B4" s="4">
        <v>275</v>
      </c>
      <c r="C4" s="4">
        <v>0.82</v>
      </c>
      <c r="D4" s="4">
        <v>865</v>
      </c>
      <c r="E4" s="4">
        <v>6869</v>
      </c>
      <c r="F4" s="4">
        <v>47369</v>
      </c>
      <c r="G4" s="4">
        <v>0.2036</v>
      </c>
      <c r="H4" s="4">
        <v>80488</v>
      </c>
      <c r="I4" s="4">
        <f>ROUND($AG$140,4)+ROUND($AG$141,4)*C4+ROUND($AG$142,4)*D4+ROUND($AG$143,4)*E4+ROUND($AG$144,4)*F4+ROUND($AG$145,4)*G4+ROUND($AG$146,4)*H4</f>
        <v>265.77462364000002</v>
      </c>
    </row>
    <row r="5" spans="2:146">
      <c r="B5" s="4">
        <v>260</v>
      </c>
      <c r="C5" s="4">
        <v>0.76</v>
      </c>
      <c r="D5" s="4">
        <v>852</v>
      </c>
      <c r="E5" s="4">
        <v>6775</v>
      </c>
      <c r="F5" s="4">
        <v>57995</v>
      </c>
      <c r="G5" s="4">
        <v>0.19889999999999999</v>
      </c>
      <c r="H5" s="4">
        <v>82431</v>
      </c>
      <c r="I5" s="4">
        <f t="shared" ref="I5:I68" si="0">ROUND($AG$140,4)+ROUND($AG$141,4)*C5+ROUND($AG$142,4)*D5+ROUND($AG$143,4)*E5+ROUND($AG$144,4)*F5+ROUND($AG$145,4)*G5+ROUND($AG$146,4)*H5</f>
        <v>260.55715011000001</v>
      </c>
    </row>
    <row r="6" spans="2:146">
      <c r="B6" s="4">
        <v>240</v>
      </c>
      <c r="C6" s="4">
        <v>0.71</v>
      </c>
      <c r="D6" s="4">
        <v>877</v>
      </c>
      <c r="E6" s="4">
        <v>6684</v>
      </c>
      <c r="F6" s="4">
        <v>53401</v>
      </c>
      <c r="G6" s="4">
        <v>0.19259999999999999</v>
      </c>
      <c r="H6" s="4">
        <v>87588</v>
      </c>
      <c r="I6" s="4">
        <f t="shared" si="0"/>
        <v>250.95310673999998</v>
      </c>
    </row>
    <row r="7" spans="2:146">
      <c r="B7" s="4">
        <v>225</v>
      </c>
      <c r="C7" s="4">
        <v>0.67</v>
      </c>
      <c r="D7" s="4">
        <v>863</v>
      </c>
      <c r="E7" s="4">
        <v>6496</v>
      </c>
      <c r="F7" s="4">
        <v>50384</v>
      </c>
      <c r="G7" s="4">
        <v>0.17910000000000001</v>
      </c>
      <c r="H7" s="4">
        <v>96711</v>
      </c>
      <c r="I7" s="4">
        <f t="shared" si="0"/>
        <v>235.73264609</v>
      </c>
    </row>
    <row r="8" spans="2:146">
      <c r="B8" s="4">
        <v>258</v>
      </c>
      <c r="C8" s="4">
        <v>0.64</v>
      </c>
      <c r="D8" s="4">
        <v>904</v>
      </c>
      <c r="E8" s="4">
        <v>6412</v>
      </c>
      <c r="F8" s="4">
        <v>49625</v>
      </c>
      <c r="G8" s="4">
        <v>0.17030000000000001</v>
      </c>
      <c r="H8" s="4">
        <v>106652</v>
      </c>
      <c r="I8" s="4">
        <f t="shared" si="0"/>
        <v>222.76256897000002</v>
      </c>
    </row>
    <row r="9" spans="2:146">
      <c r="B9" s="4">
        <v>214</v>
      </c>
      <c r="C9" s="4">
        <v>0.62</v>
      </c>
      <c r="D9" s="4">
        <v>891</v>
      </c>
      <c r="E9" s="4">
        <v>6158</v>
      </c>
      <c r="F9" s="4">
        <v>30356</v>
      </c>
      <c r="G9" s="4">
        <v>0.16170000000000001</v>
      </c>
      <c r="H9" s="4">
        <v>115522</v>
      </c>
      <c r="I9" s="4">
        <f t="shared" si="0"/>
        <v>210.16826583</v>
      </c>
    </row>
    <row r="10" spans="2:146">
      <c r="B10" s="4">
        <v>204</v>
      </c>
      <c r="C10" s="4">
        <v>0.59</v>
      </c>
      <c r="D10" s="4">
        <v>865</v>
      </c>
      <c r="E10" s="4">
        <v>6248</v>
      </c>
      <c r="F10" s="4">
        <v>15085</v>
      </c>
      <c r="G10" s="4">
        <v>0.14760000000000001</v>
      </c>
      <c r="H10" s="4">
        <v>116262</v>
      </c>
      <c r="I10" s="4">
        <f t="shared" si="0"/>
        <v>201.98831524000002</v>
      </c>
    </row>
    <row r="11" spans="2:146">
      <c r="B11" s="4">
        <v>196</v>
      </c>
      <c r="C11" s="4">
        <v>0.56000000000000005</v>
      </c>
      <c r="D11" s="4">
        <v>877</v>
      </c>
      <c r="E11" s="4">
        <v>6344</v>
      </c>
      <c r="F11" s="4">
        <v>34923</v>
      </c>
      <c r="G11" s="4">
        <v>0.1426</v>
      </c>
      <c r="H11" s="4">
        <v>118172</v>
      </c>
      <c r="I11" s="4">
        <f t="shared" si="0"/>
        <v>198.98424174000002</v>
      </c>
    </row>
    <row r="12" spans="2:146">
      <c r="B12" s="4">
        <v>203</v>
      </c>
      <c r="C12" s="4">
        <v>0.53</v>
      </c>
      <c r="D12" s="4">
        <v>862</v>
      </c>
      <c r="E12" s="4">
        <v>6070</v>
      </c>
      <c r="F12" s="4">
        <v>38694</v>
      </c>
      <c r="G12" s="4">
        <v>0.14180000000000001</v>
      </c>
      <c r="H12" s="4">
        <v>119614</v>
      </c>
      <c r="I12" s="4">
        <f t="shared" si="0"/>
        <v>192.99620382000001</v>
      </c>
    </row>
    <row r="13" spans="2:146">
      <c r="B13" s="4">
        <v>161</v>
      </c>
      <c r="C13" s="4">
        <v>0.51</v>
      </c>
      <c r="D13" s="4">
        <v>853</v>
      </c>
      <c r="E13" s="4">
        <v>5829</v>
      </c>
      <c r="F13" s="4">
        <v>37621</v>
      </c>
      <c r="G13" s="4">
        <v>0.13220000000000001</v>
      </c>
      <c r="H13" s="4">
        <v>130118</v>
      </c>
      <c r="I13" s="4">
        <f t="shared" si="0"/>
        <v>179.51042078000003</v>
      </c>
    </row>
    <row r="14" spans="2:146">
      <c r="B14" s="4">
        <v>167</v>
      </c>
      <c r="C14" s="4">
        <v>0.49</v>
      </c>
      <c r="D14" s="4">
        <v>836</v>
      </c>
      <c r="E14" s="4">
        <v>5570</v>
      </c>
      <c r="F14" s="4">
        <v>37347</v>
      </c>
      <c r="G14" s="4">
        <v>0.1211</v>
      </c>
      <c r="H14" s="4">
        <v>146637</v>
      </c>
      <c r="I14" s="4">
        <f t="shared" si="0"/>
        <v>164.90276789000001</v>
      </c>
    </row>
    <row r="15" spans="2:146">
      <c r="B15" s="4">
        <v>149</v>
      </c>
      <c r="C15" s="4">
        <v>0.48</v>
      </c>
      <c r="D15" s="4">
        <v>846</v>
      </c>
      <c r="E15" s="4">
        <v>5230</v>
      </c>
      <c r="F15" s="4">
        <v>38752</v>
      </c>
      <c r="G15" s="4">
        <v>0.10929999999999999</v>
      </c>
      <c r="H15" s="4">
        <v>171163</v>
      </c>
      <c r="I15" s="4">
        <f t="shared" si="0"/>
        <v>145.57046707000001</v>
      </c>
    </row>
    <row r="16" spans="2:146">
      <c r="B16" s="4">
        <v>149</v>
      </c>
      <c r="C16" s="4">
        <v>0.48</v>
      </c>
      <c r="D16" s="4">
        <v>803</v>
      </c>
      <c r="E16" s="4">
        <v>4850</v>
      </c>
      <c r="F16" s="4">
        <v>21483</v>
      </c>
      <c r="G16" s="4">
        <v>9.9000000000000005E-2</v>
      </c>
      <c r="H16" s="4">
        <v>198253</v>
      </c>
      <c r="I16" s="4">
        <f t="shared" si="0"/>
        <v>130.79149410000002</v>
      </c>
      <c r="M16" s="68">
        <v>1</v>
      </c>
      <c r="N16" s="14">
        <f>C4</f>
        <v>0.82</v>
      </c>
      <c r="O16" s="14">
        <f t="shared" ref="O16:S16" si="1">D4</f>
        <v>865</v>
      </c>
      <c r="P16" s="14">
        <f t="shared" si="1"/>
        <v>6869</v>
      </c>
      <c r="Q16" s="14">
        <f t="shared" si="1"/>
        <v>47369</v>
      </c>
      <c r="R16" s="14">
        <f t="shared" si="1"/>
        <v>0.2036</v>
      </c>
      <c r="S16" s="14">
        <f t="shared" si="1"/>
        <v>80488</v>
      </c>
      <c r="EP16" s="68">
        <f>B4</f>
        <v>275</v>
      </c>
    </row>
    <row r="17" spans="2:146">
      <c r="B17" s="4">
        <v>138</v>
      </c>
      <c r="C17" s="4">
        <v>0.48</v>
      </c>
      <c r="D17" s="4">
        <v>795</v>
      </c>
      <c r="E17" s="4">
        <v>4826</v>
      </c>
      <c r="F17" s="4">
        <v>12100</v>
      </c>
      <c r="G17" s="4">
        <v>9.2100000000000001E-2</v>
      </c>
      <c r="H17" s="4">
        <v>208089</v>
      </c>
      <c r="I17" s="4">
        <f t="shared" si="0"/>
        <v>124.74949279000002</v>
      </c>
      <c r="M17" s="68">
        <v>1</v>
      </c>
      <c r="N17" s="14">
        <f t="shared" ref="N17:S32" si="2">C5</f>
        <v>0.76</v>
      </c>
      <c r="O17" s="14">
        <f t="shared" si="2"/>
        <v>852</v>
      </c>
      <c r="P17" s="14">
        <f t="shared" si="2"/>
        <v>6775</v>
      </c>
      <c r="Q17" s="14">
        <f t="shared" si="2"/>
        <v>57995</v>
      </c>
      <c r="R17" s="14">
        <f t="shared" si="2"/>
        <v>0.19889999999999999</v>
      </c>
      <c r="S17" s="14">
        <f t="shared" si="2"/>
        <v>82431</v>
      </c>
      <c r="EP17" s="68">
        <f t="shared" ref="EP17:EP80" si="3">B5</f>
        <v>260</v>
      </c>
    </row>
    <row r="18" spans="2:146">
      <c r="B18" s="4">
        <v>90</v>
      </c>
      <c r="C18" s="4">
        <v>0.48</v>
      </c>
      <c r="D18" s="4">
        <v>784</v>
      </c>
      <c r="E18" s="4">
        <v>4832</v>
      </c>
      <c r="F18" s="4">
        <v>33135</v>
      </c>
      <c r="G18" s="4">
        <v>8.7300000000000003E-2</v>
      </c>
      <c r="H18" s="4">
        <v>218125</v>
      </c>
      <c r="I18" s="4">
        <f t="shared" si="0"/>
        <v>121.52030927</v>
      </c>
      <c r="M18" s="68">
        <v>1</v>
      </c>
      <c r="N18" s="14">
        <f t="shared" si="2"/>
        <v>0.71</v>
      </c>
      <c r="O18" s="14">
        <f t="shared" si="2"/>
        <v>877</v>
      </c>
      <c r="P18" s="14">
        <f t="shared" si="2"/>
        <v>6684</v>
      </c>
      <c r="Q18" s="14">
        <f t="shared" si="2"/>
        <v>53401</v>
      </c>
      <c r="R18" s="14">
        <f t="shared" si="2"/>
        <v>0.19259999999999999</v>
      </c>
      <c r="S18" s="14">
        <f t="shared" si="2"/>
        <v>87588</v>
      </c>
      <c r="EP18" s="68">
        <f t="shared" si="3"/>
        <v>240</v>
      </c>
    </row>
    <row r="19" spans="2:146">
      <c r="B19" s="4">
        <v>111</v>
      </c>
      <c r="C19" s="4">
        <v>0.47</v>
      </c>
      <c r="D19" s="4">
        <v>752</v>
      </c>
      <c r="E19" s="4">
        <v>4482</v>
      </c>
      <c r="F19" s="4">
        <v>32083</v>
      </c>
      <c r="G19" s="4">
        <v>8.5000000000000006E-2</v>
      </c>
      <c r="H19" s="4">
        <v>223711</v>
      </c>
      <c r="I19" s="4">
        <f t="shared" si="0"/>
        <v>113.68731749999999</v>
      </c>
      <c r="M19" s="68">
        <v>1</v>
      </c>
      <c r="N19" s="14">
        <f t="shared" si="2"/>
        <v>0.67</v>
      </c>
      <c r="O19" s="14">
        <f t="shared" si="2"/>
        <v>863</v>
      </c>
      <c r="P19" s="14">
        <f t="shared" si="2"/>
        <v>6496</v>
      </c>
      <c r="Q19" s="14">
        <f t="shared" si="2"/>
        <v>50384</v>
      </c>
      <c r="R19" s="14">
        <f t="shared" si="2"/>
        <v>0.17910000000000001</v>
      </c>
      <c r="S19" s="14">
        <f t="shared" si="2"/>
        <v>96711</v>
      </c>
      <c r="EP19" s="68">
        <f t="shared" si="3"/>
        <v>225</v>
      </c>
    </row>
    <row r="20" spans="2:146">
      <c r="B20" s="4">
        <v>127</v>
      </c>
      <c r="C20" s="4">
        <v>0.47</v>
      </c>
      <c r="D20" s="4">
        <v>719</v>
      </c>
      <c r="E20" s="4">
        <v>4137</v>
      </c>
      <c r="F20" s="4">
        <v>34354</v>
      </c>
      <c r="G20" s="4">
        <v>7.6399999999999996E-2</v>
      </c>
      <c r="H20" s="4">
        <v>229743</v>
      </c>
      <c r="I20" s="4">
        <f t="shared" si="0"/>
        <v>100.45463036</v>
      </c>
      <c r="M20" s="68">
        <v>1</v>
      </c>
      <c r="N20" s="14">
        <f t="shared" si="2"/>
        <v>0.64</v>
      </c>
      <c r="O20" s="14">
        <f t="shared" si="2"/>
        <v>904</v>
      </c>
      <c r="P20" s="14">
        <f t="shared" si="2"/>
        <v>6412</v>
      </c>
      <c r="Q20" s="14">
        <f t="shared" si="2"/>
        <v>49625</v>
      </c>
      <c r="R20" s="14">
        <f t="shared" si="2"/>
        <v>0.17030000000000001</v>
      </c>
      <c r="S20" s="14">
        <f t="shared" si="2"/>
        <v>106652</v>
      </c>
      <c r="EP20" s="68">
        <f t="shared" si="3"/>
        <v>258</v>
      </c>
    </row>
    <row r="21" spans="2:146">
      <c r="B21" s="4">
        <v>105</v>
      </c>
      <c r="C21" s="4">
        <v>0.47</v>
      </c>
      <c r="D21" s="4">
        <v>688</v>
      </c>
      <c r="E21" s="4">
        <v>3819</v>
      </c>
      <c r="F21" s="4">
        <v>33985</v>
      </c>
      <c r="G21" s="4">
        <v>7.0199999999999999E-2</v>
      </c>
      <c r="H21" s="4">
        <v>237696</v>
      </c>
      <c r="I21" s="4">
        <f t="shared" si="0"/>
        <v>89.831434979999997</v>
      </c>
      <c r="M21" s="68">
        <v>1</v>
      </c>
      <c r="N21" s="14">
        <f t="shared" si="2"/>
        <v>0.62</v>
      </c>
      <c r="O21" s="14">
        <f t="shared" si="2"/>
        <v>891</v>
      </c>
      <c r="P21" s="14">
        <f t="shared" si="2"/>
        <v>6158</v>
      </c>
      <c r="Q21" s="14">
        <f t="shared" si="2"/>
        <v>30356</v>
      </c>
      <c r="R21" s="14">
        <f t="shared" si="2"/>
        <v>0.16170000000000001</v>
      </c>
      <c r="S21" s="14">
        <f t="shared" si="2"/>
        <v>115522</v>
      </c>
      <c r="EP21" s="68">
        <f t="shared" si="3"/>
        <v>214</v>
      </c>
    </row>
    <row r="22" spans="2:146">
      <c r="B22" s="4">
        <v>67</v>
      </c>
      <c r="C22" s="4">
        <v>0.48</v>
      </c>
      <c r="D22" s="4">
        <v>669</v>
      </c>
      <c r="E22" s="4">
        <v>3584</v>
      </c>
      <c r="F22" s="4">
        <v>33887</v>
      </c>
      <c r="G22" s="4">
        <v>6.7400000000000002E-2</v>
      </c>
      <c r="H22" s="4">
        <v>250400</v>
      </c>
      <c r="I22" s="4">
        <f t="shared" si="0"/>
        <v>83.220969260000004</v>
      </c>
      <c r="M22" s="68">
        <v>1</v>
      </c>
      <c r="N22" s="14">
        <f t="shared" si="2"/>
        <v>0.59</v>
      </c>
      <c r="O22" s="14">
        <f t="shared" si="2"/>
        <v>865</v>
      </c>
      <c r="P22" s="14">
        <f t="shared" si="2"/>
        <v>6248</v>
      </c>
      <c r="Q22" s="14">
        <f t="shared" si="2"/>
        <v>15085</v>
      </c>
      <c r="R22" s="14">
        <f t="shared" si="2"/>
        <v>0.14760000000000001</v>
      </c>
      <c r="S22" s="14">
        <f t="shared" si="2"/>
        <v>116262</v>
      </c>
      <c r="EP22" s="68">
        <f t="shared" si="3"/>
        <v>204</v>
      </c>
    </row>
    <row r="23" spans="2:146">
      <c r="B23" s="4">
        <v>76</v>
      </c>
      <c r="C23" s="4">
        <v>0.48</v>
      </c>
      <c r="D23" s="4">
        <v>656</v>
      </c>
      <c r="E23" s="4">
        <v>3284</v>
      </c>
      <c r="F23" s="4">
        <v>21848</v>
      </c>
      <c r="G23" s="4">
        <v>6.0900000000000003E-2</v>
      </c>
      <c r="H23" s="4">
        <v>263354</v>
      </c>
      <c r="I23" s="4">
        <f t="shared" si="0"/>
        <v>71.333399909999997</v>
      </c>
      <c r="M23" s="68">
        <v>1</v>
      </c>
      <c r="N23" s="14">
        <f t="shared" si="2"/>
        <v>0.56000000000000005</v>
      </c>
      <c r="O23" s="14">
        <f t="shared" si="2"/>
        <v>877</v>
      </c>
      <c r="P23" s="14">
        <f t="shared" si="2"/>
        <v>6344</v>
      </c>
      <c r="Q23" s="14">
        <f t="shared" si="2"/>
        <v>34923</v>
      </c>
      <c r="R23" s="14">
        <f t="shared" si="2"/>
        <v>0.1426</v>
      </c>
      <c r="S23" s="14">
        <f t="shared" si="2"/>
        <v>118172</v>
      </c>
      <c r="EP23" s="68">
        <f t="shared" si="3"/>
        <v>196</v>
      </c>
    </row>
    <row r="24" spans="2:146">
      <c r="B24" s="4">
        <v>65</v>
      </c>
      <c r="C24" s="4">
        <v>0.49</v>
      </c>
      <c r="D24" s="4">
        <v>638</v>
      </c>
      <c r="E24" s="4">
        <v>3316</v>
      </c>
      <c r="F24" s="4">
        <v>10854</v>
      </c>
      <c r="G24" s="4">
        <v>5.8799999999999998E-2</v>
      </c>
      <c r="H24" s="4">
        <v>266858</v>
      </c>
      <c r="I24" s="4">
        <f t="shared" si="0"/>
        <v>71.64404012</v>
      </c>
      <c r="M24" s="68">
        <v>1</v>
      </c>
      <c r="N24" s="14">
        <f t="shared" si="2"/>
        <v>0.53</v>
      </c>
      <c r="O24" s="14">
        <f t="shared" si="2"/>
        <v>862</v>
      </c>
      <c r="P24" s="14">
        <f t="shared" si="2"/>
        <v>6070</v>
      </c>
      <c r="Q24" s="14">
        <f t="shared" si="2"/>
        <v>38694</v>
      </c>
      <c r="R24" s="14">
        <f t="shared" si="2"/>
        <v>0.14180000000000001</v>
      </c>
      <c r="S24" s="14">
        <f t="shared" si="2"/>
        <v>119614</v>
      </c>
      <c r="EP24" s="68">
        <f t="shared" si="3"/>
        <v>203</v>
      </c>
    </row>
    <row r="25" spans="2:146">
      <c r="B25" s="4">
        <v>61</v>
      </c>
      <c r="C25" s="4">
        <v>0.49</v>
      </c>
      <c r="D25" s="4">
        <v>627</v>
      </c>
      <c r="E25" s="4">
        <v>3322</v>
      </c>
      <c r="F25" s="4">
        <v>31296</v>
      </c>
      <c r="G25" s="4">
        <v>5.5500000000000001E-2</v>
      </c>
      <c r="H25" s="4">
        <v>269203</v>
      </c>
      <c r="I25" s="4">
        <f t="shared" si="0"/>
        <v>69.741726450000016</v>
      </c>
      <c r="M25" s="68">
        <v>1</v>
      </c>
      <c r="N25" s="14">
        <f t="shared" si="2"/>
        <v>0.51</v>
      </c>
      <c r="O25" s="14">
        <f t="shared" si="2"/>
        <v>853</v>
      </c>
      <c r="P25" s="14">
        <f t="shared" si="2"/>
        <v>5829</v>
      </c>
      <c r="Q25" s="14">
        <f t="shared" si="2"/>
        <v>37621</v>
      </c>
      <c r="R25" s="14">
        <f t="shared" si="2"/>
        <v>0.13220000000000001</v>
      </c>
      <c r="S25" s="14">
        <f t="shared" si="2"/>
        <v>130118</v>
      </c>
      <c r="EP25" s="68">
        <f t="shared" si="3"/>
        <v>161</v>
      </c>
    </row>
    <row r="26" spans="2:146">
      <c r="B26" s="4">
        <v>63</v>
      </c>
      <c r="C26" s="4">
        <v>0.49</v>
      </c>
      <c r="D26" s="4">
        <v>597</v>
      </c>
      <c r="E26" s="4">
        <v>3012</v>
      </c>
      <c r="F26" s="4">
        <v>31577</v>
      </c>
      <c r="G26" s="4">
        <v>5.33E-2</v>
      </c>
      <c r="H26" s="4">
        <v>270927</v>
      </c>
      <c r="I26" s="4">
        <f t="shared" si="0"/>
        <v>62.76865067</v>
      </c>
      <c r="M26" s="68">
        <v>1</v>
      </c>
      <c r="N26" s="14">
        <f t="shared" si="2"/>
        <v>0.49</v>
      </c>
      <c r="O26" s="14">
        <f t="shared" si="2"/>
        <v>836</v>
      </c>
      <c r="P26" s="14">
        <f t="shared" si="2"/>
        <v>5570</v>
      </c>
      <c r="Q26" s="14">
        <f t="shared" si="2"/>
        <v>37347</v>
      </c>
      <c r="R26" s="14">
        <f t="shared" si="2"/>
        <v>0.1211</v>
      </c>
      <c r="S26" s="14">
        <f t="shared" si="2"/>
        <v>146637</v>
      </c>
      <c r="EP26" s="68">
        <f t="shared" si="3"/>
        <v>167</v>
      </c>
    </row>
    <row r="27" spans="2:146">
      <c r="B27" s="4">
        <v>50</v>
      </c>
      <c r="C27" s="4">
        <v>0.5</v>
      </c>
      <c r="D27" s="4">
        <v>567</v>
      </c>
      <c r="E27" s="4">
        <v>2767</v>
      </c>
      <c r="F27" s="4">
        <v>31235</v>
      </c>
      <c r="G27" s="4">
        <v>4.9799999999999997E-2</v>
      </c>
      <c r="H27" s="4">
        <v>273148</v>
      </c>
      <c r="I27" s="4">
        <f t="shared" si="0"/>
        <v>56.173379019999992</v>
      </c>
      <c r="M27" s="68">
        <v>1</v>
      </c>
      <c r="N27" s="14">
        <f t="shared" si="2"/>
        <v>0.48</v>
      </c>
      <c r="O27" s="14">
        <f t="shared" si="2"/>
        <v>846</v>
      </c>
      <c r="P27" s="14">
        <f t="shared" si="2"/>
        <v>5230</v>
      </c>
      <c r="Q27" s="14">
        <f t="shared" si="2"/>
        <v>38752</v>
      </c>
      <c r="R27" s="14">
        <f t="shared" si="2"/>
        <v>0.10929999999999999</v>
      </c>
      <c r="S27" s="14">
        <f t="shared" si="2"/>
        <v>171163</v>
      </c>
      <c r="EP27" s="68">
        <f t="shared" si="3"/>
        <v>149</v>
      </c>
    </row>
    <row r="28" spans="2:146">
      <c r="B28" s="4">
        <v>49</v>
      </c>
      <c r="C28" s="4">
        <v>0.5</v>
      </c>
      <c r="D28" s="4">
        <v>536</v>
      </c>
      <c r="E28" s="4">
        <v>2613</v>
      </c>
      <c r="F28" s="4">
        <v>30974</v>
      </c>
      <c r="G28" s="4">
        <v>4.65E-2</v>
      </c>
      <c r="H28" s="4">
        <v>276637</v>
      </c>
      <c r="I28" s="4">
        <f t="shared" si="0"/>
        <v>52.035065350000004</v>
      </c>
      <c r="M28" s="68">
        <v>1</v>
      </c>
      <c r="N28" s="14">
        <f t="shared" si="2"/>
        <v>0.48</v>
      </c>
      <c r="O28" s="14">
        <f t="shared" si="2"/>
        <v>803</v>
      </c>
      <c r="P28" s="14">
        <f t="shared" si="2"/>
        <v>4850</v>
      </c>
      <c r="Q28" s="14">
        <f t="shared" si="2"/>
        <v>21483</v>
      </c>
      <c r="R28" s="14">
        <f t="shared" si="2"/>
        <v>9.9000000000000005E-2</v>
      </c>
      <c r="S28" s="14">
        <f t="shared" si="2"/>
        <v>198253</v>
      </c>
      <c r="EP28" s="68">
        <f t="shared" si="3"/>
        <v>149</v>
      </c>
    </row>
    <row r="29" spans="2:146">
      <c r="B29" s="4">
        <v>58</v>
      </c>
      <c r="C29" s="4">
        <v>0.51</v>
      </c>
      <c r="D29" s="4">
        <v>522</v>
      </c>
      <c r="E29" s="4">
        <v>2404</v>
      </c>
      <c r="F29" s="4">
        <v>32910</v>
      </c>
      <c r="G29" s="4">
        <v>4.2000000000000003E-2</v>
      </c>
      <c r="H29" s="4">
        <v>279729</v>
      </c>
      <c r="I29" s="4">
        <f t="shared" si="0"/>
        <v>44.145213800000015</v>
      </c>
      <c r="M29" s="68">
        <v>1</v>
      </c>
      <c r="N29" s="14">
        <f t="shared" si="2"/>
        <v>0.48</v>
      </c>
      <c r="O29" s="14">
        <f t="shared" si="2"/>
        <v>795</v>
      </c>
      <c r="P29" s="14">
        <f t="shared" si="2"/>
        <v>4826</v>
      </c>
      <c r="Q29" s="14">
        <f t="shared" si="2"/>
        <v>12100</v>
      </c>
      <c r="R29" s="14">
        <f t="shared" si="2"/>
        <v>9.2100000000000001E-2</v>
      </c>
      <c r="S29" s="14">
        <f t="shared" si="2"/>
        <v>208089</v>
      </c>
      <c r="EP29" s="68">
        <f t="shared" si="3"/>
        <v>138</v>
      </c>
    </row>
    <row r="30" spans="2:146">
      <c r="B30" s="4">
        <v>33</v>
      </c>
      <c r="C30" s="4">
        <v>0.53</v>
      </c>
      <c r="D30" s="4">
        <v>492</v>
      </c>
      <c r="E30" s="4">
        <v>2180</v>
      </c>
      <c r="F30" s="4">
        <v>20380</v>
      </c>
      <c r="G30" s="4">
        <v>3.9699999999999999E-2</v>
      </c>
      <c r="H30" s="4">
        <v>285185</v>
      </c>
      <c r="I30" s="4">
        <f t="shared" si="0"/>
        <v>39.087596030000007</v>
      </c>
      <c r="M30" s="68">
        <v>1</v>
      </c>
      <c r="N30" s="14">
        <f t="shared" si="2"/>
        <v>0.48</v>
      </c>
      <c r="O30" s="14">
        <f t="shared" si="2"/>
        <v>784</v>
      </c>
      <c r="P30" s="14">
        <f t="shared" si="2"/>
        <v>4832</v>
      </c>
      <c r="Q30" s="14">
        <f t="shared" si="2"/>
        <v>33135</v>
      </c>
      <c r="R30" s="14">
        <f t="shared" si="2"/>
        <v>8.7300000000000003E-2</v>
      </c>
      <c r="S30" s="14">
        <f t="shared" si="2"/>
        <v>218125</v>
      </c>
      <c r="EP30" s="68">
        <f t="shared" si="3"/>
        <v>90</v>
      </c>
    </row>
    <row r="31" spans="2:146">
      <c r="B31" s="4">
        <v>41</v>
      </c>
      <c r="C31" s="4">
        <v>0.54</v>
      </c>
      <c r="D31" s="4">
        <v>484</v>
      </c>
      <c r="E31" s="4">
        <v>2165</v>
      </c>
      <c r="F31" s="4">
        <v>11439</v>
      </c>
      <c r="G31" s="4">
        <v>3.7100000000000001E-2</v>
      </c>
      <c r="H31" s="4">
        <v>286470</v>
      </c>
      <c r="I31" s="4">
        <f t="shared" si="0"/>
        <v>37.038646290000003</v>
      </c>
      <c r="M31" s="68">
        <v>1</v>
      </c>
      <c r="N31" s="14">
        <f t="shared" si="2"/>
        <v>0.47</v>
      </c>
      <c r="O31" s="14">
        <f t="shared" si="2"/>
        <v>752</v>
      </c>
      <c r="P31" s="14">
        <f t="shared" si="2"/>
        <v>4482</v>
      </c>
      <c r="Q31" s="14">
        <f t="shared" si="2"/>
        <v>32083</v>
      </c>
      <c r="R31" s="14">
        <f t="shared" si="2"/>
        <v>8.5000000000000006E-2</v>
      </c>
      <c r="S31" s="14">
        <f t="shared" si="2"/>
        <v>223711</v>
      </c>
      <c r="EP31" s="68">
        <f t="shared" si="3"/>
        <v>111</v>
      </c>
    </row>
    <row r="32" spans="2:146">
      <c r="B32" s="4">
        <v>34</v>
      </c>
      <c r="C32" s="4">
        <v>0.56000000000000005</v>
      </c>
      <c r="D32" s="4">
        <v>469</v>
      </c>
      <c r="E32" s="4">
        <v>2167</v>
      </c>
      <c r="F32" s="4">
        <v>26639</v>
      </c>
      <c r="G32" s="4">
        <v>3.7199999999999997E-2</v>
      </c>
      <c r="H32" s="4">
        <v>290637</v>
      </c>
      <c r="I32" s="4">
        <f t="shared" si="0"/>
        <v>38.314420279999993</v>
      </c>
      <c r="M32" s="68">
        <v>1</v>
      </c>
      <c r="N32" s="14">
        <f t="shared" si="2"/>
        <v>0.47</v>
      </c>
      <c r="O32" s="14">
        <f t="shared" si="2"/>
        <v>719</v>
      </c>
      <c r="P32" s="14">
        <f t="shared" si="2"/>
        <v>4137</v>
      </c>
      <c r="Q32" s="14">
        <f t="shared" si="2"/>
        <v>34354</v>
      </c>
      <c r="R32" s="14">
        <f t="shared" si="2"/>
        <v>7.6399999999999996E-2</v>
      </c>
      <c r="S32" s="14">
        <f t="shared" si="2"/>
        <v>229743</v>
      </c>
      <c r="EP32" s="68">
        <f t="shared" si="3"/>
        <v>127</v>
      </c>
    </row>
    <row r="33" spans="2:146">
      <c r="B33" s="4">
        <v>38</v>
      </c>
      <c r="C33" s="4">
        <v>0.56999999999999995</v>
      </c>
      <c r="D33" s="4">
        <v>446</v>
      </c>
      <c r="E33" s="4">
        <v>1997</v>
      </c>
      <c r="F33" s="4">
        <v>29735</v>
      </c>
      <c r="G33" s="4">
        <v>3.5700000000000003E-2</v>
      </c>
      <c r="H33" s="4">
        <v>291987</v>
      </c>
      <c r="I33" s="4">
        <f t="shared" si="0"/>
        <v>34.725008430000003</v>
      </c>
      <c r="M33" s="68">
        <v>1</v>
      </c>
      <c r="N33" s="14">
        <f t="shared" ref="N33:S48" si="4">C21</f>
        <v>0.47</v>
      </c>
      <c r="O33" s="14">
        <f t="shared" si="4"/>
        <v>688</v>
      </c>
      <c r="P33" s="14">
        <f t="shared" si="4"/>
        <v>3819</v>
      </c>
      <c r="Q33" s="14">
        <f t="shared" si="4"/>
        <v>33985</v>
      </c>
      <c r="R33" s="14">
        <f t="shared" si="4"/>
        <v>7.0199999999999999E-2</v>
      </c>
      <c r="S33" s="14">
        <f t="shared" si="4"/>
        <v>237696</v>
      </c>
      <c r="EP33" s="68">
        <f t="shared" si="3"/>
        <v>105</v>
      </c>
    </row>
    <row r="34" spans="2:146">
      <c r="B34" s="4">
        <v>41</v>
      </c>
      <c r="C34" s="4">
        <v>0.59</v>
      </c>
      <c r="D34" s="4">
        <v>415</v>
      </c>
      <c r="E34" s="4">
        <v>1827</v>
      </c>
      <c r="F34" s="4">
        <v>29388</v>
      </c>
      <c r="G34" s="4">
        <v>3.3300000000000003E-2</v>
      </c>
      <c r="H34" s="4">
        <v>293652</v>
      </c>
      <c r="I34" s="4">
        <f t="shared" si="0"/>
        <v>30.948932670000005</v>
      </c>
      <c r="M34" s="68">
        <v>1</v>
      </c>
      <c r="N34" s="14">
        <f t="shared" si="4"/>
        <v>0.48</v>
      </c>
      <c r="O34" s="14">
        <f t="shared" si="4"/>
        <v>669</v>
      </c>
      <c r="P34" s="14">
        <f t="shared" si="4"/>
        <v>3584</v>
      </c>
      <c r="Q34" s="14">
        <f t="shared" si="4"/>
        <v>33887</v>
      </c>
      <c r="R34" s="14">
        <f t="shared" si="4"/>
        <v>6.7400000000000002E-2</v>
      </c>
      <c r="S34" s="14">
        <f t="shared" si="4"/>
        <v>250400</v>
      </c>
      <c r="EP34" s="68">
        <f t="shared" si="3"/>
        <v>67</v>
      </c>
    </row>
    <row r="35" spans="2:146">
      <c r="B35" s="4">
        <v>28</v>
      </c>
      <c r="C35" s="4">
        <v>0.61</v>
      </c>
      <c r="D35" s="4">
        <v>399</v>
      </c>
      <c r="E35" s="4">
        <v>1708</v>
      </c>
      <c r="F35" s="4">
        <v>28081</v>
      </c>
      <c r="G35" s="4">
        <v>3.2000000000000001E-2</v>
      </c>
      <c r="H35" s="4">
        <v>298685</v>
      </c>
      <c r="I35" s="4">
        <f t="shared" si="0"/>
        <v>28.173794800000007</v>
      </c>
      <c r="M35" s="68">
        <v>1</v>
      </c>
      <c r="N35" s="14">
        <f t="shared" si="4"/>
        <v>0.48</v>
      </c>
      <c r="O35" s="14">
        <f t="shared" si="4"/>
        <v>656</v>
      </c>
      <c r="P35" s="14">
        <f t="shared" si="4"/>
        <v>3284</v>
      </c>
      <c r="Q35" s="14">
        <f t="shared" si="4"/>
        <v>21848</v>
      </c>
      <c r="R35" s="14">
        <f t="shared" si="4"/>
        <v>6.0900000000000003E-2</v>
      </c>
      <c r="S35" s="14">
        <f t="shared" si="4"/>
        <v>263354</v>
      </c>
      <c r="EP35" s="68">
        <f t="shared" si="3"/>
        <v>76</v>
      </c>
    </row>
    <row r="36" spans="2:146">
      <c r="B36" s="4">
        <v>28</v>
      </c>
      <c r="C36" s="4">
        <v>0.64</v>
      </c>
      <c r="D36" s="4">
        <v>383</v>
      </c>
      <c r="E36" s="4">
        <v>1583</v>
      </c>
      <c r="F36" s="4">
        <v>28636</v>
      </c>
      <c r="G36" s="4">
        <v>3.2300000000000002E-2</v>
      </c>
      <c r="H36" s="4">
        <v>304494</v>
      </c>
      <c r="I36" s="4">
        <f t="shared" si="0"/>
        <v>26.644842770000004</v>
      </c>
      <c r="M36" s="68">
        <v>1</v>
      </c>
      <c r="N36" s="14">
        <f t="shared" si="4"/>
        <v>0.49</v>
      </c>
      <c r="O36" s="14">
        <f t="shared" si="4"/>
        <v>638</v>
      </c>
      <c r="P36" s="14">
        <f t="shared" si="4"/>
        <v>3316</v>
      </c>
      <c r="Q36" s="14">
        <f t="shared" si="4"/>
        <v>10854</v>
      </c>
      <c r="R36" s="14">
        <f t="shared" si="4"/>
        <v>5.8799999999999998E-2</v>
      </c>
      <c r="S36" s="14">
        <f t="shared" si="4"/>
        <v>266858</v>
      </c>
      <c r="EP36" s="68">
        <f t="shared" si="3"/>
        <v>65</v>
      </c>
    </row>
    <row r="37" spans="2:146">
      <c r="B37" s="4">
        <v>26</v>
      </c>
      <c r="C37" s="4">
        <v>0.66</v>
      </c>
      <c r="D37" s="4">
        <v>363</v>
      </c>
      <c r="E37" s="4">
        <v>1416</v>
      </c>
      <c r="F37" s="4">
        <v>19891</v>
      </c>
      <c r="G37" s="4">
        <v>3.2000000000000001E-2</v>
      </c>
      <c r="H37" s="4">
        <v>313101</v>
      </c>
      <c r="I37" s="4">
        <f t="shared" si="0"/>
        <v>23.924684800000005</v>
      </c>
      <c r="M37" s="68">
        <v>1</v>
      </c>
      <c r="N37" s="14">
        <f t="shared" si="4"/>
        <v>0.49</v>
      </c>
      <c r="O37" s="14">
        <f t="shared" si="4"/>
        <v>627</v>
      </c>
      <c r="P37" s="14">
        <f t="shared" si="4"/>
        <v>3322</v>
      </c>
      <c r="Q37" s="14">
        <f t="shared" si="4"/>
        <v>31296</v>
      </c>
      <c r="R37" s="14">
        <f t="shared" si="4"/>
        <v>5.5500000000000001E-2</v>
      </c>
      <c r="S37" s="14">
        <f t="shared" si="4"/>
        <v>269203</v>
      </c>
      <c r="EP37" s="68">
        <f t="shared" si="3"/>
        <v>61</v>
      </c>
    </row>
    <row r="38" spans="2:146">
      <c r="B38" s="4">
        <v>28</v>
      </c>
      <c r="C38" s="4">
        <v>0.67</v>
      </c>
      <c r="D38" s="4">
        <v>354</v>
      </c>
      <c r="E38" s="4">
        <v>1414</v>
      </c>
      <c r="F38" s="4">
        <v>9396</v>
      </c>
      <c r="G38" s="4">
        <v>3.2199999999999999E-2</v>
      </c>
      <c r="H38" s="4">
        <v>317254</v>
      </c>
      <c r="I38" s="4">
        <f t="shared" si="0"/>
        <v>24.742658780000006</v>
      </c>
      <c r="M38" s="68">
        <v>1</v>
      </c>
      <c r="N38" s="14">
        <f t="shared" si="4"/>
        <v>0.49</v>
      </c>
      <c r="O38" s="14">
        <f t="shared" si="4"/>
        <v>597</v>
      </c>
      <c r="P38" s="14">
        <f t="shared" si="4"/>
        <v>3012</v>
      </c>
      <c r="Q38" s="14">
        <f t="shared" si="4"/>
        <v>31577</v>
      </c>
      <c r="R38" s="14">
        <f t="shared" si="4"/>
        <v>5.33E-2</v>
      </c>
      <c r="S38" s="14">
        <f t="shared" si="4"/>
        <v>270927</v>
      </c>
      <c r="EP38" s="68">
        <f t="shared" si="3"/>
        <v>63</v>
      </c>
    </row>
    <row r="39" spans="2:146">
      <c r="B39" s="4">
        <v>25</v>
      </c>
      <c r="C39" s="4">
        <v>0.67</v>
      </c>
      <c r="D39" s="4">
        <v>342</v>
      </c>
      <c r="E39" s="4">
        <v>1403</v>
      </c>
      <c r="F39" s="4">
        <v>25303</v>
      </c>
      <c r="G39" s="4">
        <v>3.2300000000000002E-2</v>
      </c>
      <c r="H39" s="4">
        <v>324862</v>
      </c>
      <c r="I39" s="4">
        <f t="shared" si="0"/>
        <v>25.521016770000003</v>
      </c>
      <c r="M39" s="68">
        <v>1</v>
      </c>
      <c r="N39" s="14">
        <f t="shared" si="4"/>
        <v>0.5</v>
      </c>
      <c r="O39" s="14">
        <f t="shared" si="4"/>
        <v>567</v>
      </c>
      <c r="P39" s="14">
        <f t="shared" si="4"/>
        <v>2767</v>
      </c>
      <c r="Q39" s="14">
        <f t="shared" si="4"/>
        <v>31235</v>
      </c>
      <c r="R39" s="14">
        <f t="shared" si="4"/>
        <v>4.9799999999999997E-2</v>
      </c>
      <c r="S39" s="14">
        <f t="shared" si="4"/>
        <v>273148</v>
      </c>
      <c r="EP39" s="68">
        <f t="shared" si="3"/>
        <v>50</v>
      </c>
    </row>
    <row r="40" spans="2:146">
      <c r="B40" s="4">
        <v>30</v>
      </c>
      <c r="C40" s="4">
        <v>0.67</v>
      </c>
      <c r="D40" s="4">
        <v>312</v>
      </c>
      <c r="E40" s="4">
        <v>1278</v>
      </c>
      <c r="F40" s="4">
        <v>24513</v>
      </c>
      <c r="G40" s="4">
        <v>3.4299999999999997E-2</v>
      </c>
      <c r="H40" s="4">
        <v>327040</v>
      </c>
      <c r="I40" s="4">
        <f t="shared" si="0"/>
        <v>26.684676569999993</v>
      </c>
      <c r="M40" s="68">
        <v>1</v>
      </c>
      <c r="N40" s="14">
        <f t="shared" si="4"/>
        <v>0.5</v>
      </c>
      <c r="O40" s="14">
        <f t="shared" si="4"/>
        <v>536</v>
      </c>
      <c r="P40" s="14">
        <f t="shared" si="4"/>
        <v>2613</v>
      </c>
      <c r="Q40" s="14">
        <f t="shared" si="4"/>
        <v>30974</v>
      </c>
      <c r="R40" s="14">
        <f t="shared" si="4"/>
        <v>4.65E-2</v>
      </c>
      <c r="S40" s="14">
        <f t="shared" si="4"/>
        <v>276637</v>
      </c>
      <c r="EP40" s="68">
        <f t="shared" si="3"/>
        <v>49</v>
      </c>
    </row>
    <row r="41" spans="2:146">
      <c r="B41" s="4">
        <v>22</v>
      </c>
      <c r="C41" s="4">
        <v>0.65</v>
      </c>
      <c r="D41" s="4">
        <v>283</v>
      </c>
      <c r="E41" s="4">
        <v>1201</v>
      </c>
      <c r="F41" s="4">
        <v>26627</v>
      </c>
      <c r="G41" s="4">
        <v>3.2800000000000003E-2</v>
      </c>
      <c r="H41" s="4">
        <v>328946</v>
      </c>
      <c r="I41" s="4">
        <f t="shared" si="0"/>
        <v>25.871590720000004</v>
      </c>
      <c r="M41" s="68">
        <v>1</v>
      </c>
      <c r="N41" s="14">
        <f t="shared" si="4"/>
        <v>0.51</v>
      </c>
      <c r="O41" s="14">
        <f t="shared" si="4"/>
        <v>522</v>
      </c>
      <c r="P41" s="14">
        <f t="shared" si="4"/>
        <v>2404</v>
      </c>
      <c r="Q41" s="14">
        <f t="shared" si="4"/>
        <v>32910</v>
      </c>
      <c r="R41" s="14">
        <f t="shared" si="4"/>
        <v>4.2000000000000003E-2</v>
      </c>
      <c r="S41" s="14">
        <f t="shared" si="4"/>
        <v>279729</v>
      </c>
      <c r="EP41" s="68">
        <f t="shared" si="3"/>
        <v>58</v>
      </c>
    </row>
    <row r="42" spans="2:146">
      <c r="B42" s="4">
        <v>18</v>
      </c>
      <c r="C42" s="4">
        <v>0.65</v>
      </c>
      <c r="D42" s="4">
        <v>273</v>
      </c>
      <c r="E42" s="4">
        <v>1102</v>
      </c>
      <c r="F42" s="4">
        <v>24313</v>
      </c>
      <c r="G42" s="4">
        <v>3.2300000000000002E-2</v>
      </c>
      <c r="H42" s="4">
        <v>337944</v>
      </c>
      <c r="I42" s="4">
        <f t="shared" si="0"/>
        <v>23.857200770000006</v>
      </c>
      <c r="M42" s="68">
        <v>1</v>
      </c>
      <c r="N42" s="14">
        <f t="shared" si="4"/>
        <v>0.53</v>
      </c>
      <c r="O42" s="14">
        <f t="shared" si="4"/>
        <v>492</v>
      </c>
      <c r="P42" s="14">
        <f t="shared" si="4"/>
        <v>2180</v>
      </c>
      <c r="Q42" s="14">
        <f t="shared" si="4"/>
        <v>20380</v>
      </c>
      <c r="R42" s="14">
        <f t="shared" si="4"/>
        <v>3.9699999999999999E-2</v>
      </c>
      <c r="S42" s="14">
        <f t="shared" si="4"/>
        <v>285185</v>
      </c>
      <c r="EP42" s="68">
        <f t="shared" si="3"/>
        <v>33</v>
      </c>
    </row>
    <row r="43" spans="2:146">
      <c r="B43" s="4">
        <v>15</v>
      </c>
      <c r="C43" s="4">
        <v>0.66</v>
      </c>
      <c r="D43" s="4">
        <v>266</v>
      </c>
      <c r="E43" s="4">
        <v>1046</v>
      </c>
      <c r="F43" s="4">
        <v>27281</v>
      </c>
      <c r="G43" s="4">
        <v>3.0200000000000001E-2</v>
      </c>
      <c r="H43" s="4">
        <v>352247</v>
      </c>
      <c r="I43" s="4">
        <f t="shared" si="0"/>
        <v>21.19124098</v>
      </c>
      <c r="M43" s="68">
        <v>1</v>
      </c>
      <c r="N43" s="14">
        <f t="shared" si="4"/>
        <v>0.54</v>
      </c>
      <c r="O43" s="14">
        <f t="shared" si="4"/>
        <v>484</v>
      </c>
      <c r="P43" s="14">
        <f t="shared" si="4"/>
        <v>2165</v>
      </c>
      <c r="Q43" s="14">
        <f t="shared" si="4"/>
        <v>11439</v>
      </c>
      <c r="R43" s="14">
        <f t="shared" si="4"/>
        <v>3.7100000000000001E-2</v>
      </c>
      <c r="S43" s="14">
        <f t="shared" si="4"/>
        <v>286470</v>
      </c>
      <c r="EP43" s="68">
        <f t="shared" si="3"/>
        <v>41</v>
      </c>
    </row>
    <row r="44" spans="2:146">
      <c r="B44" s="4">
        <v>19</v>
      </c>
      <c r="C44" s="4">
        <v>0.68</v>
      </c>
      <c r="D44" s="4">
        <v>253</v>
      </c>
      <c r="E44" s="4">
        <v>980</v>
      </c>
      <c r="F44" s="4">
        <v>21016</v>
      </c>
      <c r="G44" s="4">
        <v>2.7199999999999998E-2</v>
      </c>
      <c r="H44" s="4">
        <v>365719</v>
      </c>
      <c r="I44" s="4">
        <f t="shared" si="0"/>
        <v>17.940817279999997</v>
      </c>
      <c r="M44" s="68">
        <v>1</v>
      </c>
      <c r="N44" s="14">
        <f t="shared" si="4"/>
        <v>0.56000000000000005</v>
      </c>
      <c r="O44" s="14">
        <f t="shared" si="4"/>
        <v>469</v>
      </c>
      <c r="P44" s="14">
        <f t="shared" si="4"/>
        <v>2167</v>
      </c>
      <c r="Q44" s="14">
        <f t="shared" si="4"/>
        <v>26639</v>
      </c>
      <c r="R44" s="14">
        <f t="shared" si="4"/>
        <v>3.7199999999999997E-2</v>
      </c>
      <c r="S44" s="14">
        <f t="shared" si="4"/>
        <v>290637</v>
      </c>
      <c r="EP44" s="68">
        <f t="shared" si="3"/>
        <v>34</v>
      </c>
    </row>
    <row r="45" spans="2:146">
      <c r="B45" s="4">
        <v>15</v>
      </c>
      <c r="C45" s="4">
        <v>0.69</v>
      </c>
      <c r="D45" s="4">
        <v>242</v>
      </c>
      <c r="E45" s="4">
        <v>976</v>
      </c>
      <c r="F45" s="4">
        <v>9709</v>
      </c>
      <c r="G45" s="4">
        <v>2.6200000000000001E-2</v>
      </c>
      <c r="H45" s="4">
        <v>371084</v>
      </c>
      <c r="I45" s="4">
        <f t="shared" si="0"/>
        <v>17.808295380000001</v>
      </c>
      <c r="M45" s="68">
        <v>1</v>
      </c>
      <c r="N45" s="14">
        <f t="shared" si="4"/>
        <v>0.56999999999999995</v>
      </c>
      <c r="O45" s="14">
        <f t="shared" si="4"/>
        <v>446</v>
      </c>
      <c r="P45" s="14">
        <f t="shared" si="4"/>
        <v>1997</v>
      </c>
      <c r="Q45" s="14">
        <f t="shared" si="4"/>
        <v>29735</v>
      </c>
      <c r="R45" s="14">
        <f t="shared" si="4"/>
        <v>3.5700000000000003E-2</v>
      </c>
      <c r="S45" s="14">
        <f t="shared" si="4"/>
        <v>291987</v>
      </c>
      <c r="EP45" s="68">
        <f t="shared" si="3"/>
        <v>38</v>
      </c>
    </row>
    <row r="46" spans="2:146">
      <c r="B46" s="4">
        <v>10</v>
      </c>
      <c r="C46" s="4">
        <v>0.7</v>
      </c>
      <c r="D46" s="4">
        <v>231</v>
      </c>
      <c r="E46" s="4">
        <v>996</v>
      </c>
      <c r="F46" s="4">
        <v>26427</v>
      </c>
      <c r="G46" s="4">
        <v>2.5399999999999999E-2</v>
      </c>
      <c r="H46" s="4">
        <v>377464</v>
      </c>
      <c r="I46" s="4">
        <f t="shared" si="0"/>
        <v>18.42628946</v>
      </c>
      <c r="M46" s="68">
        <v>1</v>
      </c>
      <c r="N46" s="14">
        <f t="shared" si="4"/>
        <v>0.59</v>
      </c>
      <c r="O46" s="14">
        <f t="shared" si="4"/>
        <v>415</v>
      </c>
      <c r="P46" s="14">
        <f t="shared" si="4"/>
        <v>1827</v>
      </c>
      <c r="Q46" s="14">
        <f t="shared" si="4"/>
        <v>29388</v>
      </c>
      <c r="R46" s="14">
        <f t="shared" si="4"/>
        <v>3.3300000000000003E-2</v>
      </c>
      <c r="S46" s="14">
        <f t="shared" si="4"/>
        <v>293652</v>
      </c>
      <c r="EP46" s="68">
        <f t="shared" si="3"/>
        <v>41</v>
      </c>
    </row>
    <row r="47" spans="2:146">
      <c r="B47" s="4">
        <v>13</v>
      </c>
      <c r="C47" s="4">
        <v>0.71</v>
      </c>
      <c r="D47" s="4">
        <v>213</v>
      </c>
      <c r="E47" s="4">
        <v>955</v>
      </c>
      <c r="F47" s="4">
        <v>41394</v>
      </c>
      <c r="G47" s="4">
        <v>2.0299999999999999E-2</v>
      </c>
      <c r="H47" s="4">
        <v>380479</v>
      </c>
      <c r="I47" s="4">
        <f t="shared" si="0"/>
        <v>14.338489969999998</v>
      </c>
      <c r="M47" s="68">
        <v>1</v>
      </c>
      <c r="N47" s="14">
        <f t="shared" si="4"/>
        <v>0.61</v>
      </c>
      <c r="O47" s="14">
        <f t="shared" si="4"/>
        <v>399</v>
      </c>
      <c r="P47" s="14">
        <f t="shared" si="4"/>
        <v>1708</v>
      </c>
      <c r="Q47" s="14">
        <f t="shared" si="4"/>
        <v>28081</v>
      </c>
      <c r="R47" s="14">
        <f t="shared" si="4"/>
        <v>3.2000000000000001E-2</v>
      </c>
      <c r="S47" s="14">
        <f t="shared" si="4"/>
        <v>298685</v>
      </c>
      <c r="EP47" s="68">
        <f t="shared" si="3"/>
        <v>28</v>
      </c>
    </row>
    <row r="48" spans="2:146">
      <c r="B48" s="4">
        <v>15</v>
      </c>
      <c r="C48" s="4">
        <v>0.72</v>
      </c>
      <c r="D48" s="4">
        <v>205</v>
      </c>
      <c r="E48" s="4">
        <v>856</v>
      </c>
      <c r="F48" s="4">
        <v>48102</v>
      </c>
      <c r="G48" s="4">
        <v>1.83E-2</v>
      </c>
      <c r="H48" s="4">
        <v>386426</v>
      </c>
      <c r="I48" s="4">
        <f t="shared" si="0"/>
        <v>10.812688170000001</v>
      </c>
      <c r="M48" s="68">
        <v>1</v>
      </c>
      <c r="N48" s="14">
        <f t="shared" si="4"/>
        <v>0.64</v>
      </c>
      <c r="O48" s="14">
        <f t="shared" si="4"/>
        <v>383</v>
      </c>
      <c r="P48" s="14">
        <f t="shared" si="4"/>
        <v>1583</v>
      </c>
      <c r="Q48" s="14">
        <f t="shared" si="4"/>
        <v>28636</v>
      </c>
      <c r="R48" s="14">
        <f t="shared" si="4"/>
        <v>3.2300000000000002E-2</v>
      </c>
      <c r="S48" s="14">
        <f t="shared" si="4"/>
        <v>304494</v>
      </c>
      <c r="EP48" s="68">
        <f t="shared" si="3"/>
        <v>28</v>
      </c>
    </row>
    <row r="49" spans="2:146">
      <c r="B49" s="4">
        <v>21</v>
      </c>
      <c r="C49" s="4">
        <v>0.74</v>
      </c>
      <c r="D49" s="4">
        <v>187</v>
      </c>
      <c r="E49" s="4">
        <v>828</v>
      </c>
      <c r="F49" s="4">
        <v>52896</v>
      </c>
      <c r="G49" s="4">
        <v>1.5299999999999999E-2</v>
      </c>
      <c r="H49" s="4">
        <v>408323</v>
      </c>
      <c r="I49" s="4">
        <f t="shared" si="0"/>
        <v>8.8674644700000016</v>
      </c>
      <c r="M49" s="68">
        <v>1</v>
      </c>
      <c r="N49" s="14">
        <f t="shared" ref="N49:S64" si="5">C37</f>
        <v>0.66</v>
      </c>
      <c r="O49" s="14">
        <f t="shared" si="5"/>
        <v>363</v>
      </c>
      <c r="P49" s="14">
        <f t="shared" si="5"/>
        <v>1416</v>
      </c>
      <c r="Q49" s="14">
        <f t="shared" si="5"/>
        <v>19891</v>
      </c>
      <c r="R49" s="14">
        <f t="shared" si="5"/>
        <v>3.2000000000000001E-2</v>
      </c>
      <c r="S49" s="14">
        <f t="shared" si="5"/>
        <v>313101</v>
      </c>
      <c r="EP49" s="68">
        <f t="shared" si="3"/>
        <v>26</v>
      </c>
    </row>
    <row r="50" spans="2:146">
      <c r="B50" s="4">
        <v>11</v>
      </c>
      <c r="C50" s="4">
        <v>0.76</v>
      </c>
      <c r="D50" s="4">
        <v>182</v>
      </c>
      <c r="E50" s="4">
        <v>789</v>
      </c>
      <c r="F50" s="4">
        <v>53485</v>
      </c>
      <c r="G50" s="4">
        <v>1.37E-2</v>
      </c>
      <c r="H50" s="4">
        <v>441676</v>
      </c>
      <c r="I50" s="4">
        <f t="shared" si="0"/>
        <v>6.8655526300000016</v>
      </c>
      <c r="M50" s="68">
        <v>1</v>
      </c>
      <c r="N50" s="14">
        <f t="shared" si="5"/>
        <v>0.67</v>
      </c>
      <c r="O50" s="14">
        <f t="shared" si="5"/>
        <v>354</v>
      </c>
      <c r="P50" s="14">
        <f t="shared" si="5"/>
        <v>1414</v>
      </c>
      <c r="Q50" s="14">
        <f t="shared" si="5"/>
        <v>9396</v>
      </c>
      <c r="R50" s="14">
        <f t="shared" si="5"/>
        <v>3.2199999999999999E-2</v>
      </c>
      <c r="S50" s="14">
        <f t="shared" si="5"/>
        <v>317254</v>
      </c>
      <c r="EP50" s="68">
        <f t="shared" si="3"/>
        <v>28</v>
      </c>
    </row>
    <row r="51" spans="2:146">
      <c r="B51" s="4">
        <v>8</v>
      </c>
      <c r="C51" s="4">
        <v>0.77</v>
      </c>
      <c r="D51" s="4">
        <v>170</v>
      </c>
      <c r="E51" s="4">
        <v>744</v>
      </c>
      <c r="F51" s="4">
        <v>33514</v>
      </c>
      <c r="G51" s="4">
        <v>1.2699999999999999E-2</v>
      </c>
      <c r="H51" s="4">
        <v>469651</v>
      </c>
      <c r="I51" s="4">
        <f t="shared" si="0"/>
        <v>5.832530730000002</v>
      </c>
      <c r="M51" s="68">
        <v>1</v>
      </c>
      <c r="N51" s="14">
        <f t="shared" si="5"/>
        <v>0.67</v>
      </c>
      <c r="O51" s="14">
        <f t="shared" si="5"/>
        <v>342</v>
      </c>
      <c r="P51" s="14">
        <f t="shared" si="5"/>
        <v>1403</v>
      </c>
      <c r="Q51" s="14">
        <f t="shared" si="5"/>
        <v>25303</v>
      </c>
      <c r="R51" s="14">
        <f t="shared" si="5"/>
        <v>3.2300000000000002E-2</v>
      </c>
      <c r="S51" s="14">
        <f t="shared" si="5"/>
        <v>324862</v>
      </c>
      <c r="EP51" s="68">
        <f t="shared" si="3"/>
        <v>25</v>
      </c>
    </row>
    <row r="52" spans="2:146">
      <c r="B52" s="4">
        <v>6</v>
      </c>
      <c r="C52" s="4">
        <v>0.79</v>
      </c>
      <c r="D52" s="4">
        <v>170</v>
      </c>
      <c r="E52" s="4">
        <v>765</v>
      </c>
      <c r="F52" s="4">
        <v>10254</v>
      </c>
      <c r="G52" s="4">
        <v>1.23E-2</v>
      </c>
      <c r="H52" s="4">
        <v>482561</v>
      </c>
      <c r="I52" s="4">
        <f t="shared" si="0"/>
        <v>5.9291147699999982</v>
      </c>
      <c r="M52" s="68">
        <v>1</v>
      </c>
      <c r="N52" s="14">
        <f t="shared" si="5"/>
        <v>0.67</v>
      </c>
      <c r="O52" s="14">
        <f t="shared" si="5"/>
        <v>312</v>
      </c>
      <c r="P52" s="14">
        <f t="shared" si="5"/>
        <v>1278</v>
      </c>
      <c r="Q52" s="14">
        <f t="shared" si="5"/>
        <v>24513</v>
      </c>
      <c r="R52" s="14">
        <f t="shared" si="5"/>
        <v>3.4299999999999997E-2</v>
      </c>
      <c r="S52" s="14">
        <f t="shared" si="5"/>
        <v>327040</v>
      </c>
      <c r="EP52" s="68">
        <f t="shared" si="3"/>
        <v>30</v>
      </c>
    </row>
    <row r="53" spans="2:146">
      <c r="B53" s="4">
        <v>16</v>
      </c>
      <c r="C53" s="4">
        <v>0.8</v>
      </c>
      <c r="D53" s="4">
        <v>165</v>
      </c>
      <c r="E53" s="4">
        <v>771</v>
      </c>
      <c r="F53" s="4">
        <v>30283</v>
      </c>
      <c r="G53" s="4">
        <v>1.21E-2</v>
      </c>
      <c r="H53" s="4">
        <v>488236</v>
      </c>
      <c r="I53" s="4">
        <f t="shared" si="0"/>
        <v>6.2668567899999985</v>
      </c>
      <c r="M53" s="68">
        <v>1</v>
      </c>
      <c r="N53" s="14">
        <f t="shared" si="5"/>
        <v>0.65</v>
      </c>
      <c r="O53" s="14">
        <f t="shared" si="5"/>
        <v>283</v>
      </c>
      <c r="P53" s="14">
        <f t="shared" si="5"/>
        <v>1201</v>
      </c>
      <c r="Q53" s="14">
        <f t="shared" si="5"/>
        <v>26627</v>
      </c>
      <c r="R53" s="14">
        <f t="shared" si="5"/>
        <v>3.2800000000000003E-2</v>
      </c>
      <c r="S53" s="14">
        <f t="shared" si="5"/>
        <v>328946</v>
      </c>
      <c r="EP53" s="68">
        <f t="shared" si="3"/>
        <v>22</v>
      </c>
    </row>
    <row r="54" spans="2:146">
      <c r="B54" s="4">
        <v>10</v>
      </c>
      <c r="C54" s="4">
        <v>0.81</v>
      </c>
      <c r="D54" s="4">
        <v>159</v>
      </c>
      <c r="E54" s="4">
        <v>743</v>
      </c>
      <c r="F54" s="4">
        <v>31200</v>
      </c>
      <c r="G54" s="4">
        <v>1.2800000000000001E-2</v>
      </c>
      <c r="H54" s="4">
        <v>495868</v>
      </c>
      <c r="I54" s="4">
        <f t="shared" si="0"/>
        <v>6.6675207200000006</v>
      </c>
      <c r="M54" s="68">
        <v>1</v>
      </c>
      <c r="N54" s="14">
        <f t="shared" si="5"/>
        <v>0.65</v>
      </c>
      <c r="O54" s="14">
        <f t="shared" si="5"/>
        <v>273</v>
      </c>
      <c r="P54" s="14">
        <f t="shared" si="5"/>
        <v>1102</v>
      </c>
      <c r="Q54" s="14">
        <f t="shared" si="5"/>
        <v>24313</v>
      </c>
      <c r="R54" s="14">
        <f t="shared" si="5"/>
        <v>3.2300000000000002E-2</v>
      </c>
      <c r="S54" s="14">
        <f t="shared" si="5"/>
        <v>337944</v>
      </c>
      <c r="EP54" s="68">
        <f t="shared" si="3"/>
        <v>18</v>
      </c>
    </row>
    <row r="55" spans="2:146">
      <c r="B55" s="4">
        <v>11</v>
      </c>
      <c r="C55" s="4">
        <v>0.82</v>
      </c>
      <c r="D55" s="4">
        <v>155</v>
      </c>
      <c r="E55" s="4">
        <v>712</v>
      </c>
      <c r="F55" s="4">
        <v>29256</v>
      </c>
      <c r="G55" s="4">
        <v>1.34E-2</v>
      </c>
      <c r="H55" s="4">
        <v>497940</v>
      </c>
      <c r="I55" s="4">
        <f t="shared" si="0"/>
        <v>6.7492266599999979</v>
      </c>
      <c r="M55" s="68">
        <v>1</v>
      </c>
      <c r="N55" s="14">
        <f t="shared" si="5"/>
        <v>0.66</v>
      </c>
      <c r="O55" s="14">
        <f t="shared" si="5"/>
        <v>266</v>
      </c>
      <c r="P55" s="14">
        <f t="shared" si="5"/>
        <v>1046</v>
      </c>
      <c r="Q55" s="14">
        <f t="shared" si="5"/>
        <v>27281</v>
      </c>
      <c r="R55" s="14">
        <f t="shared" si="5"/>
        <v>3.0200000000000001E-2</v>
      </c>
      <c r="S55" s="14">
        <f t="shared" si="5"/>
        <v>352247</v>
      </c>
      <c r="EP55" s="68">
        <f t="shared" si="3"/>
        <v>15</v>
      </c>
    </row>
    <row r="56" spans="2:146">
      <c r="B56" s="4">
        <v>9</v>
      </c>
      <c r="C56" s="4">
        <v>0.83</v>
      </c>
      <c r="D56" s="4">
        <v>154</v>
      </c>
      <c r="E56" s="4">
        <v>695</v>
      </c>
      <c r="F56" s="4">
        <v>27478</v>
      </c>
      <c r="G56" s="4">
        <v>1.46E-2</v>
      </c>
      <c r="H56" s="4">
        <v>501547</v>
      </c>
      <c r="I56" s="4">
        <f t="shared" si="0"/>
        <v>7.4580805400000028</v>
      </c>
      <c r="M56" s="68">
        <v>1</v>
      </c>
      <c r="N56" s="14">
        <f t="shared" si="5"/>
        <v>0.68</v>
      </c>
      <c r="O56" s="14">
        <f t="shared" si="5"/>
        <v>253</v>
      </c>
      <c r="P56" s="14">
        <f t="shared" si="5"/>
        <v>980</v>
      </c>
      <c r="Q56" s="14">
        <f t="shared" si="5"/>
        <v>21016</v>
      </c>
      <c r="R56" s="14">
        <f t="shared" si="5"/>
        <v>2.7199999999999998E-2</v>
      </c>
      <c r="S56" s="14">
        <f t="shared" si="5"/>
        <v>365719</v>
      </c>
      <c r="EP56" s="68">
        <f t="shared" si="3"/>
        <v>19</v>
      </c>
    </row>
    <row r="57" spans="2:146">
      <c r="B57" s="4">
        <v>5</v>
      </c>
      <c r="C57" s="4">
        <v>0.84</v>
      </c>
      <c r="D57" s="4">
        <v>155</v>
      </c>
      <c r="E57" s="4">
        <v>669</v>
      </c>
      <c r="F57" s="4">
        <v>30147</v>
      </c>
      <c r="G57" s="4">
        <v>1.6E-2</v>
      </c>
      <c r="H57" s="4">
        <v>506051</v>
      </c>
      <c r="I57" s="4">
        <f t="shared" si="0"/>
        <v>7.9699504000000001</v>
      </c>
      <c r="M57" s="68">
        <v>1</v>
      </c>
      <c r="N57" s="14">
        <f t="shared" si="5"/>
        <v>0.69</v>
      </c>
      <c r="O57" s="14">
        <f t="shared" si="5"/>
        <v>242</v>
      </c>
      <c r="P57" s="14">
        <f t="shared" si="5"/>
        <v>976</v>
      </c>
      <c r="Q57" s="14">
        <f t="shared" si="5"/>
        <v>9709</v>
      </c>
      <c r="R57" s="14">
        <f t="shared" si="5"/>
        <v>2.6200000000000001E-2</v>
      </c>
      <c r="S57" s="14">
        <f t="shared" si="5"/>
        <v>371084</v>
      </c>
      <c r="EP57" s="68">
        <f t="shared" si="3"/>
        <v>15</v>
      </c>
    </row>
    <row r="58" spans="2:146">
      <c r="B58" s="4">
        <v>8</v>
      </c>
      <c r="C58" s="4">
        <v>0.86</v>
      </c>
      <c r="D58" s="4">
        <v>148</v>
      </c>
      <c r="E58" s="4">
        <v>618</v>
      </c>
      <c r="F58" s="4">
        <v>22158</v>
      </c>
      <c r="G58" s="4">
        <v>1.6400000000000001E-2</v>
      </c>
      <c r="H58" s="4">
        <v>508507</v>
      </c>
      <c r="I58" s="4">
        <f t="shared" si="0"/>
        <v>7.6091983600000006</v>
      </c>
      <c r="M58" s="68">
        <v>1</v>
      </c>
      <c r="N58" s="14">
        <f t="shared" si="5"/>
        <v>0.7</v>
      </c>
      <c r="O58" s="14">
        <f t="shared" si="5"/>
        <v>231</v>
      </c>
      <c r="P58" s="14">
        <f t="shared" si="5"/>
        <v>996</v>
      </c>
      <c r="Q58" s="14">
        <f t="shared" si="5"/>
        <v>26427</v>
      </c>
      <c r="R58" s="14">
        <f t="shared" si="5"/>
        <v>2.5399999999999999E-2</v>
      </c>
      <c r="S58" s="14">
        <f t="shared" si="5"/>
        <v>377464</v>
      </c>
      <c r="EP58" s="68">
        <f t="shared" si="3"/>
        <v>10</v>
      </c>
    </row>
    <row r="59" spans="2:146">
      <c r="B59" s="4">
        <v>10</v>
      </c>
      <c r="C59" s="4">
        <v>0.89</v>
      </c>
      <c r="D59" s="4">
        <v>142</v>
      </c>
      <c r="E59" s="4">
        <v>633</v>
      </c>
      <c r="F59" s="4">
        <v>10845</v>
      </c>
      <c r="G59" s="4">
        <v>1.5900000000000001E-2</v>
      </c>
      <c r="H59" s="4">
        <v>510025</v>
      </c>
      <c r="I59" s="4">
        <f t="shared" si="0"/>
        <v>7.9245824100000011</v>
      </c>
      <c r="M59" s="68">
        <v>1</v>
      </c>
      <c r="N59" s="14">
        <f t="shared" si="5"/>
        <v>0.71</v>
      </c>
      <c r="O59" s="14">
        <f t="shared" si="5"/>
        <v>213</v>
      </c>
      <c r="P59" s="14">
        <f t="shared" si="5"/>
        <v>955</v>
      </c>
      <c r="Q59" s="14">
        <f t="shared" si="5"/>
        <v>41394</v>
      </c>
      <c r="R59" s="14">
        <f t="shared" si="5"/>
        <v>2.0299999999999999E-2</v>
      </c>
      <c r="S59" s="14">
        <f t="shared" si="5"/>
        <v>380479</v>
      </c>
      <c r="EP59" s="68">
        <f t="shared" si="3"/>
        <v>13</v>
      </c>
    </row>
    <row r="60" spans="2:146">
      <c r="B60" s="4">
        <v>6</v>
      </c>
      <c r="C60" s="4">
        <v>0.92</v>
      </c>
      <c r="D60" s="4">
        <v>136</v>
      </c>
      <c r="E60" s="4">
        <v>623</v>
      </c>
      <c r="F60" s="4">
        <v>30192</v>
      </c>
      <c r="G60" s="4">
        <v>1.6199999999999999E-2</v>
      </c>
      <c r="H60" s="4">
        <v>511095</v>
      </c>
      <c r="I60" s="4">
        <f t="shared" si="0"/>
        <v>8.3501303800000031</v>
      </c>
      <c r="M60" s="68">
        <v>1</v>
      </c>
      <c r="N60" s="14">
        <f t="shared" si="5"/>
        <v>0.72</v>
      </c>
      <c r="O60" s="14">
        <f t="shared" si="5"/>
        <v>205</v>
      </c>
      <c r="P60" s="14">
        <f t="shared" si="5"/>
        <v>856</v>
      </c>
      <c r="Q60" s="14">
        <f t="shared" si="5"/>
        <v>48102</v>
      </c>
      <c r="R60" s="14">
        <f t="shared" si="5"/>
        <v>1.83E-2</v>
      </c>
      <c r="S60" s="14">
        <f t="shared" si="5"/>
        <v>386426</v>
      </c>
      <c r="EP60" s="68">
        <f t="shared" si="3"/>
        <v>15</v>
      </c>
    </row>
    <row r="61" spans="2:146">
      <c r="B61" s="4">
        <v>2</v>
      </c>
      <c r="C61" s="4">
        <v>0.94</v>
      </c>
      <c r="D61" s="4">
        <v>129</v>
      </c>
      <c r="E61" s="4">
        <v>584</v>
      </c>
      <c r="F61" s="4">
        <v>29244</v>
      </c>
      <c r="G61" s="4">
        <v>1.61E-2</v>
      </c>
      <c r="H61" s="4">
        <v>513723</v>
      </c>
      <c r="I61" s="4">
        <f t="shared" si="0"/>
        <v>7.8338883900000003</v>
      </c>
      <c r="M61" s="68">
        <v>1</v>
      </c>
      <c r="N61" s="14">
        <f t="shared" si="5"/>
        <v>0.74</v>
      </c>
      <c r="O61" s="14">
        <f t="shared" si="5"/>
        <v>187</v>
      </c>
      <c r="P61" s="14">
        <f t="shared" si="5"/>
        <v>828</v>
      </c>
      <c r="Q61" s="14">
        <f t="shared" si="5"/>
        <v>52896</v>
      </c>
      <c r="R61" s="14">
        <f t="shared" si="5"/>
        <v>1.5299999999999999E-2</v>
      </c>
      <c r="S61" s="14">
        <f t="shared" si="5"/>
        <v>408323</v>
      </c>
      <c r="EP61" s="68">
        <f t="shared" si="3"/>
        <v>21</v>
      </c>
    </row>
    <row r="62" spans="2:146">
      <c r="B62" s="4">
        <v>3</v>
      </c>
      <c r="C62" s="4">
        <v>0.97</v>
      </c>
      <c r="D62" s="4">
        <v>127</v>
      </c>
      <c r="E62" s="4">
        <v>558</v>
      </c>
      <c r="F62" s="4">
        <v>28880</v>
      </c>
      <c r="G62" s="4">
        <v>1.6400000000000001E-2</v>
      </c>
      <c r="H62" s="4">
        <v>517319</v>
      </c>
      <c r="I62" s="4">
        <f t="shared" si="0"/>
        <v>7.5594363599999994</v>
      </c>
      <c r="M62" s="68">
        <v>1</v>
      </c>
      <c r="N62" s="14">
        <f t="shared" si="5"/>
        <v>0.76</v>
      </c>
      <c r="O62" s="14">
        <f t="shared" si="5"/>
        <v>182</v>
      </c>
      <c r="P62" s="14">
        <f t="shared" si="5"/>
        <v>789</v>
      </c>
      <c r="Q62" s="14">
        <f t="shared" si="5"/>
        <v>53485</v>
      </c>
      <c r="R62" s="14">
        <f t="shared" si="5"/>
        <v>1.37E-2</v>
      </c>
      <c r="S62" s="14">
        <f t="shared" si="5"/>
        <v>441676</v>
      </c>
      <c r="EP62" s="68">
        <f t="shared" si="3"/>
        <v>11</v>
      </c>
    </row>
    <row r="63" spans="2:146">
      <c r="B63" s="4">
        <v>11</v>
      </c>
      <c r="C63" s="4">
        <v>0.98</v>
      </c>
      <c r="D63" s="4">
        <v>129</v>
      </c>
      <c r="E63" s="4">
        <v>538</v>
      </c>
      <c r="F63" s="4">
        <v>28742</v>
      </c>
      <c r="G63" s="4">
        <v>1.72E-2</v>
      </c>
      <c r="H63" s="4">
        <v>527026</v>
      </c>
      <c r="I63" s="4">
        <f t="shared" si="0"/>
        <v>7.6045582800000009</v>
      </c>
      <c r="M63" s="68">
        <v>1</v>
      </c>
      <c r="N63" s="14">
        <f t="shared" si="5"/>
        <v>0.77</v>
      </c>
      <c r="O63" s="14">
        <f t="shared" si="5"/>
        <v>170</v>
      </c>
      <c r="P63" s="14">
        <f t="shared" si="5"/>
        <v>744</v>
      </c>
      <c r="Q63" s="14">
        <f t="shared" si="5"/>
        <v>33514</v>
      </c>
      <c r="R63" s="14">
        <f t="shared" si="5"/>
        <v>1.2699999999999999E-2</v>
      </c>
      <c r="S63" s="14">
        <f t="shared" si="5"/>
        <v>469651</v>
      </c>
      <c r="EP63" s="68">
        <f t="shared" si="3"/>
        <v>8</v>
      </c>
    </row>
    <row r="64" spans="2:146">
      <c r="B64" s="4">
        <v>9</v>
      </c>
      <c r="C64" s="4">
        <v>0.98</v>
      </c>
      <c r="D64" s="4">
        <v>131</v>
      </c>
      <c r="E64" s="4">
        <v>513</v>
      </c>
      <c r="F64" s="4">
        <v>14921</v>
      </c>
      <c r="G64" s="4">
        <v>1.9199999999999998E-2</v>
      </c>
      <c r="H64" s="4">
        <v>569074</v>
      </c>
      <c r="I64" s="4">
        <f t="shared" si="0"/>
        <v>8.6174180799999966</v>
      </c>
      <c r="M64" s="68">
        <v>1</v>
      </c>
      <c r="N64" s="14">
        <f t="shared" si="5"/>
        <v>0.79</v>
      </c>
      <c r="O64" s="14">
        <f t="shared" si="5"/>
        <v>170</v>
      </c>
      <c r="P64" s="14">
        <f t="shared" si="5"/>
        <v>765</v>
      </c>
      <c r="Q64" s="14">
        <f t="shared" si="5"/>
        <v>10254</v>
      </c>
      <c r="R64" s="14">
        <f t="shared" si="5"/>
        <v>1.23E-2</v>
      </c>
      <c r="S64" s="14">
        <f t="shared" si="5"/>
        <v>482561</v>
      </c>
      <c r="EP64" s="68">
        <f t="shared" si="3"/>
        <v>6</v>
      </c>
    </row>
    <row r="65" spans="2:146">
      <c r="B65" s="4">
        <v>7</v>
      </c>
      <c r="C65" s="4">
        <v>0.97</v>
      </c>
      <c r="D65" s="4">
        <v>126</v>
      </c>
      <c r="E65" s="4">
        <v>512</v>
      </c>
      <c r="F65" s="4">
        <v>23135</v>
      </c>
      <c r="G65" s="4">
        <v>1.8700000000000001E-2</v>
      </c>
      <c r="H65" s="4">
        <v>585830</v>
      </c>
      <c r="I65" s="4">
        <f t="shared" si="0"/>
        <v>8.5739701300000011</v>
      </c>
      <c r="M65" s="68">
        <v>1</v>
      </c>
      <c r="N65" s="14">
        <f t="shared" ref="N65:S80" si="6">C53</f>
        <v>0.8</v>
      </c>
      <c r="O65" s="14">
        <f t="shared" si="6"/>
        <v>165</v>
      </c>
      <c r="P65" s="14">
        <f t="shared" si="6"/>
        <v>771</v>
      </c>
      <c r="Q65" s="14">
        <f t="shared" si="6"/>
        <v>30283</v>
      </c>
      <c r="R65" s="14">
        <f t="shared" si="6"/>
        <v>1.21E-2</v>
      </c>
      <c r="S65" s="14">
        <f t="shared" si="6"/>
        <v>488236</v>
      </c>
      <c r="EP65" s="68">
        <f t="shared" si="3"/>
        <v>16</v>
      </c>
    </row>
    <row r="66" spans="2:146">
      <c r="B66" s="4">
        <v>4</v>
      </c>
      <c r="C66" s="4">
        <v>1</v>
      </c>
      <c r="D66" s="4">
        <v>117</v>
      </c>
      <c r="E66" s="4">
        <v>517</v>
      </c>
      <c r="F66" s="4">
        <v>12404</v>
      </c>
      <c r="G66" s="4">
        <v>1.7500000000000002E-2</v>
      </c>
      <c r="H66" s="4">
        <v>592953</v>
      </c>
      <c r="I66" s="4">
        <f t="shared" si="0"/>
        <v>8.269348250000002</v>
      </c>
      <c r="M66" s="68">
        <v>1</v>
      </c>
      <c r="N66" s="14">
        <f t="shared" si="6"/>
        <v>0.81</v>
      </c>
      <c r="O66" s="14">
        <f t="shared" si="6"/>
        <v>159</v>
      </c>
      <c r="P66" s="14">
        <f t="shared" si="6"/>
        <v>743</v>
      </c>
      <c r="Q66" s="14">
        <f t="shared" si="6"/>
        <v>31200</v>
      </c>
      <c r="R66" s="14">
        <f t="shared" si="6"/>
        <v>1.2800000000000001E-2</v>
      </c>
      <c r="S66" s="14">
        <f t="shared" si="6"/>
        <v>495868</v>
      </c>
      <c r="EP66" s="68">
        <f t="shared" si="3"/>
        <v>10</v>
      </c>
    </row>
    <row r="67" spans="2:146">
      <c r="B67" s="4">
        <v>6</v>
      </c>
      <c r="C67" s="4">
        <v>1.06</v>
      </c>
      <c r="D67" s="4">
        <v>112</v>
      </c>
      <c r="E67" s="4">
        <v>536</v>
      </c>
      <c r="F67" s="4">
        <v>59246</v>
      </c>
      <c r="G67" s="4">
        <v>1.41E-2</v>
      </c>
      <c r="H67" s="4">
        <v>596680</v>
      </c>
      <c r="I67" s="4">
        <f t="shared" si="0"/>
        <v>5.9584245900000035</v>
      </c>
      <c r="M67" s="68">
        <v>1</v>
      </c>
      <c r="N67" s="14">
        <f t="shared" si="6"/>
        <v>0.82</v>
      </c>
      <c r="O67" s="14">
        <f t="shared" si="6"/>
        <v>155</v>
      </c>
      <c r="P67" s="14">
        <f t="shared" si="6"/>
        <v>712</v>
      </c>
      <c r="Q67" s="14">
        <f t="shared" si="6"/>
        <v>29256</v>
      </c>
      <c r="R67" s="14">
        <f t="shared" si="6"/>
        <v>1.34E-2</v>
      </c>
      <c r="S67" s="14">
        <f t="shared" si="6"/>
        <v>497940</v>
      </c>
      <c r="EP67" s="68">
        <f t="shared" si="3"/>
        <v>11</v>
      </c>
    </row>
    <row r="68" spans="2:146">
      <c r="B68" s="4">
        <v>2</v>
      </c>
      <c r="C68" s="4">
        <v>1.1399999999999999</v>
      </c>
      <c r="D68" s="4">
        <v>113</v>
      </c>
      <c r="E68" s="4">
        <v>504</v>
      </c>
      <c r="F68" s="4">
        <v>63682</v>
      </c>
      <c r="G68" s="4">
        <v>1.41E-2</v>
      </c>
      <c r="H68" s="4">
        <v>602600</v>
      </c>
      <c r="I68" s="4">
        <f t="shared" si="0"/>
        <v>4.9082885900000015</v>
      </c>
      <c r="M68" s="68">
        <v>1</v>
      </c>
      <c r="N68" s="14">
        <f t="shared" si="6"/>
        <v>0.83</v>
      </c>
      <c r="O68" s="14">
        <f t="shared" si="6"/>
        <v>154</v>
      </c>
      <c r="P68" s="14">
        <f t="shared" si="6"/>
        <v>695</v>
      </c>
      <c r="Q68" s="14">
        <f t="shared" si="6"/>
        <v>27478</v>
      </c>
      <c r="R68" s="14">
        <f t="shared" si="6"/>
        <v>1.46E-2</v>
      </c>
      <c r="S68" s="14">
        <f t="shared" si="6"/>
        <v>501547</v>
      </c>
      <c r="EP68" s="68">
        <f t="shared" si="3"/>
        <v>9</v>
      </c>
    </row>
    <row r="69" spans="2:146">
      <c r="B69" s="4">
        <v>3</v>
      </c>
      <c r="C69" s="4">
        <v>1.1399999999999999</v>
      </c>
      <c r="D69" s="4">
        <v>116</v>
      </c>
      <c r="E69" s="4">
        <v>488</v>
      </c>
      <c r="F69" s="4">
        <v>63338</v>
      </c>
      <c r="G69" s="4">
        <v>1.2500000000000001E-2</v>
      </c>
      <c r="H69" s="4">
        <v>605682</v>
      </c>
      <c r="I69" s="4">
        <f t="shared" ref="I69:I123" si="7">ROUND($AG$140,4)+ROUND($AG$141,4)*C69+ROUND($AG$142,4)*D69+ROUND($AG$143,4)*E69+ROUND($AG$144,4)*F69+ROUND($AG$145,4)*G69+ROUND($AG$146,4)*H69</f>
        <v>2.8723607499999986</v>
      </c>
      <c r="M69" s="68">
        <v>1</v>
      </c>
      <c r="N69" s="14">
        <f t="shared" si="6"/>
        <v>0.84</v>
      </c>
      <c r="O69" s="14">
        <f t="shared" si="6"/>
        <v>155</v>
      </c>
      <c r="P69" s="14">
        <f t="shared" si="6"/>
        <v>669</v>
      </c>
      <c r="Q69" s="14">
        <f t="shared" si="6"/>
        <v>30147</v>
      </c>
      <c r="R69" s="14">
        <f t="shared" si="6"/>
        <v>1.6E-2</v>
      </c>
      <c r="S69" s="14">
        <f t="shared" si="6"/>
        <v>506051</v>
      </c>
      <c r="EP69" s="68">
        <f t="shared" si="3"/>
        <v>5</v>
      </c>
    </row>
    <row r="70" spans="2:146">
      <c r="B70" s="4">
        <v>9</v>
      </c>
      <c r="C70" s="4">
        <v>1.1299999999999999</v>
      </c>
      <c r="D70" s="4">
        <v>122</v>
      </c>
      <c r="E70" s="4">
        <v>495</v>
      </c>
      <c r="F70" s="4">
        <v>58289</v>
      </c>
      <c r="G70" s="4">
        <v>1.1299999999999999E-2</v>
      </c>
      <c r="H70" s="4">
        <v>616121</v>
      </c>
      <c r="I70" s="4">
        <f t="shared" si="7"/>
        <v>1.5275068699999981</v>
      </c>
      <c r="M70" s="68">
        <v>1</v>
      </c>
      <c r="N70" s="14">
        <f t="shared" si="6"/>
        <v>0.86</v>
      </c>
      <c r="O70" s="14">
        <f t="shared" si="6"/>
        <v>148</v>
      </c>
      <c r="P70" s="14">
        <f t="shared" si="6"/>
        <v>618</v>
      </c>
      <c r="Q70" s="14">
        <f t="shared" si="6"/>
        <v>22158</v>
      </c>
      <c r="R70" s="14">
        <f t="shared" si="6"/>
        <v>1.6400000000000001E-2</v>
      </c>
      <c r="S70" s="14">
        <f t="shared" si="6"/>
        <v>508507</v>
      </c>
      <c r="EP70" s="68">
        <f t="shared" si="3"/>
        <v>8</v>
      </c>
    </row>
    <row r="71" spans="2:146">
      <c r="B71" s="4">
        <v>5</v>
      </c>
      <c r="C71" s="4">
        <v>1.1200000000000001</v>
      </c>
      <c r="D71" s="4">
        <v>128</v>
      </c>
      <c r="E71" s="4">
        <v>486</v>
      </c>
      <c r="F71" s="4">
        <v>60156</v>
      </c>
      <c r="G71" s="4">
        <v>1.0200000000000001E-2</v>
      </c>
      <c r="H71" s="4">
        <v>631127</v>
      </c>
      <c r="I71" s="4">
        <f t="shared" si="7"/>
        <v>-0.11128901999999741</v>
      </c>
      <c r="M71" s="68">
        <v>1</v>
      </c>
      <c r="N71" s="14">
        <f t="shared" si="6"/>
        <v>0.89</v>
      </c>
      <c r="O71" s="14">
        <f t="shared" si="6"/>
        <v>142</v>
      </c>
      <c r="P71" s="14">
        <f t="shared" si="6"/>
        <v>633</v>
      </c>
      <c r="Q71" s="14">
        <f t="shared" si="6"/>
        <v>10845</v>
      </c>
      <c r="R71" s="14">
        <f t="shared" si="6"/>
        <v>1.5900000000000001E-2</v>
      </c>
      <c r="S71" s="14">
        <f t="shared" si="6"/>
        <v>510025</v>
      </c>
      <c r="EP71" s="68">
        <f t="shared" si="3"/>
        <v>10</v>
      </c>
    </row>
    <row r="72" spans="2:146">
      <c r="B72" s="4">
        <v>6</v>
      </c>
      <c r="C72" s="4">
        <v>1.1000000000000001</v>
      </c>
      <c r="D72" s="4">
        <v>119</v>
      </c>
      <c r="E72" s="4">
        <v>466</v>
      </c>
      <c r="F72" s="4">
        <v>31800</v>
      </c>
      <c r="G72" s="4">
        <v>1.09E-2</v>
      </c>
      <c r="H72" s="4">
        <v>643712</v>
      </c>
      <c r="I72" s="4">
        <f t="shared" si="7"/>
        <v>0.79600091000000184</v>
      </c>
      <c r="M72" s="68">
        <v>1</v>
      </c>
      <c r="N72" s="14">
        <f t="shared" si="6"/>
        <v>0.92</v>
      </c>
      <c r="O72" s="14">
        <f t="shared" si="6"/>
        <v>136</v>
      </c>
      <c r="P72" s="14">
        <f t="shared" si="6"/>
        <v>623</v>
      </c>
      <c r="Q72" s="14">
        <f t="shared" si="6"/>
        <v>30192</v>
      </c>
      <c r="R72" s="14">
        <f t="shared" si="6"/>
        <v>1.6199999999999999E-2</v>
      </c>
      <c r="S72" s="14">
        <f t="shared" si="6"/>
        <v>511095</v>
      </c>
      <c r="W72" s="68">
        <f t="array" ref="W72:EL78">TRANSPOSE(M16:S135)</f>
        <v>1</v>
      </c>
      <c r="X72" s="68">
        <v>1</v>
      </c>
      <c r="Y72" s="68">
        <v>1</v>
      </c>
      <c r="Z72" s="68">
        <v>1</v>
      </c>
      <c r="AA72" s="68">
        <v>1</v>
      </c>
      <c r="AB72" s="68">
        <v>1</v>
      </c>
      <c r="AC72" s="68">
        <v>1</v>
      </c>
      <c r="AD72" s="68">
        <v>1</v>
      </c>
      <c r="AE72" s="68">
        <v>1</v>
      </c>
      <c r="AF72" s="68">
        <v>1</v>
      </c>
      <c r="AG72" s="68">
        <v>1</v>
      </c>
      <c r="AH72" s="68">
        <v>1</v>
      </c>
      <c r="AI72" s="68">
        <v>1</v>
      </c>
      <c r="AJ72" s="68">
        <v>1</v>
      </c>
      <c r="AK72" s="68">
        <v>1</v>
      </c>
      <c r="AL72" s="68">
        <v>1</v>
      </c>
      <c r="AM72" s="68">
        <v>1</v>
      </c>
      <c r="AN72" s="68">
        <v>1</v>
      </c>
      <c r="AO72" s="68">
        <v>1</v>
      </c>
      <c r="AP72" s="68">
        <v>1</v>
      </c>
      <c r="AQ72" s="68">
        <v>1</v>
      </c>
      <c r="AR72" s="68">
        <v>1</v>
      </c>
      <c r="AS72" s="68">
        <v>1</v>
      </c>
      <c r="AT72" s="68">
        <v>1</v>
      </c>
      <c r="AU72" s="68">
        <v>1</v>
      </c>
      <c r="AV72" s="68">
        <v>1</v>
      </c>
      <c r="AW72" s="68">
        <v>1</v>
      </c>
      <c r="AX72" s="68">
        <v>1</v>
      </c>
      <c r="AY72" s="68">
        <v>1</v>
      </c>
      <c r="AZ72" s="68">
        <v>1</v>
      </c>
      <c r="BA72" s="68">
        <v>1</v>
      </c>
      <c r="BB72" s="68">
        <v>1</v>
      </c>
      <c r="BC72" s="68">
        <v>1</v>
      </c>
      <c r="BD72" s="68">
        <v>1</v>
      </c>
      <c r="BE72" s="68">
        <v>1</v>
      </c>
      <c r="BF72" s="68">
        <v>1</v>
      </c>
      <c r="BG72" s="68">
        <v>1</v>
      </c>
      <c r="BH72" s="68">
        <v>1</v>
      </c>
      <c r="BI72" s="68">
        <v>1</v>
      </c>
      <c r="BJ72" s="68">
        <v>1</v>
      </c>
      <c r="BK72" s="68">
        <v>1</v>
      </c>
      <c r="BL72" s="68">
        <v>1</v>
      </c>
      <c r="BM72" s="68">
        <v>1</v>
      </c>
      <c r="BN72" s="68">
        <v>1</v>
      </c>
      <c r="BO72" s="68">
        <v>1</v>
      </c>
      <c r="BP72" s="68">
        <v>1</v>
      </c>
      <c r="BQ72" s="68">
        <v>1</v>
      </c>
      <c r="BR72" s="68">
        <v>1</v>
      </c>
      <c r="BS72" s="68">
        <v>1</v>
      </c>
      <c r="BT72" s="68">
        <v>1</v>
      </c>
      <c r="BU72" s="68">
        <v>1</v>
      </c>
      <c r="BV72" s="68">
        <v>1</v>
      </c>
      <c r="BW72" s="68">
        <v>1</v>
      </c>
      <c r="BX72" s="68">
        <v>1</v>
      </c>
      <c r="BY72" s="68">
        <v>1</v>
      </c>
      <c r="BZ72" s="68">
        <v>1</v>
      </c>
      <c r="CA72" s="68">
        <v>1</v>
      </c>
      <c r="CB72" s="68">
        <v>1</v>
      </c>
      <c r="CC72" s="68">
        <v>1</v>
      </c>
      <c r="CD72" s="68">
        <v>1</v>
      </c>
      <c r="CE72" s="68">
        <v>1</v>
      </c>
      <c r="CF72" s="68">
        <v>1</v>
      </c>
      <c r="CG72" s="68">
        <v>1</v>
      </c>
      <c r="CH72" s="68">
        <v>1</v>
      </c>
      <c r="CI72" s="68">
        <v>1</v>
      </c>
      <c r="CJ72" s="68">
        <v>1</v>
      </c>
      <c r="CK72" s="68">
        <v>1</v>
      </c>
      <c r="CL72" s="68">
        <v>1</v>
      </c>
      <c r="CM72" s="68">
        <v>1</v>
      </c>
      <c r="CN72" s="68">
        <v>1</v>
      </c>
      <c r="CO72" s="68">
        <v>1</v>
      </c>
      <c r="CP72" s="68">
        <v>1</v>
      </c>
      <c r="CQ72" s="68">
        <v>1</v>
      </c>
      <c r="CR72" s="68">
        <v>1</v>
      </c>
      <c r="CS72" s="68">
        <v>1</v>
      </c>
      <c r="CT72" s="68">
        <v>1</v>
      </c>
      <c r="CU72" s="68">
        <v>1</v>
      </c>
      <c r="CV72" s="68">
        <v>1</v>
      </c>
      <c r="CW72" s="68">
        <v>1</v>
      </c>
      <c r="CX72" s="68">
        <v>1</v>
      </c>
      <c r="CY72" s="68">
        <v>1</v>
      </c>
      <c r="CZ72" s="68">
        <v>1</v>
      </c>
      <c r="DA72" s="68">
        <v>1</v>
      </c>
      <c r="DB72" s="68">
        <v>1</v>
      </c>
      <c r="DC72" s="68">
        <v>1</v>
      </c>
      <c r="DD72" s="68">
        <v>1</v>
      </c>
      <c r="DE72" s="68">
        <v>1</v>
      </c>
      <c r="DF72" s="68">
        <v>1</v>
      </c>
      <c r="DG72" s="68">
        <v>1</v>
      </c>
      <c r="DH72" s="68">
        <v>1</v>
      </c>
      <c r="DI72" s="68">
        <v>1</v>
      </c>
      <c r="DJ72" s="68">
        <v>1</v>
      </c>
      <c r="DK72" s="68">
        <v>1</v>
      </c>
      <c r="DL72" s="68">
        <v>1</v>
      </c>
      <c r="DM72" s="68">
        <v>1</v>
      </c>
      <c r="DN72" s="68">
        <v>1</v>
      </c>
      <c r="DO72" s="68">
        <v>1</v>
      </c>
      <c r="DP72" s="68">
        <v>1</v>
      </c>
      <c r="DQ72" s="68">
        <v>1</v>
      </c>
      <c r="DR72" s="68">
        <v>1</v>
      </c>
      <c r="DS72" s="68">
        <v>1</v>
      </c>
      <c r="DT72" s="68">
        <v>1</v>
      </c>
      <c r="DU72" s="68">
        <v>1</v>
      </c>
      <c r="DV72" s="68">
        <v>1</v>
      </c>
      <c r="DW72" s="68">
        <v>1</v>
      </c>
      <c r="DX72" s="68">
        <v>1</v>
      </c>
      <c r="DY72" s="68">
        <v>1</v>
      </c>
      <c r="DZ72" s="68">
        <v>1</v>
      </c>
      <c r="EA72" s="68">
        <v>1</v>
      </c>
      <c r="EB72" s="68">
        <v>1</v>
      </c>
      <c r="EC72" s="68">
        <v>1</v>
      </c>
      <c r="ED72" s="68">
        <v>1</v>
      </c>
      <c r="EE72" s="68">
        <v>1</v>
      </c>
      <c r="EF72" s="68">
        <v>1</v>
      </c>
      <c r="EG72" s="68">
        <v>1</v>
      </c>
      <c r="EH72" s="68">
        <v>1</v>
      </c>
      <c r="EI72" s="68">
        <v>1</v>
      </c>
      <c r="EJ72" s="68">
        <v>1</v>
      </c>
      <c r="EK72" s="68">
        <v>1</v>
      </c>
      <c r="EL72" s="68">
        <v>1</v>
      </c>
      <c r="EP72" s="68">
        <f t="shared" si="3"/>
        <v>6</v>
      </c>
    </row>
    <row r="73" spans="2:146">
      <c r="B73" s="4">
        <v>6</v>
      </c>
      <c r="C73" s="4">
        <v>1.07</v>
      </c>
      <c r="D73" s="4">
        <v>113</v>
      </c>
      <c r="E73" s="4">
        <v>466</v>
      </c>
      <c r="F73" s="4">
        <v>12842</v>
      </c>
      <c r="G73" s="4">
        <v>1.1900000000000001E-2</v>
      </c>
      <c r="H73" s="4">
        <v>645818</v>
      </c>
      <c r="I73" s="4">
        <f t="shared" si="7"/>
        <v>2.2342068100000034</v>
      </c>
      <c r="M73" s="68">
        <v>1</v>
      </c>
      <c r="N73" s="14">
        <f t="shared" si="6"/>
        <v>0.94</v>
      </c>
      <c r="O73" s="14">
        <f t="shared" si="6"/>
        <v>129</v>
      </c>
      <c r="P73" s="14">
        <f t="shared" si="6"/>
        <v>584</v>
      </c>
      <c r="Q73" s="14">
        <f t="shared" si="6"/>
        <v>29244</v>
      </c>
      <c r="R73" s="14">
        <f t="shared" si="6"/>
        <v>1.61E-2</v>
      </c>
      <c r="S73" s="14">
        <f t="shared" si="6"/>
        <v>513723</v>
      </c>
      <c r="W73" s="68">
        <v>0.82</v>
      </c>
      <c r="X73" s="68">
        <v>0.76</v>
      </c>
      <c r="Y73" s="68">
        <v>0.71</v>
      </c>
      <c r="Z73" s="68">
        <v>0.67</v>
      </c>
      <c r="AA73" s="68">
        <v>0.64</v>
      </c>
      <c r="AB73" s="68">
        <v>0.62</v>
      </c>
      <c r="AC73" s="68">
        <v>0.59</v>
      </c>
      <c r="AD73" s="68">
        <v>0.56000000000000005</v>
      </c>
      <c r="AE73" s="68">
        <v>0.53</v>
      </c>
      <c r="AF73" s="68">
        <v>0.51</v>
      </c>
      <c r="AG73" s="68">
        <v>0.49</v>
      </c>
      <c r="AH73" s="68">
        <v>0.48</v>
      </c>
      <c r="AI73" s="68">
        <v>0.48</v>
      </c>
      <c r="AJ73" s="68">
        <v>0.48</v>
      </c>
      <c r="AK73" s="68">
        <v>0.48</v>
      </c>
      <c r="AL73" s="68">
        <v>0.47</v>
      </c>
      <c r="AM73" s="68">
        <v>0.47</v>
      </c>
      <c r="AN73" s="68">
        <v>0.47</v>
      </c>
      <c r="AO73" s="68">
        <v>0.48</v>
      </c>
      <c r="AP73" s="68">
        <v>0.48</v>
      </c>
      <c r="AQ73" s="68">
        <v>0.49</v>
      </c>
      <c r="AR73" s="68">
        <v>0.49</v>
      </c>
      <c r="AS73" s="68">
        <v>0.49</v>
      </c>
      <c r="AT73" s="68">
        <v>0.5</v>
      </c>
      <c r="AU73" s="68">
        <v>0.5</v>
      </c>
      <c r="AV73" s="68">
        <v>0.51</v>
      </c>
      <c r="AW73" s="68">
        <v>0.53</v>
      </c>
      <c r="AX73" s="68">
        <v>0.54</v>
      </c>
      <c r="AY73" s="68">
        <v>0.56000000000000005</v>
      </c>
      <c r="AZ73" s="68">
        <v>0.56999999999999995</v>
      </c>
      <c r="BA73" s="68">
        <v>0.59</v>
      </c>
      <c r="BB73" s="68">
        <v>0.61</v>
      </c>
      <c r="BC73" s="68">
        <v>0.64</v>
      </c>
      <c r="BD73" s="68">
        <v>0.66</v>
      </c>
      <c r="BE73" s="68">
        <v>0.67</v>
      </c>
      <c r="BF73" s="68">
        <v>0.67</v>
      </c>
      <c r="BG73" s="68">
        <v>0.67</v>
      </c>
      <c r="BH73" s="68">
        <v>0.65</v>
      </c>
      <c r="BI73" s="68">
        <v>0.65</v>
      </c>
      <c r="BJ73" s="68">
        <v>0.66</v>
      </c>
      <c r="BK73" s="68">
        <v>0.68</v>
      </c>
      <c r="BL73" s="68">
        <v>0.69</v>
      </c>
      <c r="BM73" s="68">
        <v>0.7</v>
      </c>
      <c r="BN73" s="68">
        <v>0.71</v>
      </c>
      <c r="BO73" s="68">
        <v>0.72</v>
      </c>
      <c r="BP73" s="68">
        <v>0.74</v>
      </c>
      <c r="BQ73" s="68">
        <v>0.76</v>
      </c>
      <c r="BR73" s="68">
        <v>0.77</v>
      </c>
      <c r="BS73" s="68">
        <v>0.79</v>
      </c>
      <c r="BT73" s="68">
        <v>0.8</v>
      </c>
      <c r="BU73" s="68">
        <v>0.81</v>
      </c>
      <c r="BV73" s="68">
        <v>0.82</v>
      </c>
      <c r="BW73" s="68">
        <v>0.83</v>
      </c>
      <c r="BX73" s="68">
        <v>0.84</v>
      </c>
      <c r="BY73" s="68">
        <v>0.86</v>
      </c>
      <c r="BZ73" s="68">
        <v>0.89</v>
      </c>
      <c r="CA73" s="68">
        <v>0.92</v>
      </c>
      <c r="CB73" s="68">
        <v>0.94</v>
      </c>
      <c r="CC73" s="68">
        <v>0.97</v>
      </c>
      <c r="CD73" s="68">
        <v>0.98</v>
      </c>
      <c r="CE73" s="68">
        <v>0.98</v>
      </c>
      <c r="CF73" s="68">
        <v>0.97</v>
      </c>
      <c r="CG73" s="68">
        <v>1</v>
      </c>
      <c r="CH73" s="68">
        <v>1.06</v>
      </c>
      <c r="CI73" s="68">
        <v>1.1399999999999999</v>
      </c>
      <c r="CJ73" s="68">
        <v>1.1399999999999999</v>
      </c>
      <c r="CK73" s="68">
        <v>1.1299999999999999</v>
      </c>
      <c r="CL73" s="68">
        <v>1.1200000000000001</v>
      </c>
      <c r="CM73" s="68">
        <v>1.1000000000000001</v>
      </c>
      <c r="CN73" s="68">
        <v>1.07</v>
      </c>
      <c r="CO73" s="68">
        <v>1.04</v>
      </c>
      <c r="CP73" s="68">
        <v>1.01</v>
      </c>
      <c r="CQ73" s="68">
        <v>1.01</v>
      </c>
      <c r="CR73" s="68">
        <v>1</v>
      </c>
      <c r="CS73" s="68">
        <v>1</v>
      </c>
      <c r="CT73" s="68">
        <v>1</v>
      </c>
      <c r="CU73" s="68">
        <v>0.99</v>
      </c>
      <c r="CV73" s="68">
        <v>0.98</v>
      </c>
      <c r="CW73" s="68">
        <v>0.97</v>
      </c>
      <c r="CX73" s="68">
        <v>0.97</v>
      </c>
      <c r="CY73" s="68">
        <v>0.97</v>
      </c>
      <c r="CZ73" s="68">
        <v>0.96</v>
      </c>
      <c r="DA73" s="68">
        <v>0.96</v>
      </c>
      <c r="DB73" s="68">
        <v>0.94</v>
      </c>
      <c r="DC73" s="68">
        <v>0.92</v>
      </c>
      <c r="DD73" s="68">
        <v>0.91</v>
      </c>
      <c r="DE73" s="68">
        <v>0.9</v>
      </c>
      <c r="DF73" s="68">
        <v>0.89</v>
      </c>
      <c r="DG73" s="68">
        <v>0.88</v>
      </c>
      <c r="DH73" s="68">
        <v>0.87</v>
      </c>
      <c r="DI73" s="68">
        <v>0.86</v>
      </c>
      <c r="DJ73" s="68">
        <v>0.86</v>
      </c>
      <c r="DK73" s="68">
        <v>0.85</v>
      </c>
      <c r="DL73" s="68">
        <v>0.85</v>
      </c>
      <c r="DM73" s="68">
        <v>0.87</v>
      </c>
      <c r="DN73" s="68">
        <v>0.89</v>
      </c>
      <c r="DO73" s="68">
        <v>0.91</v>
      </c>
      <c r="DP73" s="68">
        <v>0.93</v>
      </c>
      <c r="DQ73" s="68">
        <v>0.95</v>
      </c>
      <c r="DR73" s="68">
        <v>0.97</v>
      </c>
      <c r="DS73" s="68">
        <v>1</v>
      </c>
      <c r="DT73" s="68">
        <v>1.02</v>
      </c>
      <c r="DU73" s="68">
        <v>1.04</v>
      </c>
      <c r="DV73" s="68">
        <v>1.05</v>
      </c>
      <c r="DW73" s="68">
        <v>1.06</v>
      </c>
      <c r="DX73" s="68">
        <v>1.07</v>
      </c>
      <c r="DY73" s="68">
        <v>1.08</v>
      </c>
      <c r="DZ73" s="68">
        <v>1.0900000000000001</v>
      </c>
      <c r="EA73" s="68">
        <v>1.1000000000000001</v>
      </c>
      <c r="EB73" s="68">
        <v>1.1200000000000001</v>
      </c>
      <c r="EC73" s="68">
        <v>1.1200000000000001</v>
      </c>
      <c r="ED73" s="68">
        <v>1.1200000000000001</v>
      </c>
      <c r="EE73" s="68">
        <v>1.1100000000000001</v>
      </c>
      <c r="EF73" s="68">
        <v>1.1200000000000001</v>
      </c>
      <c r="EG73" s="68">
        <v>1.1299999999999999</v>
      </c>
      <c r="EH73" s="68">
        <v>1.1399999999999999</v>
      </c>
      <c r="EI73" s="68">
        <v>1.1599999999999999</v>
      </c>
      <c r="EJ73" s="68">
        <v>1.1599999999999999</v>
      </c>
      <c r="EK73" s="68">
        <v>1.1599999999999999</v>
      </c>
      <c r="EL73" s="68">
        <v>1.1599999999999999</v>
      </c>
      <c r="EP73" s="68">
        <f t="shared" si="3"/>
        <v>2</v>
      </c>
    </row>
    <row r="74" spans="2:146">
      <c r="B74" s="4">
        <v>2</v>
      </c>
      <c r="C74" s="4">
        <v>1.04</v>
      </c>
      <c r="D74" s="4">
        <v>119</v>
      </c>
      <c r="E74" s="4">
        <v>479</v>
      </c>
      <c r="F74" s="4">
        <v>38795</v>
      </c>
      <c r="G74" s="4">
        <v>1.2999999999999999E-2</v>
      </c>
      <c r="H74" s="4">
        <v>651251</v>
      </c>
      <c r="I74" s="4">
        <f t="shared" si="7"/>
        <v>3.1187706999999989</v>
      </c>
      <c r="M74" s="68">
        <v>1</v>
      </c>
      <c r="N74" s="14">
        <f t="shared" si="6"/>
        <v>0.97</v>
      </c>
      <c r="O74" s="14">
        <f t="shared" si="6"/>
        <v>127</v>
      </c>
      <c r="P74" s="14">
        <f t="shared" si="6"/>
        <v>558</v>
      </c>
      <c r="Q74" s="14">
        <f t="shared" si="6"/>
        <v>28880</v>
      </c>
      <c r="R74" s="14">
        <f t="shared" si="6"/>
        <v>1.6400000000000001E-2</v>
      </c>
      <c r="S74" s="14">
        <f t="shared" si="6"/>
        <v>517319</v>
      </c>
      <c r="W74" s="68">
        <v>865</v>
      </c>
      <c r="X74" s="68">
        <v>852</v>
      </c>
      <c r="Y74" s="68">
        <v>877</v>
      </c>
      <c r="Z74" s="68">
        <v>863</v>
      </c>
      <c r="AA74" s="68">
        <v>904</v>
      </c>
      <c r="AB74" s="68">
        <v>891</v>
      </c>
      <c r="AC74" s="68">
        <v>865</v>
      </c>
      <c r="AD74" s="68">
        <v>877</v>
      </c>
      <c r="AE74" s="68">
        <v>862</v>
      </c>
      <c r="AF74" s="68">
        <v>853</v>
      </c>
      <c r="AG74" s="68">
        <v>836</v>
      </c>
      <c r="AH74" s="68">
        <v>846</v>
      </c>
      <c r="AI74" s="68">
        <v>803</v>
      </c>
      <c r="AJ74" s="68">
        <v>795</v>
      </c>
      <c r="AK74" s="68">
        <v>784</v>
      </c>
      <c r="AL74" s="68">
        <v>752</v>
      </c>
      <c r="AM74" s="68">
        <v>719</v>
      </c>
      <c r="AN74" s="68">
        <v>688</v>
      </c>
      <c r="AO74" s="68">
        <v>669</v>
      </c>
      <c r="AP74" s="68">
        <v>656</v>
      </c>
      <c r="AQ74" s="68">
        <v>638</v>
      </c>
      <c r="AR74" s="68">
        <v>627</v>
      </c>
      <c r="AS74" s="68">
        <v>597</v>
      </c>
      <c r="AT74" s="68">
        <v>567</v>
      </c>
      <c r="AU74" s="68">
        <v>536</v>
      </c>
      <c r="AV74" s="68">
        <v>522</v>
      </c>
      <c r="AW74" s="68">
        <v>492</v>
      </c>
      <c r="AX74" s="68">
        <v>484</v>
      </c>
      <c r="AY74" s="68">
        <v>469</v>
      </c>
      <c r="AZ74" s="68">
        <v>446</v>
      </c>
      <c r="BA74" s="68">
        <v>415</v>
      </c>
      <c r="BB74" s="68">
        <v>399</v>
      </c>
      <c r="BC74" s="68">
        <v>383</v>
      </c>
      <c r="BD74" s="68">
        <v>363</v>
      </c>
      <c r="BE74" s="68">
        <v>354</v>
      </c>
      <c r="BF74" s="68">
        <v>342</v>
      </c>
      <c r="BG74" s="68">
        <v>312</v>
      </c>
      <c r="BH74" s="68">
        <v>283</v>
      </c>
      <c r="BI74" s="68">
        <v>273</v>
      </c>
      <c r="BJ74" s="68">
        <v>266</v>
      </c>
      <c r="BK74" s="68">
        <v>253</v>
      </c>
      <c r="BL74" s="68">
        <v>242</v>
      </c>
      <c r="BM74" s="68">
        <v>231</v>
      </c>
      <c r="BN74" s="68">
        <v>213</v>
      </c>
      <c r="BO74" s="68">
        <v>205</v>
      </c>
      <c r="BP74" s="68">
        <v>187</v>
      </c>
      <c r="BQ74" s="68">
        <v>182</v>
      </c>
      <c r="BR74" s="68">
        <v>170</v>
      </c>
      <c r="BS74" s="68">
        <v>170</v>
      </c>
      <c r="BT74" s="68">
        <v>165</v>
      </c>
      <c r="BU74" s="68">
        <v>159</v>
      </c>
      <c r="BV74" s="68">
        <v>155</v>
      </c>
      <c r="BW74" s="68">
        <v>154</v>
      </c>
      <c r="BX74" s="68">
        <v>155</v>
      </c>
      <c r="BY74" s="68">
        <v>148</v>
      </c>
      <c r="BZ74" s="68">
        <v>142</v>
      </c>
      <c r="CA74" s="68">
        <v>136</v>
      </c>
      <c r="CB74" s="68">
        <v>129</v>
      </c>
      <c r="CC74" s="68">
        <v>127</v>
      </c>
      <c r="CD74" s="68">
        <v>129</v>
      </c>
      <c r="CE74" s="68">
        <v>131</v>
      </c>
      <c r="CF74" s="68">
        <v>126</v>
      </c>
      <c r="CG74" s="68">
        <v>117</v>
      </c>
      <c r="CH74" s="68">
        <v>112</v>
      </c>
      <c r="CI74" s="68">
        <v>113</v>
      </c>
      <c r="CJ74" s="68">
        <v>116</v>
      </c>
      <c r="CK74" s="68">
        <v>122</v>
      </c>
      <c r="CL74" s="68">
        <v>128</v>
      </c>
      <c r="CM74" s="68">
        <v>119</v>
      </c>
      <c r="CN74" s="68">
        <v>113</v>
      </c>
      <c r="CO74" s="68">
        <v>119</v>
      </c>
      <c r="CP74" s="68">
        <v>118</v>
      </c>
      <c r="CQ74" s="68">
        <v>116</v>
      </c>
      <c r="CR74" s="68">
        <v>109</v>
      </c>
      <c r="CS74" s="68">
        <v>101</v>
      </c>
      <c r="CT74" s="68">
        <v>103</v>
      </c>
      <c r="CU74" s="68">
        <v>109</v>
      </c>
      <c r="CV74" s="68">
        <v>112</v>
      </c>
      <c r="CW74" s="68">
        <v>113</v>
      </c>
      <c r="CX74" s="68">
        <v>110</v>
      </c>
      <c r="CY74" s="68">
        <v>104</v>
      </c>
      <c r="CZ74" s="68">
        <v>98</v>
      </c>
      <c r="DA74" s="68">
        <v>98</v>
      </c>
      <c r="DB74" s="68">
        <v>98</v>
      </c>
      <c r="DC74" s="68">
        <v>91</v>
      </c>
      <c r="DD74" s="68">
        <v>86</v>
      </c>
      <c r="DE74" s="68">
        <v>88</v>
      </c>
      <c r="DF74" s="68">
        <v>89</v>
      </c>
      <c r="DG74" s="68">
        <v>89</v>
      </c>
      <c r="DH74" s="68">
        <v>84</v>
      </c>
      <c r="DI74" s="68">
        <v>85</v>
      </c>
      <c r="DJ74" s="68">
        <v>90</v>
      </c>
      <c r="DK74" s="68">
        <v>87</v>
      </c>
      <c r="DL74" s="68">
        <v>83</v>
      </c>
      <c r="DM74" s="68">
        <v>77</v>
      </c>
      <c r="DN74" s="68">
        <v>75</v>
      </c>
      <c r="DO74" s="68">
        <v>74</v>
      </c>
      <c r="DP74" s="68">
        <v>74</v>
      </c>
      <c r="DQ74" s="68">
        <v>73</v>
      </c>
      <c r="DR74" s="68">
        <v>71</v>
      </c>
      <c r="DS74" s="68">
        <v>71</v>
      </c>
      <c r="DT74" s="68">
        <v>70</v>
      </c>
      <c r="DU74" s="68">
        <v>72</v>
      </c>
      <c r="DV74" s="68">
        <v>71</v>
      </c>
      <c r="DW74" s="68">
        <v>76</v>
      </c>
      <c r="DX74" s="68">
        <v>72</v>
      </c>
      <c r="DY74" s="68">
        <v>66</v>
      </c>
      <c r="DZ74" s="68">
        <v>56</v>
      </c>
      <c r="EA74" s="68">
        <v>58</v>
      </c>
      <c r="EB74" s="68">
        <v>55</v>
      </c>
      <c r="EC74" s="68">
        <v>59</v>
      </c>
      <c r="ED74" s="68">
        <v>58</v>
      </c>
      <c r="EE74" s="68">
        <v>57</v>
      </c>
      <c r="EF74" s="68">
        <v>52</v>
      </c>
      <c r="EG74" s="68">
        <v>53</v>
      </c>
      <c r="EH74" s="68">
        <v>53</v>
      </c>
      <c r="EI74" s="68">
        <v>52</v>
      </c>
      <c r="EJ74" s="68">
        <v>49</v>
      </c>
      <c r="EK74" s="68">
        <v>54</v>
      </c>
      <c r="EL74" s="68">
        <v>52</v>
      </c>
      <c r="EP74" s="68">
        <f t="shared" si="3"/>
        <v>3</v>
      </c>
    </row>
    <row r="75" spans="2:146">
      <c r="B75" s="4">
        <v>5</v>
      </c>
      <c r="C75" s="4">
        <v>1.01</v>
      </c>
      <c r="D75" s="4">
        <v>118</v>
      </c>
      <c r="E75" s="4">
        <v>459</v>
      </c>
      <c r="F75" s="4">
        <v>41484</v>
      </c>
      <c r="G75" s="4">
        <v>1.24E-2</v>
      </c>
      <c r="H75" s="4">
        <v>653413</v>
      </c>
      <c r="I75" s="4">
        <f t="shared" si="7"/>
        <v>2.2666487600000025</v>
      </c>
      <c r="M75" s="68">
        <v>1</v>
      </c>
      <c r="N75" s="14">
        <f t="shared" si="6"/>
        <v>0.98</v>
      </c>
      <c r="O75" s="14">
        <f t="shared" si="6"/>
        <v>129</v>
      </c>
      <c r="P75" s="14">
        <f t="shared" si="6"/>
        <v>538</v>
      </c>
      <c r="Q75" s="14">
        <f t="shared" si="6"/>
        <v>28742</v>
      </c>
      <c r="R75" s="14">
        <f t="shared" si="6"/>
        <v>1.72E-2</v>
      </c>
      <c r="S75" s="14">
        <f t="shared" si="6"/>
        <v>527026</v>
      </c>
      <c r="W75" s="68">
        <v>6869</v>
      </c>
      <c r="X75" s="68">
        <v>6775</v>
      </c>
      <c r="Y75" s="68">
        <v>6684</v>
      </c>
      <c r="Z75" s="68">
        <v>6496</v>
      </c>
      <c r="AA75" s="68">
        <v>6412</v>
      </c>
      <c r="AB75" s="68">
        <v>6158</v>
      </c>
      <c r="AC75" s="68">
        <v>6248</v>
      </c>
      <c r="AD75" s="68">
        <v>6344</v>
      </c>
      <c r="AE75" s="68">
        <v>6070</v>
      </c>
      <c r="AF75" s="68">
        <v>5829</v>
      </c>
      <c r="AG75" s="68">
        <v>5570</v>
      </c>
      <c r="AH75" s="68">
        <v>5230</v>
      </c>
      <c r="AI75" s="68">
        <v>4850</v>
      </c>
      <c r="AJ75" s="68">
        <v>4826</v>
      </c>
      <c r="AK75" s="68">
        <v>4832</v>
      </c>
      <c r="AL75" s="68">
        <v>4482</v>
      </c>
      <c r="AM75" s="68">
        <v>4137</v>
      </c>
      <c r="AN75" s="68">
        <v>3819</v>
      </c>
      <c r="AO75" s="68">
        <v>3584</v>
      </c>
      <c r="AP75" s="68">
        <v>3284</v>
      </c>
      <c r="AQ75" s="68">
        <v>3316</v>
      </c>
      <c r="AR75" s="68">
        <v>3322</v>
      </c>
      <c r="AS75" s="68">
        <v>3012</v>
      </c>
      <c r="AT75" s="68">
        <v>2767</v>
      </c>
      <c r="AU75" s="68">
        <v>2613</v>
      </c>
      <c r="AV75" s="68">
        <v>2404</v>
      </c>
      <c r="AW75" s="68">
        <v>2180</v>
      </c>
      <c r="AX75" s="68">
        <v>2165</v>
      </c>
      <c r="AY75" s="68">
        <v>2167</v>
      </c>
      <c r="AZ75" s="68">
        <v>1997</v>
      </c>
      <c r="BA75" s="68">
        <v>1827</v>
      </c>
      <c r="BB75" s="68">
        <v>1708</v>
      </c>
      <c r="BC75" s="68">
        <v>1583</v>
      </c>
      <c r="BD75" s="68">
        <v>1416</v>
      </c>
      <c r="BE75" s="68">
        <v>1414</v>
      </c>
      <c r="BF75" s="68">
        <v>1403</v>
      </c>
      <c r="BG75" s="68">
        <v>1278</v>
      </c>
      <c r="BH75" s="68">
        <v>1201</v>
      </c>
      <c r="BI75" s="68">
        <v>1102</v>
      </c>
      <c r="BJ75" s="68">
        <v>1046</v>
      </c>
      <c r="BK75" s="68">
        <v>980</v>
      </c>
      <c r="BL75" s="68">
        <v>976</v>
      </c>
      <c r="BM75" s="68">
        <v>996</v>
      </c>
      <c r="BN75" s="68">
        <v>955</v>
      </c>
      <c r="BO75" s="68">
        <v>856</v>
      </c>
      <c r="BP75" s="68">
        <v>828</v>
      </c>
      <c r="BQ75" s="68">
        <v>789</v>
      </c>
      <c r="BR75" s="68">
        <v>744</v>
      </c>
      <c r="BS75" s="68">
        <v>765</v>
      </c>
      <c r="BT75" s="68">
        <v>771</v>
      </c>
      <c r="BU75" s="68">
        <v>743</v>
      </c>
      <c r="BV75" s="68">
        <v>712</v>
      </c>
      <c r="BW75" s="68">
        <v>695</v>
      </c>
      <c r="BX75" s="68">
        <v>669</v>
      </c>
      <c r="BY75" s="68">
        <v>618</v>
      </c>
      <c r="BZ75" s="68">
        <v>633</v>
      </c>
      <c r="CA75" s="68">
        <v>623</v>
      </c>
      <c r="CB75" s="68">
        <v>584</v>
      </c>
      <c r="CC75" s="68">
        <v>558</v>
      </c>
      <c r="CD75" s="68">
        <v>538</v>
      </c>
      <c r="CE75" s="68">
        <v>513</v>
      </c>
      <c r="CF75" s="68">
        <v>512</v>
      </c>
      <c r="CG75" s="68">
        <v>517</v>
      </c>
      <c r="CH75" s="68">
        <v>536</v>
      </c>
      <c r="CI75" s="68">
        <v>504</v>
      </c>
      <c r="CJ75" s="68">
        <v>488</v>
      </c>
      <c r="CK75" s="68">
        <v>495</v>
      </c>
      <c r="CL75" s="68">
        <v>486</v>
      </c>
      <c r="CM75" s="68">
        <v>466</v>
      </c>
      <c r="CN75" s="68">
        <v>466</v>
      </c>
      <c r="CO75" s="68">
        <v>479</v>
      </c>
      <c r="CP75" s="68">
        <v>459</v>
      </c>
      <c r="CQ75" s="68">
        <v>447</v>
      </c>
      <c r="CR75" s="68">
        <v>423</v>
      </c>
      <c r="CS75" s="68">
        <v>429</v>
      </c>
      <c r="CT75" s="68">
        <v>415</v>
      </c>
      <c r="CU75" s="68">
        <v>428</v>
      </c>
      <c r="CV75" s="68">
        <v>454</v>
      </c>
      <c r="CW75" s="68">
        <v>429</v>
      </c>
      <c r="CX75" s="68">
        <v>397</v>
      </c>
      <c r="CY75" s="68">
        <v>395</v>
      </c>
      <c r="CZ75" s="68">
        <v>384</v>
      </c>
      <c r="DA75" s="68">
        <v>342</v>
      </c>
      <c r="DB75" s="68">
        <v>348</v>
      </c>
      <c r="DC75" s="68">
        <v>365</v>
      </c>
      <c r="DD75" s="68">
        <v>346</v>
      </c>
      <c r="DE75" s="68">
        <v>332</v>
      </c>
      <c r="DF75" s="68">
        <v>324</v>
      </c>
      <c r="DG75" s="68">
        <v>324</v>
      </c>
      <c r="DH75" s="68">
        <v>302</v>
      </c>
      <c r="DI75" s="68">
        <v>311</v>
      </c>
      <c r="DJ75" s="68">
        <v>322</v>
      </c>
      <c r="DK75" s="68">
        <v>296</v>
      </c>
      <c r="DL75" s="68">
        <v>297</v>
      </c>
      <c r="DM75" s="68">
        <v>283</v>
      </c>
      <c r="DN75" s="68">
        <v>280</v>
      </c>
      <c r="DO75" s="68">
        <v>260</v>
      </c>
      <c r="DP75" s="68">
        <v>268</v>
      </c>
      <c r="DQ75" s="68">
        <v>277</v>
      </c>
      <c r="DR75" s="68">
        <v>257</v>
      </c>
      <c r="DS75" s="68">
        <v>248</v>
      </c>
      <c r="DT75" s="68">
        <v>244</v>
      </c>
      <c r="DU75" s="68">
        <v>236</v>
      </c>
      <c r="DV75" s="68">
        <v>223</v>
      </c>
      <c r="DW75" s="68">
        <v>245</v>
      </c>
      <c r="DX75" s="68">
        <v>246</v>
      </c>
      <c r="DY75" s="68">
        <v>233</v>
      </c>
      <c r="DZ75" s="68">
        <v>211</v>
      </c>
      <c r="EA75" s="68">
        <v>208</v>
      </c>
      <c r="EB75" s="68">
        <v>207</v>
      </c>
      <c r="EC75" s="68">
        <v>210</v>
      </c>
      <c r="ED75" s="68">
        <v>220</v>
      </c>
      <c r="EE75" s="68">
        <v>239</v>
      </c>
      <c r="EF75" s="68">
        <v>237</v>
      </c>
      <c r="EG75" s="68">
        <v>233</v>
      </c>
      <c r="EH75" s="68">
        <v>233</v>
      </c>
      <c r="EI75" s="68">
        <v>246</v>
      </c>
      <c r="EJ75" s="68">
        <v>244</v>
      </c>
      <c r="EK75" s="68">
        <v>271</v>
      </c>
      <c r="EL75" s="68">
        <v>283</v>
      </c>
      <c r="EP75" s="68">
        <f t="shared" si="3"/>
        <v>11</v>
      </c>
    </row>
    <row r="76" spans="2:146">
      <c r="B76" s="4">
        <v>8</v>
      </c>
      <c r="C76" s="4">
        <v>1.01</v>
      </c>
      <c r="D76" s="4">
        <v>116</v>
      </c>
      <c r="E76" s="4">
        <v>447</v>
      </c>
      <c r="F76" s="4">
        <v>41634</v>
      </c>
      <c r="G76" s="4">
        <v>1.34E-2</v>
      </c>
      <c r="H76" s="4">
        <v>655193</v>
      </c>
      <c r="I76" s="4">
        <f t="shared" si="7"/>
        <v>3.0232286600000027</v>
      </c>
      <c r="M76" s="68">
        <v>1</v>
      </c>
      <c r="N76" s="14">
        <f t="shared" si="6"/>
        <v>0.98</v>
      </c>
      <c r="O76" s="14">
        <f t="shared" si="6"/>
        <v>131</v>
      </c>
      <c r="P76" s="14">
        <f t="shared" si="6"/>
        <v>513</v>
      </c>
      <c r="Q76" s="14">
        <f t="shared" si="6"/>
        <v>14921</v>
      </c>
      <c r="R76" s="14">
        <f t="shared" si="6"/>
        <v>1.9199999999999998E-2</v>
      </c>
      <c r="S76" s="14">
        <f t="shared" si="6"/>
        <v>569074</v>
      </c>
      <c r="W76" s="68">
        <v>47369</v>
      </c>
      <c r="X76" s="68">
        <v>57995</v>
      </c>
      <c r="Y76" s="68">
        <v>53401</v>
      </c>
      <c r="Z76" s="68">
        <v>50384</v>
      </c>
      <c r="AA76" s="68">
        <v>49625</v>
      </c>
      <c r="AB76" s="68">
        <v>30356</v>
      </c>
      <c r="AC76" s="68">
        <v>15085</v>
      </c>
      <c r="AD76" s="68">
        <v>34923</v>
      </c>
      <c r="AE76" s="68">
        <v>38694</v>
      </c>
      <c r="AF76" s="68">
        <v>37621</v>
      </c>
      <c r="AG76" s="68">
        <v>37347</v>
      </c>
      <c r="AH76" s="68">
        <v>38752</v>
      </c>
      <c r="AI76" s="68">
        <v>21483</v>
      </c>
      <c r="AJ76" s="68">
        <v>12100</v>
      </c>
      <c r="AK76" s="68">
        <v>33135</v>
      </c>
      <c r="AL76" s="68">
        <v>32083</v>
      </c>
      <c r="AM76" s="68">
        <v>34354</v>
      </c>
      <c r="AN76" s="68">
        <v>33985</v>
      </c>
      <c r="AO76" s="68">
        <v>33887</v>
      </c>
      <c r="AP76" s="68">
        <v>21848</v>
      </c>
      <c r="AQ76" s="68">
        <v>10854</v>
      </c>
      <c r="AR76" s="68">
        <v>31296</v>
      </c>
      <c r="AS76" s="68">
        <v>31577</v>
      </c>
      <c r="AT76" s="68">
        <v>31235</v>
      </c>
      <c r="AU76" s="68">
        <v>30974</v>
      </c>
      <c r="AV76" s="68">
        <v>32910</v>
      </c>
      <c r="AW76" s="68">
        <v>20380</v>
      </c>
      <c r="AX76" s="68">
        <v>11439</v>
      </c>
      <c r="AY76" s="68">
        <v>26639</v>
      </c>
      <c r="AZ76" s="68">
        <v>29735</v>
      </c>
      <c r="BA76" s="68">
        <v>29388</v>
      </c>
      <c r="BB76" s="68">
        <v>28081</v>
      </c>
      <c r="BC76" s="68">
        <v>28636</v>
      </c>
      <c r="BD76" s="68">
        <v>19891</v>
      </c>
      <c r="BE76" s="68">
        <v>9396</v>
      </c>
      <c r="BF76" s="68">
        <v>25303</v>
      </c>
      <c r="BG76" s="68">
        <v>24513</v>
      </c>
      <c r="BH76" s="68">
        <v>26627</v>
      </c>
      <c r="BI76" s="68">
        <v>24313</v>
      </c>
      <c r="BJ76" s="68">
        <v>27281</v>
      </c>
      <c r="BK76" s="68">
        <v>21016</v>
      </c>
      <c r="BL76" s="68">
        <v>9709</v>
      </c>
      <c r="BM76" s="68">
        <v>26427</v>
      </c>
      <c r="BN76" s="68">
        <v>41394</v>
      </c>
      <c r="BO76" s="68">
        <v>48102</v>
      </c>
      <c r="BP76" s="68">
        <v>52896</v>
      </c>
      <c r="BQ76" s="68">
        <v>53485</v>
      </c>
      <c r="BR76" s="68">
        <v>33514</v>
      </c>
      <c r="BS76" s="68">
        <v>10254</v>
      </c>
      <c r="BT76" s="68">
        <v>30283</v>
      </c>
      <c r="BU76" s="68">
        <v>31200</v>
      </c>
      <c r="BV76" s="68">
        <v>29256</v>
      </c>
      <c r="BW76" s="68">
        <v>27478</v>
      </c>
      <c r="BX76" s="68">
        <v>30147</v>
      </c>
      <c r="BY76" s="68">
        <v>22158</v>
      </c>
      <c r="BZ76" s="68">
        <v>10845</v>
      </c>
      <c r="CA76" s="68">
        <v>30192</v>
      </c>
      <c r="CB76" s="68">
        <v>29244</v>
      </c>
      <c r="CC76" s="68">
        <v>28880</v>
      </c>
      <c r="CD76" s="68">
        <v>28742</v>
      </c>
      <c r="CE76" s="68">
        <v>14921</v>
      </c>
      <c r="CF76" s="68">
        <v>23135</v>
      </c>
      <c r="CG76" s="68">
        <v>12404</v>
      </c>
      <c r="CH76" s="68">
        <v>59246</v>
      </c>
      <c r="CI76" s="68">
        <v>63682</v>
      </c>
      <c r="CJ76" s="68">
        <v>63338</v>
      </c>
      <c r="CK76" s="68">
        <v>58289</v>
      </c>
      <c r="CL76" s="68">
        <v>60156</v>
      </c>
      <c r="CM76" s="68">
        <v>31800</v>
      </c>
      <c r="CN76" s="68">
        <v>12842</v>
      </c>
      <c r="CO76" s="68">
        <v>38795</v>
      </c>
      <c r="CP76" s="68">
        <v>41484</v>
      </c>
      <c r="CQ76" s="68">
        <v>41634</v>
      </c>
      <c r="CR76" s="68">
        <v>42082</v>
      </c>
      <c r="CS76" s="68">
        <v>47052</v>
      </c>
      <c r="CT76" s="68">
        <v>31461</v>
      </c>
      <c r="CU76" s="68">
        <v>14429</v>
      </c>
      <c r="CV76" s="68">
        <v>78716</v>
      </c>
      <c r="CW76" s="68">
        <v>96934</v>
      </c>
      <c r="CX76" s="68">
        <v>98744</v>
      </c>
      <c r="CY76" s="68">
        <v>98063</v>
      </c>
      <c r="CZ76" s="68">
        <v>88546</v>
      </c>
      <c r="DA76" s="68">
        <v>41386</v>
      </c>
      <c r="DB76" s="68">
        <v>14485</v>
      </c>
      <c r="DC76" s="68">
        <v>53464</v>
      </c>
      <c r="DD76" s="68">
        <v>57452</v>
      </c>
      <c r="DE76" s="68">
        <v>53345</v>
      </c>
      <c r="DF76" s="68">
        <v>54101</v>
      </c>
      <c r="DG76" s="68">
        <v>64169</v>
      </c>
      <c r="DH76" s="68">
        <v>31454</v>
      </c>
      <c r="DI76" s="68">
        <v>17140</v>
      </c>
      <c r="DJ76" s="68">
        <v>52011</v>
      </c>
      <c r="DK76" s="68">
        <v>52560</v>
      </c>
      <c r="DL76" s="68">
        <v>49255</v>
      </c>
      <c r="DM76" s="68">
        <v>48583</v>
      </c>
      <c r="DN76" s="68">
        <v>47849</v>
      </c>
      <c r="DO76" s="68">
        <v>31498</v>
      </c>
      <c r="DP76" s="68">
        <v>15940</v>
      </c>
      <c r="DQ76" s="68">
        <v>39435</v>
      </c>
      <c r="DR76" s="68">
        <v>41873</v>
      </c>
      <c r="DS76" s="68">
        <v>43813</v>
      </c>
      <c r="DT76" s="68">
        <v>40249</v>
      </c>
      <c r="DU76" s="68">
        <v>46370</v>
      </c>
      <c r="DV76" s="68">
        <v>30962</v>
      </c>
      <c r="DW76" s="68">
        <v>15707</v>
      </c>
      <c r="DX76" s="68">
        <v>43293</v>
      </c>
      <c r="DY76" s="68">
        <v>41470</v>
      </c>
      <c r="DZ76" s="68">
        <v>44399</v>
      </c>
      <c r="EA76" s="68">
        <v>44577</v>
      </c>
      <c r="EB76" s="68">
        <v>45378</v>
      </c>
      <c r="EC76" s="68">
        <v>33560</v>
      </c>
      <c r="ED76" s="68">
        <v>16152</v>
      </c>
      <c r="EE76" s="68">
        <v>42680</v>
      </c>
      <c r="EF76" s="68">
        <v>43590</v>
      </c>
      <c r="EG76" s="68">
        <v>50409</v>
      </c>
      <c r="EH76" s="68">
        <v>53947</v>
      </c>
      <c r="EI76" s="68">
        <v>59275</v>
      </c>
      <c r="EJ76" s="68">
        <v>43319</v>
      </c>
      <c r="EK76" s="68">
        <v>20369</v>
      </c>
      <c r="EL76" s="68">
        <v>49817</v>
      </c>
      <c r="EP76" s="68">
        <f t="shared" si="3"/>
        <v>9</v>
      </c>
    </row>
    <row r="77" spans="2:146">
      <c r="B77" s="4">
        <v>2</v>
      </c>
      <c r="C77" s="4">
        <v>1</v>
      </c>
      <c r="D77" s="4">
        <v>109</v>
      </c>
      <c r="E77" s="4">
        <v>423</v>
      </c>
      <c r="F77" s="4">
        <v>42082</v>
      </c>
      <c r="G77" s="4">
        <v>1.3899999999999999E-2</v>
      </c>
      <c r="H77" s="4">
        <v>666086</v>
      </c>
      <c r="I77" s="4">
        <f t="shared" si="7"/>
        <v>3.4734606100000001</v>
      </c>
      <c r="M77" s="68">
        <v>1</v>
      </c>
      <c r="N77" s="14">
        <f t="shared" si="6"/>
        <v>0.97</v>
      </c>
      <c r="O77" s="14">
        <f t="shared" si="6"/>
        <v>126</v>
      </c>
      <c r="P77" s="14">
        <f t="shared" si="6"/>
        <v>512</v>
      </c>
      <c r="Q77" s="14">
        <f t="shared" si="6"/>
        <v>23135</v>
      </c>
      <c r="R77" s="14">
        <f t="shared" si="6"/>
        <v>1.8700000000000001E-2</v>
      </c>
      <c r="S77" s="14">
        <f t="shared" si="6"/>
        <v>585830</v>
      </c>
      <c r="W77" s="68">
        <v>0.2036</v>
      </c>
      <c r="X77" s="68">
        <v>0.19889999999999999</v>
      </c>
      <c r="Y77" s="68">
        <v>0.19259999999999999</v>
      </c>
      <c r="Z77" s="68">
        <v>0.17910000000000001</v>
      </c>
      <c r="AA77" s="68">
        <v>0.17030000000000001</v>
      </c>
      <c r="AB77" s="68">
        <v>0.16170000000000001</v>
      </c>
      <c r="AC77" s="68">
        <v>0.14760000000000001</v>
      </c>
      <c r="AD77" s="68">
        <v>0.1426</v>
      </c>
      <c r="AE77" s="68">
        <v>0.14180000000000001</v>
      </c>
      <c r="AF77" s="68">
        <v>0.13220000000000001</v>
      </c>
      <c r="AG77" s="68">
        <v>0.1211</v>
      </c>
      <c r="AH77" s="68">
        <v>0.10929999999999999</v>
      </c>
      <c r="AI77" s="68">
        <v>9.9000000000000005E-2</v>
      </c>
      <c r="AJ77" s="68">
        <v>9.2100000000000001E-2</v>
      </c>
      <c r="AK77" s="68">
        <v>8.7300000000000003E-2</v>
      </c>
      <c r="AL77" s="68">
        <v>8.5000000000000006E-2</v>
      </c>
      <c r="AM77" s="68">
        <v>7.6399999999999996E-2</v>
      </c>
      <c r="AN77" s="68">
        <v>7.0199999999999999E-2</v>
      </c>
      <c r="AO77" s="68">
        <v>6.7400000000000002E-2</v>
      </c>
      <c r="AP77" s="68">
        <v>6.0900000000000003E-2</v>
      </c>
      <c r="AQ77" s="68">
        <v>5.8799999999999998E-2</v>
      </c>
      <c r="AR77" s="68">
        <v>5.5500000000000001E-2</v>
      </c>
      <c r="AS77" s="68">
        <v>5.33E-2</v>
      </c>
      <c r="AT77" s="68">
        <v>4.9799999999999997E-2</v>
      </c>
      <c r="AU77" s="68">
        <v>4.65E-2</v>
      </c>
      <c r="AV77" s="68">
        <v>4.2000000000000003E-2</v>
      </c>
      <c r="AW77" s="68">
        <v>3.9699999999999999E-2</v>
      </c>
      <c r="AX77" s="68">
        <v>3.7100000000000001E-2</v>
      </c>
      <c r="AY77" s="68">
        <v>3.7199999999999997E-2</v>
      </c>
      <c r="AZ77" s="68">
        <v>3.5700000000000003E-2</v>
      </c>
      <c r="BA77" s="68">
        <v>3.3300000000000003E-2</v>
      </c>
      <c r="BB77" s="68">
        <v>3.2000000000000001E-2</v>
      </c>
      <c r="BC77" s="68">
        <v>3.2300000000000002E-2</v>
      </c>
      <c r="BD77" s="68">
        <v>3.2000000000000001E-2</v>
      </c>
      <c r="BE77" s="68">
        <v>3.2199999999999999E-2</v>
      </c>
      <c r="BF77" s="68">
        <v>3.2300000000000002E-2</v>
      </c>
      <c r="BG77" s="68">
        <v>3.4299999999999997E-2</v>
      </c>
      <c r="BH77" s="68">
        <v>3.2800000000000003E-2</v>
      </c>
      <c r="BI77" s="68">
        <v>3.2300000000000002E-2</v>
      </c>
      <c r="BJ77" s="68">
        <v>3.0200000000000001E-2</v>
      </c>
      <c r="BK77" s="68">
        <v>2.7199999999999998E-2</v>
      </c>
      <c r="BL77" s="68">
        <v>2.6200000000000001E-2</v>
      </c>
      <c r="BM77" s="68">
        <v>2.5399999999999999E-2</v>
      </c>
      <c r="BN77" s="68">
        <v>2.0299999999999999E-2</v>
      </c>
      <c r="BO77" s="68">
        <v>1.83E-2</v>
      </c>
      <c r="BP77" s="68">
        <v>1.5299999999999999E-2</v>
      </c>
      <c r="BQ77" s="68">
        <v>1.37E-2</v>
      </c>
      <c r="BR77" s="68">
        <v>1.2699999999999999E-2</v>
      </c>
      <c r="BS77" s="68">
        <v>1.23E-2</v>
      </c>
      <c r="BT77" s="68">
        <v>1.21E-2</v>
      </c>
      <c r="BU77" s="68">
        <v>1.2800000000000001E-2</v>
      </c>
      <c r="BV77" s="68">
        <v>1.34E-2</v>
      </c>
      <c r="BW77" s="68">
        <v>1.46E-2</v>
      </c>
      <c r="BX77" s="68">
        <v>1.6E-2</v>
      </c>
      <c r="BY77" s="68">
        <v>1.6400000000000001E-2</v>
      </c>
      <c r="BZ77" s="68">
        <v>1.5900000000000001E-2</v>
      </c>
      <c r="CA77" s="68">
        <v>1.6199999999999999E-2</v>
      </c>
      <c r="CB77" s="68">
        <v>1.61E-2</v>
      </c>
      <c r="CC77" s="68">
        <v>1.6400000000000001E-2</v>
      </c>
      <c r="CD77" s="68">
        <v>1.72E-2</v>
      </c>
      <c r="CE77" s="68">
        <v>1.9199999999999998E-2</v>
      </c>
      <c r="CF77" s="68">
        <v>1.8700000000000001E-2</v>
      </c>
      <c r="CG77" s="68">
        <v>1.7500000000000002E-2</v>
      </c>
      <c r="CH77" s="68">
        <v>1.41E-2</v>
      </c>
      <c r="CI77" s="68">
        <v>1.41E-2</v>
      </c>
      <c r="CJ77" s="68">
        <v>1.2500000000000001E-2</v>
      </c>
      <c r="CK77" s="68">
        <v>1.1299999999999999E-2</v>
      </c>
      <c r="CL77" s="68">
        <v>1.0200000000000001E-2</v>
      </c>
      <c r="CM77" s="68">
        <v>1.09E-2</v>
      </c>
      <c r="CN77" s="68">
        <v>1.1900000000000001E-2</v>
      </c>
      <c r="CO77" s="68">
        <v>1.2999999999999999E-2</v>
      </c>
      <c r="CP77" s="68">
        <v>1.24E-2</v>
      </c>
      <c r="CQ77" s="68">
        <v>1.34E-2</v>
      </c>
      <c r="CR77" s="68">
        <v>1.3899999999999999E-2</v>
      </c>
      <c r="CS77" s="68">
        <v>1.4E-2</v>
      </c>
      <c r="CT77" s="68">
        <v>1.4200000000000001E-2</v>
      </c>
      <c r="CU77" s="68">
        <v>1.3599999999999999E-2</v>
      </c>
      <c r="CV77" s="68">
        <v>1.1599999999999999E-2</v>
      </c>
      <c r="CW77" s="68">
        <v>9.9000000000000008E-3</v>
      </c>
      <c r="CX77" s="68">
        <v>8.3000000000000001E-3</v>
      </c>
      <c r="CY77" s="68">
        <v>7.6E-3</v>
      </c>
      <c r="CZ77" s="68">
        <v>6.8999999999999999E-3</v>
      </c>
      <c r="DA77" s="68">
        <v>6.6E-3</v>
      </c>
      <c r="DB77" s="68">
        <v>6.7000000000000002E-3</v>
      </c>
      <c r="DC77" s="68">
        <v>7.0000000000000001E-3</v>
      </c>
      <c r="DD77" s="68">
        <v>7.4000000000000003E-3</v>
      </c>
      <c r="DE77" s="68">
        <v>8.0999999999999996E-3</v>
      </c>
      <c r="DF77" s="68">
        <v>8.6999999999999994E-3</v>
      </c>
      <c r="DG77" s="68">
        <v>9.1000000000000004E-3</v>
      </c>
      <c r="DH77" s="68">
        <v>9.1000000000000004E-3</v>
      </c>
      <c r="DI77" s="68">
        <v>8.6E-3</v>
      </c>
      <c r="DJ77" s="68">
        <v>8.6E-3</v>
      </c>
      <c r="DK77" s="68">
        <v>8.3999999999999995E-3</v>
      </c>
      <c r="DL77" s="68">
        <v>7.9000000000000008E-3</v>
      </c>
      <c r="DM77" s="68">
        <v>7.7000000000000002E-3</v>
      </c>
      <c r="DN77" s="68">
        <v>7.9000000000000008E-3</v>
      </c>
      <c r="DO77" s="68">
        <v>7.7000000000000002E-3</v>
      </c>
      <c r="DP77" s="68">
        <v>7.7000000000000002E-3</v>
      </c>
      <c r="DQ77" s="68">
        <v>8.0000000000000002E-3</v>
      </c>
      <c r="DR77" s="68">
        <v>8.3999999999999995E-3</v>
      </c>
      <c r="DS77" s="68">
        <v>8.8999999999999999E-3</v>
      </c>
      <c r="DT77" s="68">
        <v>9.4000000000000004E-3</v>
      </c>
      <c r="DU77" s="68">
        <v>9.7999999999999997E-3</v>
      </c>
      <c r="DV77" s="68">
        <v>0.01</v>
      </c>
      <c r="DW77" s="68">
        <v>1.01E-2</v>
      </c>
      <c r="DX77" s="68">
        <v>1.01E-2</v>
      </c>
      <c r="DY77" s="68">
        <v>1.0500000000000001E-2</v>
      </c>
      <c r="DZ77" s="68">
        <v>1.06E-2</v>
      </c>
      <c r="EA77" s="68">
        <v>1.0500000000000001E-2</v>
      </c>
      <c r="EB77" s="68">
        <v>1.09E-2</v>
      </c>
      <c r="EC77" s="68">
        <v>1.0999999999999999E-2</v>
      </c>
      <c r="ED77" s="68">
        <v>1.1299999999999999E-2</v>
      </c>
      <c r="EE77" s="68">
        <v>1.15E-2</v>
      </c>
      <c r="EF77" s="68">
        <v>1.14E-2</v>
      </c>
      <c r="EG77" s="68">
        <v>1.14E-2</v>
      </c>
      <c r="EH77" s="68">
        <v>1.15E-2</v>
      </c>
      <c r="EI77" s="68">
        <v>1.11E-2</v>
      </c>
      <c r="EJ77" s="68">
        <v>1.0999999999999999E-2</v>
      </c>
      <c r="EK77" s="68">
        <v>1.0999999999999999E-2</v>
      </c>
      <c r="EL77" s="68">
        <v>1.1299999999999999E-2</v>
      </c>
      <c r="EP77" s="68">
        <f t="shared" si="3"/>
        <v>7</v>
      </c>
    </row>
    <row r="78" spans="2:146">
      <c r="B78" s="4">
        <v>4</v>
      </c>
      <c r="C78" s="4">
        <v>1</v>
      </c>
      <c r="D78" s="4">
        <v>101</v>
      </c>
      <c r="E78" s="4">
        <v>429</v>
      </c>
      <c r="F78" s="4">
        <v>47052</v>
      </c>
      <c r="G78" s="4">
        <v>1.4E-2</v>
      </c>
      <c r="H78" s="4">
        <v>676217</v>
      </c>
      <c r="I78" s="4">
        <f t="shared" si="7"/>
        <v>4.3405185999999976</v>
      </c>
      <c r="M78" s="68">
        <v>1</v>
      </c>
      <c r="N78" s="14">
        <f t="shared" si="6"/>
        <v>1</v>
      </c>
      <c r="O78" s="14">
        <f t="shared" si="6"/>
        <v>117</v>
      </c>
      <c r="P78" s="14">
        <f t="shared" si="6"/>
        <v>517</v>
      </c>
      <c r="Q78" s="14">
        <f t="shared" si="6"/>
        <v>12404</v>
      </c>
      <c r="R78" s="14">
        <f t="shared" si="6"/>
        <v>1.7500000000000002E-2</v>
      </c>
      <c r="S78" s="14">
        <f t="shared" si="6"/>
        <v>592953</v>
      </c>
      <c r="W78" s="68">
        <v>80488</v>
      </c>
      <c r="X78" s="68">
        <v>82431</v>
      </c>
      <c r="Y78" s="68">
        <v>87588</v>
      </c>
      <c r="Z78" s="68">
        <v>96711</v>
      </c>
      <c r="AA78" s="68">
        <v>106652</v>
      </c>
      <c r="AB78" s="68">
        <v>115522</v>
      </c>
      <c r="AC78" s="68">
        <v>116262</v>
      </c>
      <c r="AD78" s="68">
        <v>118172</v>
      </c>
      <c r="AE78" s="68">
        <v>119614</v>
      </c>
      <c r="AF78" s="68">
        <v>130118</v>
      </c>
      <c r="AG78" s="68">
        <v>146637</v>
      </c>
      <c r="AH78" s="68">
        <v>171163</v>
      </c>
      <c r="AI78" s="68">
        <v>198253</v>
      </c>
      <c r="AJ78" s="68">
        <v>208089</v>
      </c>
      <c r="AK78" s="68">
        <v>218125</v>
      </c>
      <c r="AL78" s="68">
        <v>223711</v>
      </c>
      <c r="AM78" s="68">
        <v>229743</v>
      </c>
      <c r="AN78" s="68">
        <v>237696</v>
      </c>
      <c r="AO78" s="68">
        <v>250400</v>
      </c>
      <c r="AP78" s="68">
        <v>263354</v>
      </c>
      <c r="AQ78" s="68">
        <v>266858</v>
      </c>
      <c r="AR78" s="68">
        <v>269203</v>
      </c>
      <c r="AS78" s="68">
        <v>270927</v>
      </c>
      <c r="AT78" s="68">
        <v>273148</v>
      </c>
      <c r="AU78" s="68">
        <v>276637</v>
      </c>
      <c r="AV78" s="68">
        <v>279729</v>
      </c>
      <c r="AW78" s="68">
        <v>285185</v>
      </c>
      <c r="AX78" s="68">
        <v>286470</v>
      </c>
      <c r="AY78" s="68">
        <v>290637</v>
      </c>
      <c r="AZ78" s="68">
        <v>291987</v>
      </c>
      <c r="BA78" s="68">
        <v>293652</v>
      </c>
      <c r="BB78" s="68">
        <v>298685</v>
      </c>
      <c r="BC78" s="68">
        <v>304494</v>
      </c>
      <c r="BD78" s="68">
        <v>313101</v>
      </c>
      <c r="BE78" s="68">
        <v>317254</v>
      </c>
      <c r="BF78" s="68">
        <v>324862</v>
      </c>
      <c r="BG78" s="68">
        <v>327040</v>
      </c>
      <c r="BH78" s="68">
        <v>328946</v>
      </c>
      <c r="BI78" s="68">
        <v>337944</v>
      </c>
      <c r="BJ78" s="68">
        <v>352247</v>
      </c>
      <c r="BK78" s="68">
        <v>365719</v>
      </c>
      <c r="BL78" s="68">
        <v>371084</v>
      </c>
      <c r="BM78" s="68">
        <v>377464</v>
      </c>
      <c r="BN78" s="68">
        <v>380479</v>
      </c>
      <c r="BO78" s="68">
        <v>386426</v>
      </c>
      <c r="BP78" s="68">
        <v>408323</v>
      </c>
      <c r="BQ78" s="68">
        <v>441676</v>
      </c>
      <c r="BR78" s="68">
        <v>469651</v>
      </c>
      <c r="BS78" s="68">
        <v>482561</v>
      </c>
      <c r="BT78" s="68">
        <v>488236</v>
      </c>
      <c r="BU78" s="68">
        <v>495868</v>
      </c>
      <c r="BV78" s="68">
        <v>497940</v>
      </c>
      <c r="BW78" s="68">
        <v>501547</v>
      </c>
      <c r="BX78" s="68">
        <v>506051</v>
      </c>
      <c r="BY78" s="68">
        <v>508507</v>
      </c>
      <c r="BZ78" s="68">
        <v>510025</v>
      </c>
      <c r="CA78" s="68">
        <v>511095</v>
      </c>
      <c r="CB78" s="68">
        <v>513723</v>
      </c>
      <c r="CC78" s="68">
        <v>517319</v>
      </c>
      <c r="CD78" s="68">
        <v>527026</v>
      </c>
      <c r="CE78" s="68">
        <v>569074</v>
      </c>
      <c r="CF78" s="68">
        <v>585830</v>
      </c>
      <c r="CG78" s="68">
        <v>592953</v>
      </c>
      <c r="CH78" s="68">
        <v>596680</v>
      </c>
      <c r="CI78" s="68">
        <v>602600</v>
      </c>
      <c r="CJ78" s="68">
        <v>605682</v>
      </c>
      <c r="CK78" s="68">
        <v>616121</v>
      </c>
      <c r="CL78" s="68">
        <v>631127</v>
      </c>
      <c r="CM78" s="68">
        <v>643712</v>
      </c>
      <c r="CN78" s="68">
        <v>645818</v>
      </c>
      <c r="CO78" s="68">
        <v>651251</v>
      </c>
      <c r="CP78" s="68">
        <v>653413</v>
      </c>
      <c r="CQ78" s="68">
        <v>655193</v>
      </c>
      <c r="CR78" s="68">
        <v>666086</v>
      </c>
      <c r="CS78" s="68">
        <v>676217</v>
      </c>
      <c r="CT78" s="68">
        <v>696172</v>
      </c>
      <c r="CU78" s="68">
        <v>701102</v>
      </c>
      <c r="CV78" s="68">
        <v>706842</v>
      </c>
      <c r="CW78" s="68">
        <v>718009</v>
      </c>
      <c r="CX78" s="68">
        <v>726985</v>
      </c>
      <c r="CY78" s="68">
        <v>750872</v>
      </c>
      <c r="CZ78" s="68">
        <v>790203</v>
      </c>
      <c r="DA78" s="68">
        <v>828138</v>
      </c>
      <c r="DB78" s="68">
        <v>840420</v>
      </c>
      <c r="DC78" s="68">
        <v>847664</v>
      </c>
      <c r="DD78" s="68">
        <v>856281</v>
      </c>
      <c r="DE78" s="68">
        <v>866481</v>
      </c>
      <c r="DF78" s="68">
        <v>885339</v>
      </c>
      <c r="DG78" s="68">
        <v>903570</v>
      </c>
      <c r="DH78" s="68">
        <v>920598</v>
      </c>
      <c r="DI78" s="68">
        <v>930042</v>
      </c>
      <c r="DJ78" s="68">
        <v>939105</v>
      </c>
      <c r="DK78" s="68">
        <v>952721</v>
      </c>
      <c r="DL78" s="68">
        <v>969630</v>
      </c>
      <c r="DM78" s="68">
        <v>1012002</v>
      </c>
      <c r="DN78" s="68">
        <v>1063299</v>
      </c>
      <c r="DO78" s="68">
        <v>1120117</v>
      </c>
      <c r="DP78" s="68">
        <v>1134005</v>
      </c>
      <c r="DQ78" s="68">
        <v>1160784</v>
      </c>
      <c r="DR78" s="68">
        <v>1180469</v>
      </c>
      <c r="DS78" s="68">
        <v>1196536</v>
      </c>
      <c r="DT78" s="68">
        <v>1211653</v>
      </c>
      <c r="DU78" s="68">
        <v>1231250</v>
      </c>
      <c r="DV78" s="68">
        <v>1287442</v>
      </c>
      <c r="DW78" s="68">
        <v>1411270</v>
      </c>
      <c r="DX78" s="68">
        <v>1469159</v>
      </c>
      <c r="DY78" s="68">
        <v>1489854</v>
      </c>
      <c r="DZ78" s="68">
        <v>1513415</v>
      </c>
      <c r="EA78" s="68">
        <v>1539964</v>
      </c>
      <c r="EB78" s="68">
        <v>1568208</v>
      </c>
      <c r="EC78" s="68">
        <v>1604322</v>
      </c>
      <c r="ED78" s="68">
        <v>1638859</v>
      </c>
      <c r="EE78" s="68">
        <v>1701479</v>
      </c>
      <c r="EF78" s="68">
        <v>1725903</v>
      </c>
      <c r="EG78" s="68">
        <v>1745225</v>
      </c>
      <c r="EH78" s="68">
        <v>1788676</v>
      </c>
      <c r="EI78" s="68">
        <v>1845836</v>
      </c>
      <c r="EJ78" s="68">
        <v>1910212</v>
      </c>
      <c r="EK78" s="68">
        <v>1949349</v>
      </c>
      <c r="EL78" s="68">
        <v>2054154</v>
      </c>
      <c r="EP78" s="68">
        <f t="shared" si="3"/>
        <v>4</v>
      </c>
    </row>
    <row r="79" spans="2:146">
      <c r="B79" s="4">
        <v>5</v>
      </c>
      <c r="C79" s="4">
        <v>1</v>
      </c>
      <c r="D79" s="4">
        <v>103</v>
      </c>
      <c r="E79" s="4">
        <v>415</v>
      </c>
      <c r="F79" s="4">
        <v>31461</v>
      </c>
      <c r="G79" s="4">
        <v>1.4200000000000001E-2</v>
      </c>
      <c r="H79" s="4">
        <v>696172</v>
      </c>
      <c r="I79" s="4">
        <f t="shared" si="7"/>
        <v>4.0240345799999986</v>
      </c>
      <c r="M79" s="68">
        <v>1</v>
      </c>
      <c r="N79" s="14">
        <f t="shared" si="6"/>
        <v>1.06</v>
      </c>
      <c r="O79" s="14">
        <f t="shared" si="6"/>
        <v>112</v>
      </c>
      <c r="P79" s="14">
        <f t="shared" si="6"/>
        <v>536</v>
      </c>
      <c r="Q79" s="14">
        <f t="shared" si="6"/>
        <v>59246</v>
      </c>
      <c r="R79" s="14">
        <f t="shared" si="6"/>
        <v>1.41E-2</v>
      </c>
      <c r="S79" s="14">
        <f t="shared" si="6"/>
        <v>596680</v>
      </c>
      <c r="EP79" s="68">
        <f t="shared" si="3"/>
        <v>6</v>
      </c>
    </row>
    <row r="80" spans="2:146">
      <c r="B80" s="4">
        <v>3</v>
      </c>
      <c r="C80" s="4">
        <v>0.99</v>
      </c>
      <c r="D80" s="4">
        <v>109</v>
      </c>
      <c r="E80" s="4">
        <v>428</v>
      </c>
      <c r="F80" s="4">
        <v>14429</v>
      </c>
      <c r="G80" s="4">
        <v>1.3599999999999999E-2</v>
      </c>
      <c r="H80" s="4">
        <v>701102</v>
      </c>
      <c r="I80" s="4">
        <f t="shared" si="7"/>
        <v>3.3533286400000009</v>
      </c>
      <c r="M80" s="68">
        <v>1</v>
      </c>
      <c r="N80" s="14">
        <f t="shared" si="6"/>
        <v>1.1399999999999999</v>
      </c>
      <c r="O80" s="14">
        <f t="shared" si="6"/>
        <v>113</v>
      </c>
      <c r="P80" s="14">
        <f t="shared" si="6"/>
        <v>504</v>
      </c>
      <c r="Q80" s="14">
        <f t="shared" si="6"/>
        <v>63682</v>
      </c>
      <c r="R80" s="14">
        <f t="shared" si="6"/>
        <v>1.41E-2</v>
      </c>
      <c r="S80" s="14">
        <f t="shared" si="6"/>
        <v>602600</v>
      </c>
      <c r="EP80" s="68">
        <f t="shared" si="3"/>
        <v>2</v>
      </c>
    </row>
    <row r="81" spans="2:146">
      <c r="B81" s="4">
        <v>1</v>
      </c>
      <c r="C81" s="4">
        <v>0.98</v>
      </c>
      <c r="D81" s="4">
        <v>112</v>
      </c>
      <c r="E81" s="4">
        <v>454</v>
      </c>
      <c r="F81" s="4">
        <v>78716</v>
      </c>
      <c r="G81" s="4">
        <v>1.1599999999999999E-2</v>
      </c>
      <c r="H81" s="4">
        <v>706842</v>
      </c>
      <c r="I81" s="4">
        <f t="shared" si="7"/>
        <v>1.9931108399999999</v>
      </c>
      <c r="M81" s="68">
        <v>1</v>
      </c>
      <c r="N81" s="14">
        <f t="shared" ref="N81:S96" si="8">C69</f>
        <v>1.1399999999999999</v>
      </c>
      <c r="O81" s="14">
        <f t="shared" si="8"/>
        <v>116</v>
      </c>
      <c r="P81" s="14">
        <f t="shared" si="8"/>
        <v>488</v>
      </c>
      <c r="Q81" s="14">
        <f t="shared" si="8"/>
        <v>63338</v>
      </c>
      <c r="R81" s="14">
        <f t="shared" si="8"/>
        <v>1.2500000000000001E-2</v>
      </c>
      <c r="S81" s="14">
        <f t="shared" si="8"/>
        <v>605682</v>
      </c>
      <c r="EP81" s="68">
        <f t="shared" ref="EP81:EP135" si="9">B69</f>
        <v>3</v>
      </c>
    </row>
    <row r="82" spans="2:146">
      <c r="B82" s="4">
        <v>5</v>
      </c>
      <c r="C82" s="4">
        <v>0.97</v>
      </c>
      <c r="D82" s="4">
        <v>113</v>
      </c>
      <c r="E82" s="4">
        <v>429</v>
      </c>
      <c r="F82" s="4">
        <v>96934</v>
      </c>
      <c r="G82" s="4">
        <v>9.9000000000000008E-3</v>
      </c>
      <c r="H82" s="4">
        <v>718009</v>
      </c>
      <c r="I82" s="4">
        <f t="shared" si="7"/>
        <v>-0.16183299000000062</v>
      </c>
      <c r="M82" s="68">
        <v>1</v>
      </c>
      <c r="N82" s="14">
        <f t="shared" si="8"/>
        <v>1.1299999999999999</v>
      </c>
      <c r="O82" s="14">
        <f t="shared" si="8"/>
        <v>122</v>
      </c>
      <c r="P82" s="14">
        <f t="shared" si="8"/>
        <v>495</v>
      </c>
      <c r="Q82" s="14">
        <f t="shared" si="8"/>
        <v>58289</v>
      </c>
      <c r="R82" s="14">
        <f t="shared" si="8"/>
        <v>1.1299999999999999E-2</v>
      </c>
      <c r="S82" s="14">
        <f t="shared" si="8"/>
        <v>616121</v>
      </c>
      <c r="EP82" s="68">
        <f t="shared" si="9"/>
        <v>9</v>
      </c>
    </row>
    <row r="83" spans="2:146">
      <c r="B83" s="4">
        <v>1</v>
      </c>
      <c r="C83" s="4">
        <v>0.97</v>
      </c>
      <c r="D83" s="4">
        <v>110</v>
      </c>
      <c r="E83" s="4">
        <v>397</v>
      </c>
      <c r="F83" s="4">
        <v>98744</v>
      </c>
      <c r="G83" s="4">
        <v>8.3000000000000001E-3</v>
      </c>
      <c r="H83" s="4">
        <v>726985</v>
      </c>
      <c r="I83" s="4">
        <f t="shared" si="7"/>
        <v>-2.1037608300000024</v>
      </c>
      <c r="M83" s="68">
        <v>1</v>
      </c>
      <c r="N83" s="14">
        <f t="shared" si="8"/>
        <v>1.1200000000000001</v>
      </c>
      <c r="O83" s="14">
        <f t="shared" si="8"/>
        <v>128</v>
      </c>
      <c r="P83" s="14">
        <f t="shared" si="8"/>
        <v>486</v>
      </c>
      <c r="Q83" s="14">
        <f t="shared" si="8"/>
        <v>60156</v>
      </c>
      <c r="R83" s="14">
        <f t="shared" si="8"/>
        <v>1.0200000000000001E-2</v>
      </c>
      <c r="S83" s="14">
        <f t="shared" si="8"/>
        <v>631127</v>
      </c>
      <c r="EP83" s="68">
        <f t="shared" si="9"/>
        <v>5</v>
      </c>
    </row>
    <row r="84" spans="2:146">
      <c r="B84" s="4">
        <v>4</v>
      </c>
      <c r="C84" s="4">
        <v>0.97</v>
      </c>
      <c r="D84" s="4">
        <v>104</v>
      </c>
      <c r="E84" s="4">
        <v>395</v>
      </c>
      <c r="F84" s="4">
        <v>98063</v>
      </c>
      <c r="G84" s="4">
        <v>7.6E-3</v>
      </c>
      <c r="H84" s="4">
        <v>750872</v>
      </c>
      <c r="I84" s="4">
        <f t="shared" si="7"/>
        <v>-2.2943667600000008</v>
      </c>
      <c r="M84" s="68">
        <v>1</v>
      </c>
      <c r="N84" s="14">
        <f t="shared" si="8"/>
        <v>1.1000000000000001</v>
      </c>
      <c r="O84" s="14">
        <f t="shared" si="8"/>
        <v>119</v>
      </c>
      <c r="P84" s="14">
        <f t="shared" si="8"/>
        <v>466</v>
      </c>
      <c r="Q84" s="14">
        <f t="shared" si="8"/>
        <v>31800</v>
      </c>
      <c r="R84" s="14">
        <f t="shared" si="8"/>
        <v>1.09E-2</v>
      </c>
      <c r="S84" s="14">
        <f t="shared" si="8"/>
        <v>643712</v>
      </c>
      <c r="EP84" s="68">
        <f t="shared" si="9"/>
        <v>6</v>
      </c>
    </row>
    <row r="85" spans="2:146">
      <c r="B85" s="4">
        <v>1</v>
      </c>
      <c r="C85" s="4">
        <v>0.96</v>
      </c>
      <c r="D85" s="4">
        <v>98</v>
      </c>
      <c r="E85" s="4">
        <v>384</v>
      </c>
      <c r="F85" s="4">
        <v>88546</v>
      </c>
      <c r="G85" s="4">
        <v>6.8999999999999999E-3</v>
      </c>
      <c r="H85" s="4">
        <v>790203</v>
      </c>
      <c r="I85" s="4">
        <f t="shared" si="7"/>
        <v>-2.6743306899999988</v>
      </c>
      <c r="M85" s="68">
        <v>1</v>
      </c>
      <c r="N85" s="14">
        <f t="shared" si="8"/>
        <v>1.07</v>
      </c>
      <c r="O85" s="14">
        <f t="shared" si="8"/>
        <v>113</v>
      </c>
      <c r="P85" s="14">
        <f t="shared" si="8"/>
        <v>466</v>
      </c>
      <c r="Q85" s="14">
        <f t="shared" si="8"/>
        <v>12842</v>
      </c>
      <c r="R85" s="14">
        <f t="shared" si="8"/>
        <v>1.1900000000000001E-2</v>
      </c>
      <c r="S85" s="14">
        <f t="shared" si="8"/>
        <v>645818</v>
      </c>
      <c r="EP85" s="68">
        <f t="shared" si="9"/>
        <v>6</v>
      </c>
    </row>
    <row r="86" spans="2:146">
      <c r="B86" s="4">
        <v>2</v>
      </c>
      <c r="C86" s="4">
        <v>0.96</v>
      </c>
      <c r="D86" s="4">
        <v>98</v>
      </c>
      <c r="E86" s="4">
        <v>342</v>
      </c>
      <c r="F86" s="4">
        <v>41386</v>
      </c>
      <c r="G86" s="4">
        <v>6.6E-3</v>
      </c>
      <c r="H86" s="4">
        <v>828138</v>
      </c>
      <c r="I86" s="4">
        <f t="shared" si="7"/>
        <v>-3.9435046599999986</v>
      </c>
      <c r="M86" s="68">
        <v>1</v>
      </c>
      <c r="N86" s="14">
        <f t="shared" si="8"/>
        <v>1.04</v>
      </c>
      <c r="O86" s="14">
        <f t="shared" si="8"/>
        <v>119</v>
      </c>
      <c r="P86" s="14">
        <f t="shared" si="8"/>
        <v>479</v>
      </c>
      <c r="Q86" s="14">
        <f t="shared" si="8"/>
        <v>38795</v>
      </c>
      <c r="R86" s="14">
        <f t="shared" si="8"/>
        <v>1.2999999999999999E-2</v>
      </c>
      <c r="S86" s="14">
        <f t="shared" si="8"/>
        <v>651251</v>
      </c>
      <c r="EP86" s="68">
        <f t="shared" si="9"/>
        <v>2</v>
      </c>
    </row>
    <row r="87" spans="2:146">
      <c r="B87" s="4">
        <v>6</v>
      </c>
      <c r="C87" s="4">
        <v>0.94</v>
      </c>
      <c r="D87" s="4">
        <v>98</v>
      </c>
      <c r="E87" s="4">
        <v>348</v>
      </c>
      <c r="F87" s="4">
        <v>14485</v>
      </c>
      <c r="G87" s="4">
        <v>6.7000000000000002E-3</v>
      </c>
      <c r="H87" s="4">
        <v>840420</v>
      </c>
      <c r="I87" s="4">
        <f t="shared" si="7"/>
        <v>-3.6601626700000001</v>
      </c>
      <c r="M87" s="68">
        <v>1</v>
      </c>
      <c r="N87" s="14">
        <f t="shared" si="8"/>
        <v>1.01</v>
      </c>
      <c r="O87" s="14">
        <f t="shared" si="8"/>
        <v>118</v>
      </c>
      <c r="P87" s="14">
        <f t="shared" si="8"/>
        <v>459</v>
      </c>
      <c r="Q87" s="14">
        <f t="shared" si="8"/>
        <v>41484</v>
      </c>
      <c r="R87" s="14">
        <f t="shared" si="8"/>
        <v>1.24E-2</v>
      </c>
      <c r="S87" s="14">
        <f t="shared" si="8"/>
        <v>653413</v>
      </c>
      <c r="EP87" s="68">
        <f t="shared" si="9"/>
        <v>5</v>
      </c>
    </row>
    <row r="88" spans="2:146">
      <c r="B88" s="4">
        <v>0</v>
      </c>
      <c r="C88" s="4">
        <v>0.92</v>
      </c>
      <c r="D88" s="4">
        <v>91</v>
      </c>
      <c r="E88" s="4">
        <v>365</v>
      </c>
      <c r="F88" s="4">
        <v>53464</v>
      </c>
      <c r="G88" s="4">
        <v>7.0000000000000001E-3</v>
      </c>
      <c r="H88" s="4">
        <v>847664</v>
      </c>
      <c r="I88" s="4">
        <f t="shared" si="7"/>
        <v>-2.3812047000000005</v>
      </c>
      <c r="M88" s="68">
        <v>1</v>
      </c>
      <c r="N88" s="14">
        <f t="shared" si="8"/>
        <v>1.01</v>
      </c>
      <c r="O88" s="14">
        <f t="shared" si="8"/>
        <v>116</v>
      </c>
      <c r="P88" s="14">
        <f t="shared" si="8"/>
        <v>447</v>
      </c>
      <c r="Q88" s="14">
        <f t="shared" si="8"/>
        <v>41634</v>
      </c>
      <c r="R88" s="14">
        <f t="shared" si="8"/>
        <v>1.34E-2</v>
      </c>
      <c r="S88" s="14">
        <f t="shared" si="8"/>
        <v>655193</v>
      </c>
      <c r="EP88" s="68">
        <f t="shared" si="9"/>
        <v>8</v>
      </c>
    </row>
    <row r="89" spans="2:146">
      <c r="B89" s="4">
        <v>5</v>
      </c>
      <c r="C89" s="4">
        <v>0.91</v>
      </c>
      <c r="D89" s="4">
        <v>86</v>
      </c>
      <c r="E89" s="4">
        <v>346</v>
      </c>
      <c r="F89" s="4">
        <v>57452</v>
      </c>
      <c r="G89" s="4">
        <v>7.4000000000000003E-3</v>
      </c>
      <c r="H89" s="4">
        <v>856281</v>
      </c>
      <c r="I89" s="4">
        <f t="shared" si="7"/>
        <v>-2.0587307399999988</v>
      </c>
      <c r="M89" s="68">
        <v>1</v>
      </c>
      <c r="N89" s="14">
        <f t="shared" si="8"/>
        <v>1</v>
      </c>
      <c r="O89" s="14">
        <f t="shared" si="8"/>
        <v>109</v>
      </c>
      <c r="P89" s="14">
        <f t="shared" si="8"/>
        <v>423</v>
      </c>
      <c r="Q89" s="14">
        <f t="shared" si="8"/>
        <v>42082</v>
      </c>
      <c r="R89" s="14">
        <f t="shared" si="8"/>
        <v>1.3899999999999999E-2</v>
      </c>
      <c r="S89" s="14">
        <f t="shared" si="8"/>
        <v>666086</v>
      </c>
      <c r="EP89" s="68">
        <f t="shared" si="9"/>
        <v>2</v>
      </c>
    </row>
    <row r="90" spans="2:146">
      <c r="B90" s="4">
        <v>3</v>
      </c>
      <c r="C90" s="4">
        <v>0.9</v>
      </c>
      <c r="D90" s="4">
        <v>88</v>
      </c>
      <c r="E90" s="4">
        <v>332</v>
      </c>
      <c r="F90" s="4">
        <v>53345</v>
      </c>
      <c r="G90" s="4">
        <v>8.0999999999999996E-3</v>
      </c>
      <c r="H90" s="4">
        <v>866481</v>
      </c>
      <c r="I90" s="4">
        <f t="shared" si="7"/>
        <v>-1.9071828100000037</v>
      </c>
      <c r="M90" s="68">
        <v>1</v>
      </c>
      <c r="N90" s="14">
        <f t="shared" si="8"/>
        <v>1</v>
      </c>
      <c r="O90" s="14">
        <f t="shared" si="8"/>
        <v>101</v>
      </c>
      <c r="P90" s="14">
        <f t="shared" si="8"/>
        <v>429</v>
      </c>
      <c r="Q90" s="14">
        <f t="shared" si="8"/>
        <v>47052</v>
      </c>
      <c r="R90" s="14">
        <f t="shared" si="8"/>
        <v>1.4E-2</v>
      </c>
      <c r="S90" s="14">
        <f t="shared" si="8"/>
        <v>676217</v>
      </c>
      <c r="EP90" s="68">
        <f t="shared" si="9"/>
        <v>4</v>
      </c>
    </row>
    <row r="91" spans="2:146">
      <c r="B91" s="4">
        <v>1</v>
      </c>
      <c r="C91" s="4">
        <v>0.89</v>
      </c>
      <c r="D91" s="4">
        <v>89</v>
      </c>
      <c r="E91" s="4">
        <v>324</v>
      </c>
      <c r="F91" s="4">
        <v>54101</v>
      </c>
      <c r="G91" s="4">
        <v>8.6999999999999994E-3</v>
      </c>
      <c r="H91" s="4">
        <v>885339</v>
      </c>
      <c r="I91" s="4">
        <f t="shared" si="7"/>
        <v>-1.6212928700000004</v>
      </c>
      <c r="M91" s="68">
        <v>1</v>
      </c>
      <c r="N91" s="14">
        <f t="shared" si="8"/>
        <v>1</v>
      </c>
      <c r="O91" s="14">
        <f t="shared" si="8"/>
        <v>103</v>
      </c>
      <c r="P91" s="14">
        <f t="shared" si="8"/>
        <v>415</v>
      </c>
      <c r="Q91" s="14">
        <f t="shared" si="8"/>
        <v>31461</v>
      </c>
      <c r="R91" s="14">
        <f t="shared" si="8"/>
        <v>1.4200000000000001E-2</v>
      </c>
      <c r="S91" s="14">
        <f t="shared" si="8"/>
        <v>696172</v>
      </c>
      <c r="EP91" s="68">
        <f t="shared" si="9"/>
        <v>5</v>
      </c>
    </row>
    <row r="92" spans="2:146">
      <c r="B92" s="4">
        <v>0</v>
      </c>
      <c r="C92" s="4">
        <v>0.88</v>
      </c>
      <c r="D92" s="4">
        <v>89</v>
      </c>
      <c r="E92" s="4">
        <v>324</v>
      </c>
      <c r="F92" s="4">
        <v>64169</v>
      </c>
      <c r="G92" s="4">
        <v>9.1000000000000004E-3</v>
      </c>
      <c r="H92" s="4">
        <v>903570</v>
      </c>
      <c r="I92" s="4">
        <f t="shared" si="7"/>
        <v>-1.2417189099999995</v>
      </c>
      <c r="M92" s="68">
        <v>1</v>
      </c>
      <c r="N92" s="14">
        <f t="shared" si="8"/>
        <v>0.99</v>
      </c>
      <c r="O92" s="14">
        <f t="shared" si="8"/>
        <v>109</v>
      </c>
      <c r="P92" s="14">
        <f t="shared" si="8"/>
        <v>428</v>
      </c>
      <c r="Q92" s="14">
        <f t="shared" si="8"/>
        <v>14429</v>
      </c>
      <c r="R92" s="14">
        <f t="shared" si="8"/>
        <v>1.3599999999999999E-2</v>
      </c>
      <c r="S92" s="14">
        <f t="shared" si="8"/>
        <v>701102</v>
      </c>
      <c r="EP92" s="68">
        <f t="shared" si="9"/>
        <v>3</v>
      </c>
    </row>
    <row r="93" spans="2:146">
      <c r="B93" s="4">
        <v>2</v>
      </c>
      <c r="C93" s="4">
        <v>0.87</v>
      </c>
      <c r="D93" s="4">
        <v>84</v>
      </c>
      <c r="E93" s="4">
        <v>302</v>
      </c>
      <c r="F93" s="4">
        <v>31454</v>
      </c>
      <c r="G93" s="4">
        <v>9.1000000000000004E-3</v>
      </c>
      <c r="H93" s="4">
        <v>920598</v>
      </c>
      <c r="I93" s="4">
        <f t="shared" si="7"/>
        <v>-1.3447769100000002</v>
      </c>
      <c r="M93" s="68">
        <v>1</v>
      </c>
      <c r="N93" s="14">
        <f t="shared" si="8"/>
        <v>0.98</v>
      </c>
      <c r="O93" s="14">
        <f t="shared" si="8"/>
        <v>112</v>
      </c>
      <c r="P93" s="14">
        <f t="shared" si="8"/>
        <v>454</v>
      </c>
      <c r="Q93" s="14">
        <f t="shared" si="8"/>
        <v>78716</v>
      </c>
      <c r="R93" s="14">
        <f t="shared" si="8"/>
        <v>1.1599999999999999E-2</v>
      </c>
      <c r="S93" s="14">
        <f t="shared" si="8"/>
        <v>706842</v>
      </c>
      <c r="EP93" s="68">
        <f t="shared" si="9"/>
        <v>1</v>
      </c>
    </row>
    <row r="94" spans="2:146">
      <c r="B94" s="4">
        <v>1</v>
      </c>
      <c r="C94" s="4">
        <v>0.86</v>
      </c>
      <c r="D94" s="4">
        <v>85</v>
      </c>
      <c r="E94" s="4">
        <v>311</v>
      </c>
      <c r="F94" s="4">
        <v>17140</v>
      </c>
      <c r="G94" s="4">
        <v>8.6E-3</v>
      </c>
      <c r="H94" s="4">
        <v>930042</v>
      </c>
      <c r="I94" s="4">
        <f t="shared" si="7"/>
        <v>-1.6256248599999994</v>
      </c>
      <c r="M94" s="68">
        <v>1</v>
      </c>
      <c r="N94" s="14">
        <f t="shared" si="8"/>
        <v>0.97</v>
      </c>
      <c r="O94" s="14">
        <f t="shared" si="8"/>
        <v>113</v>
      </c>
      <c r="P94" s="14">
        <f t="shared" si="8"/>
        <v>429</v>
      </c>
      <c r="Q94" s="14">
        <f t="shared" si="8"/>
        <v>96934</v>
      </c>
      <c r="R94" s="14">
        <f t="shared" si="8"/>
        <v>9.9000000000000008E-3</v>
      </c>
      <c r="S94" s="14">
        <f t="shared" si="8"/>
        <v>718009</v>
      </c>
      <c r="EP94" s="68">
        <f t="shared" si="9"/>
        <v>5</v>
      </c>
    </row>
    <row r="95" spans="2:146">
      <c r="B95" s="4">
        <v>0</v>
      </c>
      <c r="C95" s="4">
        <v>0.86</v>
      </c>
      <c r="D95" s="4">
        <v>90</v>
      </c>
      <c r="E95" s="4">
        <v>322</v>
      </c>
      <c r="F95" s="4">
        <v>52011</v>
      </c>
      <c r="G95" s="4">
        <v>8.6E-3</v>
      </c>
      <c r="H95" s="4">
        <v>939105</v>
      </c>
      <c r="I95" s="4">
        <f t="shared" si="7"/>
        <v>-1.7597248600000013</v>
      </c>
      <c r="M95" s="68">
        <v>1</v>
      </c>
      <c r="N95" s="14">
        <f t="shared" si="8"/>
        <v>0.97</v>
      </c>
      <c r="O95" s="14">
        <f t="shared" si="8"/>
        <v>110</v>
      </c>
      <c r="P95" s="14">
        <f t="shared" si="8"/>
        <v>397</v>
      </c>
      <c r="Q95" s="14">
        <f t="shared" si="8"/>
        <v>98744</v>
      </c>
      <c r="R95" s="14">
        <f t="shared" si="8"/>
        <v>8.3000000000000001E-3</v>
      </c>
      <c r="S95" s="14">
        <f t="shared" si="8"/>
        <v>726985</v>
      </c>
      <c r="EP95" s="68">
        <f t="shared" si="9"/>
        <v>1</v>
      </c>
    </row>
    <row r="96" spans="2:146">
      <c r="B96" s="4">
        <v>4</v>
      </c>
      <c r="C96" s="4">
        <v>0.85</v>
      </c>
      <c r="D96" s="4">
        <v>87</v>
      </c>
      <c r="E96" s="4">
        <v>296</v>
      </c>
      <c r="F96" s="4">
        <v>52560</v>
      </c>
      <c r="G96" s="4">
        <v>8.3999999999999995E-3</v>
      </c>
      <c r="H96" s="4">
        <v>952721</v>
      </c>
      <c r="I96" s="4">
        <f t="shared" si="7"/>
        <v>-2.2940988399999975</v>
      </c>
      <c r="M96" s="68">
        <v>1</v>
      </c>
      <c r="N96" s="14">
        <f t="shared" si="8"/>
        <v>0.97</v>
      </c>
      <c r="O96" s="14">
        <f t="shared" si="8"/>
        <v>104</v>
      </c>
      <c r="P96" s="14">
        <f t="shared" si="8"/>
        <v>395</v>
      </c>
      <c r="Q96" s="14">
        <f t="shared" si="8"/>
        <v>98063</v>
      </c>
      <c r="R96" s="14">
        <f t="shared" si="8"/>
        <v>7.6E-3</v>
      </c>
      <c r="S96" s="14">
        <f t="shared" si="8"/>
        <v>750872</v>
      </c>
      <c r="EP96" s="68">
        <f t="shared" si="9"/>
        <v>4</v>
      </c>
    </row>
    <row r="97" spans="2:146">
      <c r="B97" s="4">
        <v>2</v>
      </c>
      <c r="C97" s="4">
        <v>0.85</v>
      </c>
      <c r="D97" s="4">
        <v>83</v>
      </c>
      <c r="E97" s="4">
        <v>297</v>
      </c>
      <c r="F97" s="4">
        <v>49255</v>
      </c>
      <c r="G97" s="4">
        <v>7.9000000000000008E-3</v>
      </c>
      <c r="H97" s="4">
        <v>969630</v>
      </c>
      <c r="I97" s="4">
        <f t="shared" si="7"/>
        <v>-2.3948887899999978</v>
      </c>
      <c r="M97" s="68">
        <v>1</v>
      </c>
      <c r="N97" s="14">
        <f t="shared" ref="N97:S112" si="10">C85</f>
        <v>0.96</v>
      </c>
      <c r="O97" s="14">
        <f t="shared" si="10"/>
        <v>98</v>
      </c>
      <c r="P97" s="14">
        <f t="shared" si="10"/>
        <v>384</v>
      </c>
      <c r="Q97" s="14">
        <f t="shared" si="10"/>
        <v>88546</v>
      </c>
      <c r="R97" s="14">
        <f t="shared" si="10"/>
        <v>6.8999999999999999E-3</v>
      </c>
      <c r="S97" s="14">
        <f t="shared" si="10"/>
        <v>790203</v>
      </c>
      <c r="EP97" s="68">
        <f t="shared" si="9"/>
        <v>1</v>
      </c>
    </row>
    <row r="98" spans="2:146">
      <c r="B98" s="4">
        <v>5</v>
      </c>
      <c r="C98" s="4">
        <v>0.87</v>
      </c>
      <c r="D98" s="4">
        <v>77</v>
      </c>
      <c r="E98" s="4">
        <v>283</v>
      </c>
      <c r="F98" s="4">
        <v>48583</v>
      </c>
      <c r="G98" s="4">
        <v>7.7000000000000002E-3</v>
      </c>
      <c r="H98" s="4">
        <v>1012002</v>
      </c>
      <c r="I98" s="4">
        <f t="shared" si="7"/>
        <v>-2.4814887700000021</v>
      </c>
      <c r="M98" s="68">
        <v>1</v>
      </c>
      <c r="N98" s="14">
        <f t="shared" si="10"/>
        <v>0.96</v>
      </c>
      <c r="O98" s="14">
        <f t="shared" si="10"/>
        <v>98</v>
      </c>
      <c r="P98" s="14">
        <f t="shared" si="10"/>
        <v>342</v>
      </c>
      <c r="Q98" s="14">
        <f t="shared" si="10"/>
        <v>41386</v>
      </c>
      <c r="R98" s="14">
        <f t="shared" si="10"/>
        <v>6.6E-3</v>
      </c>
      <c r="S98" s="14">
        <f t="shared" si="10"/>
        <v>828138</v>
      </c>
      <c r="EP98" s="68">
        <f t="shared" si="9"/>
        <v>2</v>
      </c>
    </row>
    <row r="99" spans="2:146">
      <c r="B99" s="4">
        <v>1</v>
      </c>
      <c r="C99" s="4">
        <v>0.89</v>
      </c>
      <c r="D99" s="4">
        <v>75</v>
      </c>
      <c r="E99" s="4">
        <v>280</v>
      </c>
      <c r="F99" s="4">
        <v>47849</v>
      </c>
      <c r="G99" s="4">
        <v>7.9000000000000008E-3</v>
      </c>
      <c r="H99" s="4">
        <v>1063299</v>
      </c>
      <c r="I99" s="4">
        <f t="shared" si="7"/>
        <v>-2.2689567899999989</v>
      </c>
      <c r="M99" s="68">
        <v>1</v>
      </c>
      <c r="N99" s="14">
        <f t="shared" si="10"/>
        <v>0.94</v>
      </c>
      <c r="O99" s="14">
        <f t="shared" si="10"/>
        <v>98</v>
      </c>
      <c r="P99" s="14">
        <f t="shared" si="10"/>
        <v>348</v>
      </c>
      <c r="Q99" s="14">
        <f t="shared" si="10"/>
        <v>14485</v>
      </c>
      <c r="R99" s="14">
        <f t="shared" si="10"/>
        <v>6.7000000000000002E-3</v>
      </c>
      <c r="S99" s="14">
        <f t="shared" si="10"/>
        <v>840420</v>
      </c>
      <c r="EP99" s="68">
        <f t="shared" si="9"/>
        <v>6</v>
      </c>
    </row>
    <row r="100" spans="2:146">
      <c r="B100" s="4">
        <v>2</v>
      </c>
      <c r="C100" s="4">
        <v>0.91</v>
      </c>
      <c r="D100" s="4">
        <v>74</v>
      </c>
      <c r="E100" s="4">
        <v>260</v>
      </c>
      <c r="F100" s="4">
        <v>31498</v>
      </c>
      <c r="G100" s="4">
        <v>7.7000000000000002E-3</v>
      </c>
      <c r="H100" s="4">
        <v>1120117</v>
      </c>
      <c r="I100" s="4">
        <f t="shared" si="7"/>
        <v>-2.8959567699999997</v>
      </c>
      <c r="M100" s="68">
        <v>1</v>
      </c>
      <c r="N100" s="14">
        <f t="shared" si="10"/>
        <v>0.92</v>
      </c>
      <c r="O100" s="14">
        <f t="shared" si="10"/>
        <v>91</v>
      </c>
      <c r="P100" s="14">
        <f t="shared" si="10"/>
        <v>365</v>
      </c>
      <c r="Q100" s="14">
        <f t="shared" si="10"/>
        <v>53464</v>
      </c>
      <c r="R100" s="14">
        <f t="shared" si="10"/>
        <v>7.0000000000000001E-3</v>
      </c>
      <c r="S100" s="14">
        <f t="shared" si="10"/>
        <v>847664</v>
      </c>
      <c r="EP100" s="68">
        <f t="shared" si="9"/>
        <v>0</v>
      </c>
    </row>
    <row r="101" spans="2:146">
      <c r="B101" s="4">
        <v>1</v>
      </c>
      <c r="C101" s="4">
        <v>0.93</v>
      </c>
      <c r="D101" s="4">
        <v>74</v>
      </c>
      <c r="E101" s="4">
        <v>268</v>
      </c>
      <c r="F101" s="4">
        <v>15940</v>
      </c>
      <c r="G101" s="4">
        <v>7.7000000000000002E-3</v>
      </c>
      <c r="H101" s="4">
        <v>1134005</v>
      </c>
      <c r="I101" s="4">
        <f t="shared" si="7"/>
        <v>-2.756240769999998</v>
      </c>
      <c r="M101" s="68">
        <v>1</v>
      </c>
      <c r="N101" s="14">
        <f t="shared" si="10"/>
        <v>0.91</v>
      </c>
      <c r="O101" s="14">
        <f t="shared" si="10"/>
        <v>86</v>
      </c>
      <c r="P101" s="14">
        <f t="shared" si="10"/>
        <v>346</v>
      </c>
      <c r="Q101" s="14">
        <f t="shared" si="10"/>
        <v>57452</v>
      </c>
      <c r="R101" s="14">
        <f t="shared" si="10"/>
        <v>7.4000000000000003E-3</v>
      </c>
      <c r="S101" s="14">
        <f t="shared" si="10"/>
        <v>856281</v>
      </c>
      <c r="EP101" s="68">
        <f t="shared" si="9"/>
        <v>5</v>
      </c>
    </row>
    <row r="102" spans="2:146">
      <c r="B102" s="4">
        <v>1</v>
      </c>
      <c r="C102" s="4">
        <v>0.95</v>
      </c>
      <c r="D102" s="4">
        <v>73</v>
      </c>
      <c r="E102" s="4">
        <v>277</v>
      </c>
      <c r="F102" s="4">
        <v>39435</v>
      </c>
      <c r="G102" s="4">
        <v>8.0000000000000002E-3</v>
      </c>
      <c r="H102" s="4">
        <v>1160784</v>
      </c>
      <c r="I102" s="4">
        <f t="shared" si="7"/>
        <v>-2.2478507999999975</v>
      </c>
      <c r="M102" s="68">
        <v>1</v>
      </c>
      <c r="N102" s="14">
        <f t="shared" si="10"/>
        <v>0.9</v>
      </c>
      <c r="O102" s="14">
        <f t="shared" si="10"/>
        <v>88</v>
      </c>
      <c r="P102" s="14">
        <f t="shared" si="10"/>
        <v>332</v>
      </c>
      <c r="Q102" s="14">
        <f t="shared" si="10"/>
        <v>53345</v>
      </c>
      <c r="R102" s="14">
        <f t="shared" si="10"/>
        <v>8.0999999999999996E-3</v>
      </c>
      <c r="S102" s="14">
        <f t="shared" si="10"/>
        <v>866481</v>
      </c>
      <c r="EP102" s="68">
        <f t="shared" si="9"/>
        <v>3</v>
      </c>
    </row>
    <row r="103" spans="2:146">
      <c r="B103" s="4">
        <v>1</v>
      </c>
      <c r="C103" s="4">
        <v>0.97</v>
      </c>
      <c r="D103" s="4">
        <v>71</v>
      </c>
      <c r="E103" s="4">
        <v>257</v>
      </c>
      <c r="F103" s="4">
        <v>41873</v>
      </c>
      <c r="G103" s="4">
        <v>8.3999999999999995E-3</v>
      </c>
      <c r="H103" s="4">
        <v>1180469</v>
      </c>
      <c r="I103" s="4">
        <f t="shared" si="7"/>
        <v>-2.2647028400000009</v>
      </c>
      <c r="M103" s="68">
        <v>1</v>
      </c>
      <c r="N103" s="14">
        <f t="shared" si="10"/>
        <v>0.89</v>
      </c>
      <c r="O103" s="14">
        <f t="shared" si="10"/>
        <v>89</v>
      </c>
      <c r="P103" s="14">
        <f t="shared" si="10"/>
        <v>324</v>
      </c>
      <c r="Q103" s="14">
        <f t="shared" si="10"/>
        <v>54101</v>
      </c>
      <c r="R103" s="14">
        <f t="shared" si="10"/>
        <v>8.6999999999999994E-3</v>
      </c>
      <c r="S103" s="14">
        <f t="shared" si="10"/>
        <v>885339</v>
      </c>
      <c r="EP103" s="68">
        <f t="shared" si="9"/>
        <v>1</v>
      </c>
    </row>
    <row r="104" spans="2:146">
      <c r="B104" s="4">
        <v>4</v>
      </c>
      <c r="C104" s="4">
        <v>1</v>
      </c>
      <c r="D104" s="4">
        <v>71</v>
      </c>
      <c r="E104" s="4">
        <v>248</v>
      </c>
      <c r="F104" s="4">
        <v>43813</v>
      </c>
      <c r="G104" s="4">
        <v>8.8999999999999999E-3</v>
      </c>
      <c r="H104" s="4">
        <v>1196536</v>
      </c>
      <c r="I104" s="4">
        <f t="shared" si="7"/>
        <v>-2.1147388900000008</v>
      </c>
      <c r="M104" s="68">
        <v>1</v>
      </c>
      <c r="N104" s="14">
        <f t="shared" si="10"/>
        <v>0.88</v>
      </c>
      <c r="O104" s="14">
        <f t="shared" si="10"/>
        <v>89</v>
      </c>
      <c r="P104" s="14">
        <f t="shared" si="10"/>
        <v>324</v>
      </c>
      <c r="Q104" s="14">
        <f t="shared" si="10"/>
        <v>64169</v>
      </c>
      <c r="R104" s="14">
        <f t="shared" si="10"/>
        <v>9.1000000000000004E-3</v>
      </c>
      <c r="S104" s="14">
        <f t="shared" si="10"/>
        <v>903570</v>
      </c>
      <c r="EP104" s="68">
        <f t="shared" si="9"/>
        <v>0</v>
      </c>
    </row>
    <row r="105" spans="2:146">
      <c r="B105" s="4">
        <v>1</v>
      </c>
      <c r="C105" s="4">
        <v>1.02</v>
      </c>
      <c r="D105" s="4">
        <v>70</v>
      </c>
      <c r="E105" s="4">
        <v>244</v>
      </c>
      <c r="F105" s="4">
        <v>40249</v>
      </c>
      <c r="G105" s="4">
        <v>9.4000000000000004E-3</v>
      </c>
      <c r="H105" s="4">
        <v>1211653</v>
      </c>
      <c r="I105" s="4">
        <f t="shared" si="7"/>
        <v>-1.7401329399999987</v>
      </c>
      <c r="M105" s="68">
        <v>1</v>
      </c>
      <c r="N105" s="14">
        <f t="shared" si="10"/>
        <v>0.87</v>
      </c>
      <c r="O105" s="14">
        <f t="shared" si="10"/>
        <v>84</v>
      </c>
      <c r="P105" s="14">
        <f t="shared" si="10"/>
        <v>302</v>
      </c>
      <c r="Q105" s="14">
        <f t="shared" si="10"/>
        <v>31454</v>
      </c>
      <c r="R105" s="14">
        <f t="shared" si="10"/>
        <v>9.1000000000000004E-3</v>
      </c>
      <c r="S105" s="14">
        <f t="shared" si="10"/>
        <v>920598</v>
      </c>
      <c r="EP105" s="68">
        <f t="shared" si="9"/>
        <v>2</v>
      </c>
    </row>
    <row r="106" spans="2:146">
      <c r="B106" s="4">
        <v>0</v>
      </c>
      <c r="C106" s="4">
        <v>1.04</v>
      </c>
      <c r="D106" s="4">
        <v>72</v>
      </c>
      <c r="E106" s="4">
        <v>236</v>
      </c>
      <c r="F106" s="4">
        <v>46370</v>
      </c>
      <c r="G106" s="4">
        <v>9.7999999999999997E-3</v>
      </c>
      <c r="H106" s="4">
        <v>1231250</v>
      </c>
      <c r="I106" s="4">
        <f t="shared" si="7"/>
        <v>-1.7877849800000014</v>
      </c>
      <c r="M106" s="68">
        <v>1</v>
      </c>
      <c r="N106" s="14">
        <f t="shared" si="10"/>
        <v>0.86</v>
      </c>
      <c r="O106" s="14">
        <f t="shared" si="10"/>
        <v>85</v>
      </c>
      <c r="P106" s="14">
        <f t="shared" si="10"/>
        <v>311</v>
      </c>
      <c r="Q106" s="14">
        <f t="shared" si="10"/>
        <v>17140</v>
      </c>
      <c r="R106" s="14">
        <f t="shared" si="10"/>
        <v>8.6E-3</v>
      </c>
      <c r="S106" s="14">
        <f t="shared" si="10"/>
        <v>930042</v>
      </c>
      <c r="EP106" s="68">
        <f t="shared" si="9"/>
        <v>1</v>
      </c>
    </row>
    <row r="107" spans="2:146">
      <c r="B107" s="4">
        <v>7</v>
      </c>
      <c r="C107" s="4">
        <v>1.05</v>
      </c>
      <c r="D107" s="4">
        <v>71</v>
      </c>
      <c r="E107" s="4">
        <v>223</v>
      </c>
      <c r="F107" s="4">
        <v>30962</v>
      </c>
      <c r="G107" s="4">
        <v>0.01</v>
      </c>
      <c r="H107" s="4">
        <v>1287442</v>
      </c>
      <c r="I107" s="4">
        <f t="shared" si="7"/>
        <v>-1.867911000000003</v>
      </c>
      <c r="M107" s="68">
        <v>1</v>
      </c>
      <c r="N107" s="14">
        <f t="shared" si="10"/>
        <v>0.86</v>
      </c>
      <c r="O107" s="14">
        <f t="shared" si="10"/>
        <v>90</v>
      </c>
      <c r="P107" s="14">
        <f t="shared" si="10"/>
        <v>322</v>
      </c>
      <c r="Q107" s="14">
        <f t="shared" si="10"/>
        <v>52011</v>
      </c>
      <c r="R107" s="14">
        <f t="shared" si="10"/>
        <v>8.6E-3</v>
      </c>
      <c r="S107" s="14">
        <f t="shared" si="10"/>
        <v>939105</v>
      </c>
      <c r="EP107" s="68">
        <f t="shared" si="9"/>
        <v>0</v>
      </c>
    </row>
    <row r="108" spans="2:146">
      <c r="B108" s="4">
        <v>1</v>
      </c>
      <c r="C108" s="4">
        <v>1.06</v>
      </c>
      <c r="D108" s="4">
        <v>76</v>
      </c>
      <c r="E108" s="4">
        <v>245</v>
      </c>
      <c r="F108" s="4">
        <v>15707</v>
      </c>
      <c r="G108" s="4">
        <v>1.01E-2</v>
      </c>
      <c r="H108" s="4">
        <v>1411270</v>
      </c>
      <c r="I108" s="4">
        <f t="shared" si="7"/>
        <v>-1.676395010000002</v>
      </c>
      <c r="M108" s="68">
        <v>1</v>
      </c>
      <c r="N108" s="14">
        <f t="shared" si="10"/>
        <v>0.85</v>
      </c>
      <c r="O108" s="14">
        <f t="shared" si="10"/>
        <v>87</v>
      </c>
      <c r="P108" s="14">
        <f t="shared" si="10"/>
        <v>296</v>
      </c>
      <c r="Q108" s="14">
        <f t="shared" si="10"/>
        <v>52560</v>
      </c>
      <c r="R108" s="14">
        <f t="shared" si="10"/>
        <v>8.3999999999999995E-3</v>
      </c>
      <c r="S108" s="14">
        <f t="shared" si="10"/>
        <v>952721</v>
      </c>
      <c r="EP108" s="68">
        <f t="shared" si="9"/>
        <v>4</v>
      </c>
    </row>
    <row r="109" spans="2:146">
      <c r="B109" s="4">
        <v>2</v>
      </c>
      <c r="C109" s="4">
        <v>1.07</v>
      </c>
      <c r="D109" s="4">
        <v>72</v>
      </c>
      <c r="E109" s="4">
        <v>246</v>
      </c>
      <c r="F109" s="4">
        <v>43293</v>
      </c>
      <c r="G109" s="4">
        <v>1.01E-2</v>
      </c>
      <c r="H109" s="4">
        <v>1469159</v>
      </c>
      <c r="I109" s="4">
        <f t="shared" si="7"/>
        <v>-1.3606370099999996</v>
      </c>
      <c r="M109" s="68">
        <v>1</v>
      </c>
      <c r="N109" s="14">
        <f t="shared" si="10"/>
        <v>0.85</v>
      </c>
      <c r="O109" s="14">
        <f t="shared" si="10"/>
        <v>83</v>
      </c>
      <c r="P109" s="14">
        <f t="shared" si="10"/>
        <v>297</v>
      </c>
      <c r="Q109" s="14">
        <f t="shared" si="10"/>
        <v>49255</v>
      </c>
      <c r="R109" s="14">
        <f t="shared" si="10"/>
        <v>7.9000000000000008E-3</v>
      </c>
      <c r="S109" s="14">
        <f t="shared" si="10"/>
        <v>969630</v>
      </c>
      <c r="EP109" s="68">
        <f t="shared" si="9"/>
        <v>2</v>
      </c>
    </row>
    <row r="110" spans="2:146">
      <c r="B110" s="4">
        <v>2</v>
      </c>
      <c r="C110" s="4">
        <v>1.08</v>
      </c>
      <c r="D110" s="4">
        <v>66</v>
      </c>
      <c r="E110" s="4">
        <v>233</v>
      </c>
      <c r="F110" s="4">
        <v>41470</v>
      </c>
      <c r="G110" s="4">
        <v>1.0500000000000001E-2</v>
      </c>
      <c r="H110" s="4">
        <v>1489854</v>
      </c>
      <c r="I110" s="4">
        <f t="shared" si="7"/>
        <v>-0.86684704999999873</v>
      </c>
      <c r="M110" s="68">
        <v>1</v>
      </c>
      <c r="N110" s="14">
        <f t="shared" si="10"/>
        <v>0.87</v>
      </c>
      <c r="O110" s="14">
        <f t="shared" si="10"/>
        <v>77</v>
      </c>
      <c r="P110" s="14">
        <f t="shared" si="10"/>
        <v>283</v>
      </c>
      <c r="Q110" s="14">
        <f t="shared" si="10"/>
        <v>48583</v>
      </c>
      <c r="R110" s="14">
        <f t="shared" si="10"/>
        <v>7.7000000000000002E-3</v>
      </c>
      <c r="S110" s="14">
        <f t="shared" si="10"/>
        <v>1012002</v>
      </c>
      <c r="EP110" s="68">
        <f t="shared" si="9"/>
        <v>5</v>
      </c>
    </row>
    <row r="111" spans="2:146">
      <c r="B111" s="4">
        <v>2</v>
      </c>
      <c r="C111" s="4">
        <v>1.0900000000000001</v>
      </c>
      <c r="D111" s="4">
        <v>56</v>
      </c>
      <c r="E111" s="4">
        <v>211</v>
      </c>
      <c r="F111" s="4">
        <v>44399</v>
      </c>
      <c r="G111" s="4">
        <v>1.06E-2</v>
      </c>
      <c r="H111" s="4">
        <v>1513415</v>
      </c>
      <c r="I111" s="4">
        <f t="shared" si="7"/>
        <v>-0.53593106000000112</v>
      </c>
      <c r="M111" s="68">
        <v>1</v>
      </c>
      <c r="N111" s="14">
        <f t="shared" si="10"/>
        <v>0.89</v>
      </c>
      <c r="O111" s="14">
        <f t="shared" si="10"/>
        <v>75</v>
      </c>
      <c r="P111" s="14">
        <f t="shared" si="10"/>
        <v>280</v>
      </c>
      <c r="Q111" s="14">
        <f t="shared" si="10"/>
        <v>47849</v>
      </c>
      <c r="R111" s="14">
        <f t="shared" si="10"/>
        <v>7.9000000000000008E-3</v>
      </c>
      <c r="S111" s="14">
        <f t="shared" si="10"/>
        <v>1063299</v>
      </c>
      <c r="EP111" s="68">
        <f t="shared" si="9"/>
        <v>1</v>
      </c>
    </row>
    <row r="112" spans="2:146">
      <c r="B112" s="4">
        <v>1</v>
      </c>
      <c r="C112" s="4">
        <v>1.1000000000000001</v>
      </c>
      <c r="D112" s="4">
        <v>58</v>
      </c>
      <c r="E112" s="4">
        <v>208</v>
      </c>
      <c r="F112" s="4">
        <v>44577</v>
      </c>
      <c r="G112" s="4">
        <v>1.0500000000000001E-2</v>
      </c>
      <c r="H112" s="4">
        <v>1539964</v>
      </c>
      <c r="I112" s="4">
        <f t="shared" si="7"/>
        <v>-0.88063104999999986</v>
      </c>
      <c r="M112" s="68">
        <v>1</v>
      </c>
      <c r="N112" s="14">
        <f t="shared" si="10"/>
        <v>0.91</v>
      </c>
      <c r="O112" s="14">
        <f t="shared" si="10"/>
        <v>74</v>
      </c>
      <c r="P112" s="14">
        <f t="shared" si="10"/>
        <v>260</v>
      </c>
      <c r="Q112" s="14">
        <f t="shared" si="10"/>
        <v>31498</v>
      </c>
      <c r="R112" s="14">
        <f t="shared" si="10"/>
        <v>7.7000000000000002E-3</v>
      </c>
      <c r="S112" s="14">
        <f t="shared" si="10"/>
        <v>1120117</v>
      </c>
      <c r="EP112" s="68">
        <f t="shared" si="9"/>
        <v>2</v>
      </c>
    </row>
    <row r="113" spans="2:146">
      <c r="B113" s="4">
        <v>3</v>
      </c>
      <c r="C113" s="4">
        <v>1.1200000000000001</v>
      </c>
      <c r="D113" s="4">
        <v>55</v>
      </c>
      <c r="E113" s="4">
        <v>207</v>
      </c>
      <c r="F113" s="4">
        <v>45378</v>
      </c>
      <c r="G113" s="4">
        <v>1.09E-2</v>
      </c>
      <c r="H113" s="4">
        <v>1568208</v>
      </c>
      <c r="I113" s="4">
        <f t="shared" si="7"/>
        <v>-0.36398308999999962</v>
      </c>
      <c r="M113" s="68">
        <v>1</v>
      </c>
      <c r="N113" s="14">
        <f t="shared" ref="N113:S128" si="11">C101</f>
        <v>0.93</v>
      </c>
      <c r="O113" s="14">
        <f t="shared" si="11"/>
        <v>74</v>
      </c>
      <c r="P113" s="14">
        <f t="shared" si="11"/>
        <v>268</v>
      </c>
      <c r="Q113" s="14">
        <f t="shared" si="11"/>
        <v>15940</v>
      </c>
      <c r="R113" s="14">
        <f t="shared" si="11"/>
        <v>7.7000000000000002E-3</v>
      </c>
      <c r="S113" s="14">
        <f t="shared" si="11"/>
        <v>1134005</v>
      </c>
      <c r="EP113" s="68">
        <f t="shared" si="9"/>
        <v>1</v>
      </c>
    </row>
    <row r="114" spans="2:146">
      <c r="B114" s="4">
        <v>0</v>
      </c>
      <c r="C114" s="4">
        <v>1.1200000000000001</v>
      </c>
      <c r="D114" s="4">
        <v>59</v>
      </c>
      <c r="E114" s="4">
        <v>210</v>
      </c>
      <c r="F114" s="4">
        <v>33560</v>
      </c>
      <c r="G114" s="4">
        <v>1.0999999999999999E-2</v>
      </c>
      <c r="H114" s="4">
        <v>1604322</v>
      </c>
      <c r="I114" s="4">
        <f t="shared" si="7"/>
        <v>-0.52142510000000186</v>
      </c>
      <c r="M114" s="68">
        <v>1</v>
      </c>
      <c r="N114" s="14">
        <f t="shared" si="11"/>
        <v>0.95</v>
      </c>
      <c r="O114" s="14">
        <f t="shared" si="11"/>
        <v>73</v>
      </c>
      <c r="P114" s="14">
        <f t="shared" si="11"/>
        <v>277</v>
      </c>
      <c r="Q114" s="14">
        <f t="shared" si="11"/>
        <v>39435</v>
      </c>
      <c r="R114" s="14">
        <f t="shared" si="11"/>
        <v>8.0000000000000002E-3</v>
      </c>
      <c r="S114" s="14">
        <f t="shared" si="11"/>
        <v>1160784</v>
      </c>
      <c r="EP114" s="68">
        <f t="shared" si="9"/>
        <v>1</v>
      </c>
    </row>
    <row r="115" spans="2:146">
      <c r="B115" s="4">
        <v>0</v>
      </c>
      <c r="C115" s="4">
        <v>1.1200000000000001</v>
      </c>
      <c r="D115" s="4">
        <v>58</v>
      </c>
      <c r="E115" s="4">
        <v>220</v>
      </c>
      <c r="F115" s="4">
        <v>16152</v>
      </c>
      <c r="G115" s="4">
        <v>1.1299999999999999E-2</v>
      </c>
      <c r="H115" s="4">
        <v>1638859</v>
      </c>
      <c r="I115" s="4">
        <f t="shared" si="7"/>
        <v>6.2348869999999224E-2</v>
      </c>
      <c r="M115" s="68">
        <v>1</v>
      </c>
      <c r="N115" s="14">
        <f t="shared" si="11"/>
        <v>0.97</v>
      </c>
      <c r="O115" s="14">
        <f t="shared" si="11"/>
        <v>71</v>
      </c>
      <c r="P115" s="14">
        <f t="shared" si="11"/>
        <v>257</v>
      </c>
      <c r="Q115" s="14">
        <f t="shared" si="11"/>
        <v>41873</v>
      </c>
      <c r="R115" s="14">
        <f t="shared" si="11"/>
        <v>8.3999999999999995E-3</v>
      </c>
      <c r="S115" s="14">
        <f t="shared" si="11"/>
        <v>1180469</v>
      </c>
      <c r="EP115" s="68">
        <f t="shared" si="9"/>
        <v>1</v>
      </c>
    </row>
    <row r="116" spans="2:146">
      <c r="B116" s="4">
        <v>1</v>
      </c>
      <c r="C116" s="4">
        <v>1.1100000000000001</v>
      </c>
      <c r="D116" s="4">
        <v>57</v>
      </c>
      <c r="E116" s="4">
        <v>239</v>
      </c>
      <c r="F116" s="4">
        <v>42680</v>
      </c>
      <c r="G116" s="4">
        <v>1.15E-2</v>
      </c>
      <c r="H116" s="4">
        <v>1701479</v>
      </c>
      <c r="I116" s="4">
        <f t="shared" si="7"/>
        <v>0.79850684999999721</v>
      </c>
      <c r="M116" s="68">
        <v>1</v>
      </c>
      <c r="N116" s="14">
        <f t="shared" si="11"/>
        <v>1</v>
      </c>
      <c r="O116" s="14">
        <f t="shared" si="11"/>
        <v>71</v>
      </c>
      <c r="P116" s="14">
        <f t="shared" si="11"/>
        <v>248</v>
      </c>
      <c r="Q116" s="14">
        <f t="shared" si="11"/>
        <v>43813</v>
      </c>
      <c r="R116" s="14">
        <f t="shared" si="11"/>
        <v>8.8999999999999999E-3</v>
      </c>
      <c r="S116" s="14">
        <f t="shared" si="11"/>
        <v>1196536</v>
      </c>
      <c r="EP116" s="68">
        <f t="shared" si="9"/>
        <v>4</v>
      </c>
    </row>
    <row r="117" spans="2:146">
      <c r="B117" s="4">
        <v>3</v>
      </c>
      <c r="C117" s="4">
        <v>1.1200000000000001</v>
      </c>
      <c r="D117" s="4">
        <v>52</v>
      </c>
      <c r="E117" s="4">
        <v>237</v>
      </c>
      <c r="F117" s="4">
        <v>43590</v>
      </c>
      <c r="G117" s="4">
        <v>1.14E-2</v>
      </c>
      <c r="H117" s="4">
        <v>1725903</v>
      </c>
      <c r="I117" s="4">
        <f t="shared" si="7"/>
        <v>1.033506860000001</v>
      </c>
      <c r="M117" s="68">
        <v>1</v>
      </c>
      <c r="N117" s="14">
        <f t="shared" si="11"/>
        <v>1.02</v>
      </c>
      <c r="O117" s="14">
        <f t="shared" si="11"/>
        <v>70</v>
      </c>
      <c r="P117" s="14">
        <f t="shared" si="11"/>
        <v>244</v>
      </c>
      <c r="Q117" s="14">
        <f t="shared" si="11"/>
        <v>40249</v>
      </c>
      <c r="R117" s="14">
        <f t="shared" si="11"/>
        <v>9.4000000000000004E-3</v>
      </c>
      <c r="S117" s="14">
        <f t="shared" si="11"/>
        <v>1211653</v>
      </c>
      <c r="EP117" s="68">
        <f t="shared" si="9"/>
        <v>1</v>
      </c>
    </row>
    <row r="118" spans="2:146">
      <c r="B118" s="4">
        <v>1</v>
      </c>
      <c r="C118" s="4">
        <v>1.1299999999999999</v>
      </c>
      <c r="D118" s="4">
        <v>53</v>
      </c>
      <c r="E118" s="4">
        <v>233</v>
      </c>
      <c r="F118" s="4">
        <v>50409</v>
      </c>
      <c r="G118" s="4">
        <v>1.14E-2</v>
      </c>
      <c r="H118" s="4">
        <v>1745225</v>
      </c>
      <c r="I118" s="4">
        <f t="shared" si="7"/>
        <v>0.83276486000000283</v>
      </c>
      <c r="M118" s="68">
        <v>1</v>
      </c>
      <c r="N118" s="14">
        <f t="shared" si="11"/>
        <v>1.04</v>
      </c>
      <c r="O118" s="14">
        <f t="shared" si="11"/>
        <v>72</v>
      </c>
      <c r="P118" s="14">
        <f t="shared" si="11"/>
        <v>236</v>
      </c>
      <c r="Q118" s="14">
        <f t="shared" si="11"/>
        <v>46370</v>
      </c>
      <c r="R118" s="14">
        <f t="shared" si="11"/>
        <v>9.7999999999999997E-3</v>
      </c>
      <c r="S118" s="14">
        <f t="shared" si="11"/>
        <v>1231250</v>
      </c>
      <c r="EP118" s="68">
        <f t="shared" si="9"/>
        <v>0</v>
      </c>
    </row>
    <row r="119" spans="2:146">
      <c r="B119" s="4">
        <v>0</v>
      </c>
      <c r="C119" s="4">
        <v>1.1399999999999999</v>
      </c>
      <c r="D119" s="4">
        <v>53</v>
      </c>
      <c r="E119" s="4">
        <v>233</v>
      </c>
      <c r="F119" s="4">
        <v>53947</v>
      </c>
      <c r="G119" s="4">
        <v>1.15E-2</v>
      </c>
      <c r="H119" s="4">
        <v>1788676</v>
      </c>
      <c r="I119" s="4">
        <f t="shared" si="7"/>
        <v>0.89548085000000022</v>
      </c>
      <c r="M119" s="68">
        <v>1</v>
      </c>
      <c r="N119" s="14">
        <f t="shared" si="11"/>
        <v>1.05</v>
      </c>
      <c r="O119" s="14">
        <f t="shared" si="11"/>
        <v>71</v>
      </c>
      <c r="P119" s="14">
        <f t="shared" si="11"/>
        <v>223</v>
      </c>
      <c r="Q119" s="14">
        <f t="shared" si="11"/>
        <v>30962</v>
      </c>
      <c r="R119" s="14">
        <f t="shared" si="11"/>
        <v>0.01</v>
      </c>
      <c r="S119" s="14">
        <f t="shared" si="11"/>
        <v>1287442</v>
      </c>
      <c r="EP119" s="68">
        <f t="shared" si="9"/>
        <v>7</v>
      </c>
    </row>
    <row r="120" spans="2:146">
      <c r="B120" s="4">
        <v>1</v>
      </c>
      <c r="C120" s="4">
        <v>1.1599999999999999</v>
      </c>
      <c r="D120" s="4">
        <v>52</v>
      </c>
      <c r="E120" s="4">
        <v>246</v>
      </c>
      <c r="F120" s="4">
        <v>59275</v>
      </c>
      <c r="G120" s="4">
        <v>1.11E-2</v>
      </c>
      <c r="H120" s="4">
        <v>1845836</v>
      </c>
      <c r="I120" s="4">
        <f t="shared" si="7"/>
        <v>0.88026489000000119</v>
      </c>
      <c r="M120" s="68">
        <v>1</v>
      </c>
      <c r="N120" s="14">
        <f t="shared" si="11"/>
        <v>1.06</v>
      </c>
      <c r="O120" s="14">
        <f t="shared" si="11"/>
        <v>76</v>
      </c>
      <c r="P120" s="14">
        <f t="shared" si="11"/>
        <v>245</v>
      </c>
      <c r="Q120" s="14">
        <f t="shared" si="11"/>
        <v>15707</v>
      </c>
      <c r="R120" s="14">
        <f t="shared" si="11"/>
        <v>1.01E-2</v>
      </c>
      <c r="S120" s="14">
        <f t="shared" si="11"/>
        <v>1411270</v>
      </c>
      <c r="EP120" s="68">
        <f t="shared" si="9"/>
        <v>1</v>
      </c>
    </row>
    <row r="121" spans="2:146">
      <c r="B121" s="4">
        <v>0</v>
      </c>
      <c r="C121" s="4">
        <v>1.1599999999999999</v>
      </c>
      <c r="D121" s="4">
        <v>49</v>
      </c>
      <c r="E121" s="4">
        <v>244</v>
      </c>
      <c r="F121" s="4">
        <v>43319</v>
      </c>
      <c r="G121" s="4">
        <v>1.0999999999999999E-2</v>
      </c>
      <c r="H121" s="4">
        <v>1910212</v>
      </c>
      <c r="I121" s="4">
        <f t="shared" si="7"/>
        <v>0.98220689999999955</v>
      </c>
      <c r="M121" s="68">
        <v>1</v>
      </c>
      <c r="N121" s="14">
        <f t="shared" si="11"/>
        <v>1.07</v>
      </c>
      <c r="O121" s="14">
        <f t="shared" si="11"/>
        <v>72</v>
      </c>
      <c r="P121" s="14">
        <f t="shared" si="11"/>
        <v>246</v>
      </c>
      <c r="Q121" s="14">
        <f t="shared" si="11"/>
        <v>43293</v>
      </c>
      <c r="R121" s="14">
        <f t="shared" si="11"/>
        <v>1.01E-2</v>
      </c>
      <c r="S121" s="14">
        <f t="shared" si="11"/>
        <v>1469159</v>
      </c>
      <c r="EP121" s="68">
        <f t="shared" si="9"/>
        <v>2</v>
      </c>
    </row>
    <row r="122" spans="2:146">
      <c r="B122" s="4">
        <v>0</v>
      </c>
      <c r="C122" s="4">
        <v>1.1599999999999999</v>
      </c>
      <c r="D122" s="4">
        <v>54</v>
      </c>
      <c r="E122" s="4">
        <v>271</v>
      </c>
      <c r="F122" s="4">
        <v>20369</v>
      </c>
      <c r="G122" s="4">
        <v>1.0999999999999999E-2</v>
      </c>
      <c r="H122" s="4">
        <v>1949349</v>
      </c>
      <c r="I122" s="4">
        <f t="shared" si="7"/>
        <v>1.2305068999999982</v>
      </c>
      <c r="M122" s="68">
        <v>1</v>
      </c>
      <c r="N122" s="14">
        <f t="shared" si="11"/>
        <v>1.08</v>
      </c>
      <c r="O122" s="14">
        <f t="shared" si="11"/>
        <v>66</v>
      </c>
      <c r="P122" s="14">
        <f t="shared" si="11"/>
        <v>233</v>
      </c>
      <c r="Q122" s="14">
        <f t="shared" si="11"/>
        <v>41470</v>
      </c>
      <c r="R122" s="14">
        <f t="shared" si="11"/>
        <v>1.0500000000000001E-2</v>
      </c>
      <c r="S122" s="14">
        <f t="shared" si="11"/>
        <v>1489854</v>
      </c>
      <c r="EP122" s="68">
        <f t="shared" si="9"/>
        <v>2</v>
      </c>
    </row>
    <row r="123" spans="2:146">
      <c r="B123" s="4">
        <v>2</v>
      </c>
      <c r="C123" s="4">
        <v>1.1599999999999999</v>
      </c>
      <c r="D123" s="4">
        <v>52</v>
      </c>
      <c r="E123" s="4">
        <v>283</v>
      </c>
      <c r="F123" s="4">
        <v>49817</v>
      </c>
      <c r="G123" s="4">
        <v>1.1299999999999999E-2</v>
      </c>
      <c r="H123" s="4">
        <v>2054154</v>
      </c>
      <c r="I123" s="4">
        <f t="shared" si="7"/>
        <v>1.9414808699999995</v>
      </c>
      <c r="M123" s="68">
        <v>1</v>
      </c>
      <c r="N123" s="14">
        <f t="shared" si="11"/>
        <v>1.0900000000000001</v>
      </c>
      <c r="O123" s="14">
        <f t="shared" si="11"/>
        <v>56</v>
      </c>
      <c r="P123" s="14">
        <f t="shared" si="11"/>
        <v>211</v>
      </c>
      <c r="Q123" s="14">
        <f t="shared" si="11"/>
        <v>44399</v>
      </c>
      <c r="R123" s="14">
        <f t="shared" si="11"/>
        <v>1.06E-2</v>
      </c>
      <c r="S123" s="14">
        <f t="shared" si="11"/>
        <v>1513415</v>
      </c>
      <c r="EP123" s="68">
        <f t="shared" si="9"/>
        <v>2</v>
      </c>
    </row>
    <row r="124" spans="2:146">
      <c r="M124" s="68">
        <v>1</v>
      </c>
      <c r="N124" s="14">
        <f t="shared" si="11"/>
        <v>1.1000000000000001</v>
      </c>
      <c r="O124" s="14">
        <f t="shared" si="11"/>
        <v>58</v>
      </c>
      <c r="P124" s="14">
        <f t="shared" si="11"/>
        <v>208</v>
      </c>
      <c r="Q124" s="14">
        <f t="shared" si="11"/>
        <v>44577</v>
      </c>
      <c r="R124" s="14">
        <f t="shared" si="11"/>
        <v>1.0500000000000001E-2</v>
      </c>
      <c r="S124" s="14">
        <f t="shared" si="11"/>
        <v>1539964</v>
      </c>
      <c r="EP124" s="68">
        <f t="shared" si="9"/>
        <v>1</v>
      </c>
    </row>
    <row r="125" spans="2:146">
      <c r="M125" s="68">
        <v>1</v>
      </c>
      <c r="N125" s="14">
        <f t="shared" si="11"/>
        <v>1.1200000000000001</v>
      </c>
      <c r="O125" s="14">
        <f t="shared" si="11"/>
        <v>55</v>
      </c>
      <c r="P125" s="14">
        <f t="shared" si="11"/>
        <v>207</v>
      </c>
      <c r="Q125" s="14">
        <f t="shared" si="11"/>
        <v>45378</v>
      </c>
      <c r="R125" s="14">
        <f t="shared" si="11"/>
        <v>1.09E-2</v>
      </c>
      <c r="S125" s="14">
        <f t="shared" si="11"/>
        <v>1568208</v>
      </c>
      <c r="EP125" s="68">
        <f t="shared" si="9"/>
        <v>3</v>
      </c>
    </row>
    <row r="126" spans="2:146">
      <c r="M126" s="68">
        <v>1</v>
      </c>
      <c r="N126" s="14">
        <f t="shared" si="11"/>
        <v>1.1200000000000001</v>
      </c>
      <c r="O126" s="14">
        <f t="shared" si="11"/>
        <v>59</v>
      </c>
      <c r="P126" s="14">
        <f t="shared" si="11"/>
        <v>210</v>
      </c>
      <c r="Q126" s="14">
        <f t="shared" si="11"/>
        <v>33560</v>
      </c>
      <c r="R126" s="14">
        <f t="shared" si="11"/>
        <v>1.0999999999999999E-2</v>
      </c>
      <c r="S126" s="14">
        <f t="shared" si="11"/>
        <v>1604322</v>
      </c>
      <c r="EP126" s="68">
        <f t="shared" si="9"/>
        <v>0</v>
      </c>
    </row>
    <row r="127" spans="2:146">
      <c r="M127" s="68">
        <v>1</v>
      </c>
      <c r="N127" s="14">
        <f t="shared" si="11"/>
        <v>1.1200000000000001</v>
      </c>
      <c r="O127" s="14">
        <f t="shared" si="11"/>
        <v>58</v>
      </c>
      <c r="P127" s="14">
        <f t="shared" si="11"/>
        <v>220</v>
      </c>
      <c r="Q127" s="14">
        <f t="shared" si="11"/>
        <v>16152</v>
      </c>
      <c r="R127" s="14">
        <f t="shared" si="11"/>
        <v>1.1299999999999999E-2</v>
      </c>
      <c r="S127" s="14">
        <f t="shared" si="11"/>
        <v>1638859</v>
      </c>
      <c r="EP127" s="68">
        <f t="shared" si="9"/>
        <v>0</v>
      </c>
    </row>
    <row r="128" spans="2:146">
      <c r="M128" s="68">
        <v>1</v>
      </c>
      <c r="N128" s="14">
        <f t="shared" si="11"/>
        <v>1.1100000000000001</v>
      </c>
      <c r="O128" s="14">
        <f t="shared" si="11"/>
        <v>57</v>
      </c>
      <c r="P128" s="14">
        <f t="shared" si="11"/>
        <v>239</v>
      </c>
      <c r="Q128" s="14">
        <f t="shared" si="11"/>
        <v>42680</v>
      </c>
      <c r="R128" s="14">
        <f t="shared" si="11"/>
        <v>1.15E-2</v>
      </c>
      <c r="S128" s="14">
        <f t="shared" si="11"/>
        <v>1701479</v>
      </c>
      <c r="EP128" s="68">
        <f t="shared" si="9"/>
        <v>1</v>
      </c>
    </row>
    <row r="129" spans="3:146">
      <c r="M129" s="68">
        <v>1</v>
      </c>
      <c r="N129" s="14">
        <f t="shared" ref="N129:S135" si="12">C117</f>
        <v>1.1200000000000001</v>
      </c>
      <c r="O129" s="14">
        <f t="shared" si="12"/>
        <v>52</v>
      </c>
      <c r="P129" s="14">
        <f t="shared" si="12"/>
        <v>237</v>
      </c>
      <c r="Q129" s="14">
        <f t="shared" si="12"/>
        <v>43590</v>
      </c>
      <c r="R129" s="14">
        <f t="shared" si="12"/>
        <v>1.14E-2</v>
      </c>
      <c r="S129" s="14">
        <f t="shared" si="12"/>
        <v>1725903</v>
      </c>
      <c r="EP129" s="68">
        <f t="shared" si="9"/>
        <v>3</v>
      </c>
    </row>
    <row r="130" spans="3:146">
      <c r="M130" s="68">
        <v>1</v>
      </c>
      <c r="N130" s="14">
        <f t="shared" si="12"/>
        <v>1.1299999999999999</v>
      </c>
      <c r="O130" s="14">
        <f t="shared" si="12"/>
        <v>53</v>
      </c>
      <c r="P130" s="14">
        <f t="shared" si="12"/>
        <v>233</v>
      </c>
      <c r="Q130" s="14">
        <f t="shared" si="12"/>
        <v>50409</v>
      </c>
      <c r="R130" s="14">
        <f t="shared" si="12"/>
        <v>1.14E-2</v>
      </c>
      <c r="S130" s="14">
        <f t="shared" si="12"/>
        <v>1745225</v>
      </c>
      <c r="EP130" s="68">
        <f t="shared" si="9"/>
        <v>1</v>
      </c>
    </row>
    <row r="131" spans="3:146">
      <c r="M131" s="68">
        <v>1</v>
      </c>
      <c r="N131" s="14">
        <f t="shared" si="12"/>
        <v>1.1399999999999999</v>
      </c>
      <c r="O131" s="14">
        <f t="shared" si="12"/>
        <v>53</v>
      </c>
      <c r="P131" s="14">
        <f t="shared" si="12"/>
        <v>233</v>
      </c>
      <c r="Q131" s="14">
        <f t="shared" si="12"/>
        <v>53947</v>
      </c>
      <c r="R131" s="14">
        <f t="shared" si="12"/>
        <v>1.15E-2</v>
      </c>
      <c r="S131" s="14">
        <f t="shared" si="12"/>
        <v>1788676</v>
      </c>
      <c r="EP131" s="68">
        <f t="shared" si="9"/>
        <v>0</v>
      </c>
    </row>
    <row r="132" spans="3:146">
      <c r="M132" s="68">
        <v>1</v>
      </c>
      <c r="N132" s="14">
        <f t="shared" si="12"/>
        <v>1.1599999999999999</v>
      </c>
      <c r="O132" s="14">
        <f t="shared" si="12"/>
        <v>52</v>
      </c>
      <c r="P132" s="14">
        <f t="shared" si="12"/>
        <v>246</v>
      </c>
      <c r="Q132" s="14">
        <f t="shared" si="12"/>
        <v>59275</v>
      </c>
      <c r="R132" s="14">
        <f t="shared" si="12"/>
        <v>1.11E-2</v>
      </c>
      <c r="S132" s="14">
        <f t="shared" si="12"/>
        <v>1845836</v>
      </c>
      <c r="EP132" s="68">
        <f t="shared" si="9"/>
        <v>1</v>
      </c>
    </row>
    <row r="133" spans="3:146">
      <c r="M133" s="68">
        <v>1</v>
      </c>
      <c r="N133" s="14">
        <f t="shared" si="12"/>
        <v>1.1599999999999999</v>
      </c>
      <c r="O133" s="14">
        <f t="shared" si="12"/>
        <v>49</v>
      </c>
      <c r="P133" s="14">
        <f t="shared" si="12"/>
        <v>244</v>
      </c>
      <c r="Q133" s="14">
        <f t="shared" si="12"/>
        <v>43319</v>
      </c>
      <c r="R133" s="14">
        <f t="shared" si="12"/>
        <v>1.0999999999999999E-2</v>
      </c>
      <c r="S133" s="14">
        <f t="shared" si="12"/>
        <v>1910212</v>
      </c>
      <c r="EP133" s="68">
        <f t="shared" si="9"/>
        <v>0</v>
      </c>
    </row>
    <row r="134" spans="3:146">
      <c r="M134" s="68">
        <v>1</v>
      </c>
      <c r="N134" s="14">
        <f t="shared" si="12"/>
        <v>1.1599999999999999</v>
      </c>
      <c r="O134" s="14">
        <f t="shared" si="12"/>
        <v>54</v>
      </c>
      <c r="P134" s="14">
        <f t="shared" si="12"/>
        <v>271</v>
      </c>
      <c r="Q134" s="14">
        <f t="shared" si="12"/>
        <v>20369</v>
      </c>
      <c r="R134" s="14">
        <f t="shared" si="12"/>
        <v>1.0999999999999999E-2</v>
      </c>
      <c r="S134" s="14">
        <f t="shared" si="12"/>
        <v>1949349</v>
      </c>
      <c r="EP134" s="68">
        <f t="shared" si="9"/>
        <v>0</v>
      </c>
    </row>
    <row r="135" spans="3:146">
      <c r="M135" s="68">
        <v>1</v>
      </c>
      <c r="N135" s="14">
        <f t="shared" si="12"/>
        <v>1.1599999999999999</v>
      </c>
      <c r="O135" s="14">
        <f t="shared" si="12"/>
        <v>52</v>
      </c>
      <c r="P135" s="14">
        <f t="shared" si="12"/>
        <v>283</v>
      </c>
      <c r="Q135" s="14">
        <f t="shared" si="12"/>
        <v>49817</v>
      </c>
      <c r="R135" s="14">
        <f t="shared" si="12"/>
        <v>1.1299999999999999E-2</v>
      </c>
      <c r="S135" s="14">
        <f t="shared" si="12"/>
        <v>2054154</v>
      </c>
      <c r="EP135" s="68">
        <f t="shared" si="9"/>
        <v>2</v>
      </c>
    </row>
    <row r="140" spans="3:146">
      <c r="C140" s="68">
        <f t="array" ref="C140:I146">ROUND(MMULT(W72:EL78,M16:S135),4)</f>
        <v>120</v>
      </c>
      <c r="D140" s="68">
        <v>99.89</v>
      </c>
      <c r="E140" s="68">
        <v>33704</v>
      </c>
      <c r="F140" s="68">
        <v>183826</v>
      </c>
      <c r="G140" s="68">
        <v>4503206</v>
      </c>
      <c r="H140" s="68">
        <v>4.2930000000000001</v>
      </c>
      <c r="I140" s="68">
        <v>82225828</v>
      </c>
      <c r="N140" s="68">
        <f t="array" ref="N140:T146">MINVERSE(C140:I146)</f>
        <v>1.7104622040486324</v>
      </c>
      <c r="O140" s="68">
        <v>-1.5531790984940668</v>
      </c>
      <c r="P140" s="68">
        <v>-3.6559161837852534E-3</v>
      </c>
      <c r="Q140" s="68">
        <v>3.9649040815331962E-4</v>
      </c>
      <c r="R140" s="68">
        <v>-7.5655634239036213E-7</v>
      </c>
      <c r="S140" s="68">
        <v>-0.10965406696614433</v>
      </c>
      <c r="T140" s="68">
        <v>6.2061070661622337E-8</v>
      </c>
      <c r="Y140" s="68">
        <f t="array" ref="Y140:Y146">MMULT(W72:EL78,EP16:EP135)</f>
        <v>4543</v>
      </c>
      <c r="AG140" s="68">
        <f t="array" ref="AG140:AG146">MMULT(N140:T146,Y140:Y146)</f>
        <v>-7.703133210734066</v>
      </c>
    </row>
    <row r="141" spans="3:146">
      <c r="C141" s="68">
        <v>99.89</v>
      </c>
      <c r="D141" s="68">
        <v>88.893900000000002</v>
      </c>
      <c r="E141" s="68">
        <v>22146.89</v>
      </c>
      <c r="F141" s="68">
        <v>117452.48</v>
      </c>
      <c r="G141" s="68">
        <v>3909655.52</v>
      </c>
      <c r="H141" s="68">
        <v>2.8748999999999998</v>
      </c>
      <c r="I141" s="68">
        <v>78657825.980000004</v>
      </c>
      <c r="N141" s="68">
        <v>-1.5531790984940648</v>
      </c>
      <c r="O141" s="68">
        <v>1.6552006542783573</v>
      </c>
      <c r="P141" s="68">
        <v>2.6314796153226409E-3</v>
      </c>
      <c r="Q141" s="68">
        <v>-1.8725504221276103E-4</v>
      </c>
      <c r="R141" s="68">
        <v>-9.22655072401235E-7</v>
      </c>
      <c r="S141" s="68">
        <v>-3.3615005000880758</v>
      </c>
      <c r="T141" s="68">
        <v>-1.7804281152100701E-7</v>
      </c>
      <c r="Y141" s="68">
        <v>2777.5099999999979</v>
      </c>
      <c r="AG141" s="68">
        <v>-2.5741779130499651</v>
      </c>
    </row>
    <row r="142" spans="3:146">
      <c r="C142" s="68">
        <v>33704</v>
      </c>
      <c r="D142" s="68">
        <v>22146.89</v>
      </c>
      <c r="E142" s="68">
        <v>18548310</v>
      </c>
      <c r="F142" s="68">
        <v>113478976</v>
      </c>
      <c r="G142" s="68">
        <v>1149940618</v>
      </c>
      <c r="H142" s="68">
        <v>2599.5675999999999</v>
      </c>
      <c r="I142" s="68">
        <v>11624964557</v>
      </c>
      <c r="N142" s="68">
        <v>-3.6559161837852812E-3</v>
      </c>
      <c r="O142" s="68">
        <v>2.6314796153226704E-3</v>
      </c>
      <c r="P142" s="68">
        <v>1.3447872705781517E-5</v>
      </c>
      <c r="Q142" s="68">
        <v>-2.3006579814690392E-6</v>
      </c>
      <c r="R142" s="68">
        <v>3.8740796195511361E-9</v>
      </c>
      <c r="S142" s="68">
        <v>2.7610893426162079E-2</v>
      </c>
      <c r="T142" s="68">
        <v>1.1609188830260626E-10</v>
      </c>
      <c r="Y142" s="68">
        <v>3273427</v>
      </c>
      <c r="AG142" s="68">
        <v>-7.9375376948065374E-2</v>
      </c>
    </row>
    <row r="143" spans="3:146">
      <c r="C143" s="68">
        <v>183826</v>
      </c>
      <c r="D143" s="68">
        <v>117452.48</v>
      </c>
      <c r="E143" s="68">
        <v>113478976</v>
      </c>
      <c r="F143" s="68">
        <v>721892924</v>
      </c>
      <c r="G143" s="68">
        <v>6411756165</v>
      </c>
      <c r="H143" s="68">
        <v>16901.123500000002</v>
      </c>
      <c r="I143" s="68">
        <v>53937973737</v>
      </c>
      <c r="N143" s="68">
        <v>3.9649040815332526E-4</v>
      </c>
      <c r="O143" s="68">
        <v>-1.8725504221276721E-4</v>
      </c>
      <c r="P143" s="68">
        <v>-2.300657981469043E-6</v>
      </c>
      <c r="Q143" s="68">
        <v>5.1062060383920892E-7</v>
      </c>
      <c r="R143" s="68">
        <v>-8.4314266142209884E-10</v>
      </c>
      <c r="S143" s="68">
        <v>-8.8650677727217953E-3</v>
      </c>
      <c r="T143" s="68">
        <v>-4.0660317651199301E-11</v>
      </c>
      <c r="Y143" s="68">
        <v>21757452</v>
      </c>
      <c r="AA143" s="67"/>
      <c r="AG143" s="68">
        <v>2.3916650519839336E-2</v>
      </c>
    </row>
    <row r="144" spans="3:146">
      <c r="C144" s="68">
        <v>4503206</v>
      </c>
      <c r="D144" s="68">
        <v>3909655.52</v>
      </c>
      <c r="E144" s="68">
        <v>1149940618</v>
      </c>
      <c r="F144" s="68">
        <v>6411756165</v>
      </c>
      <c r="G144" s="68">
        <v>207752370780</v>
      </c>
      <c r="H144" s="68">
        <v>154729.97150000001</v>
      </c>
      <c r="I144" s="68">
        <v>3317078082135</v>
      </c>
      <c r="N144" s="68">
        <v>-7.5655634239036171E-7</v>
      </c>
      <c r="O144" s="68">
        <v>-9.2265507240123363E-7</v>
      </c>
      <c r="P144" s="68">
        <v>3.8740796195511262E-9</v>
      </c>
      <c r="Q144" s="68">
        <v>-8.4314266142209801E-10</v>
      </c>
      <c r="R144" s="68">
        <v>3.1587176050139956E-11</v>
      </c>
      <c r="S144" s="68">
        <v>1.2156472595932694E-5</v>
      </c>
      <c r="T144" s="68">
        <v>1.5735982718039006E-13</v>
      </c>
      <c r="Y144" s="68">
        <v>163490686</v>
      </c>
      <c r="AG144" s="68">
        <v>3.8357441648927078E-5</v>
      </c>
    </row>
    <row r="145" spans="1:137">
      <c r="C145" s="68">
        <v>4.2930000000000001</v>
      </c>
      <c r="D145" s="68">
        <v>2.8748999999999998</v>
      </c>
      <c r="E145" s="68">
        <v>2599.5675999999999</v>
      </c>
      <c r="F145" s="68">
        <v>16901.123500000002</v>
      </c>
      <c r="G145" s="68">
        <v>154729.97150000001</v>
      </c>
      <c r="H145" s="68">
        <v>0.40899999999999997</v>
      </c>
      <c r="I145" s="68">
        <v>1398601.5220000001</v>
      </c>
      <c r="N145" s="68">
        <v>-0.10965406696620228</v>
      </c>
      <c r="O145" s="68">
        <v>-3.3615005000880043</v>
      </c>
      <c r="P145" s="68">
        <v>2.7610893426162152E-2</v>
      </c>
      <c r="Q145" s="68">
        <v>-8.8650677727218023E-3</v>
      </c>
      <c r="R145" s="68">
        <v>1.2156472595932676E-5</v>
      </c>
      <c r="S145" s="68">
        <v>209.57514003671596</v>
      </c>
      <c r="T145" s="68">
        <v>1.1373797638409086E-6</v>
      </c>
      <c r="Y145" s="68">
        <v>525.69680000000039</v>
      </c>
      <c r="AG145" s="68">
        <v>884.57985252007461</v>
      </c>
    </row>
    <row r="146" spans="1:137">
      <c r="C146" s="68">
        <v>82225828</v>
      </c>
      <c r="D146" s="68">
        <v>78657825.980000004</v>
      </c>
      <c r="E146" s="68">
        <v>11624964557</v>
      </c>
      <c r="F146" s="68">
        <v>53937973737</v>
      </c>
      <c r="G146" s="68">
        <v>3317078082135</v>
      </c>
      <c r="H146" s="68">
        <v>1398601.5220000001</v>
      </c>
      <c r="I146" s="68">
        <v>85439162458898</v>
      </c>
      <c r="N146" s="68">
        <v>6.2061070661622734E-8</v>
      </c>
      <c r="O146" s="68">
        <v>-1.7804281152100746E-7</v>
      </c>
      <c r="P146" s="68">
        <v>1.1609188830260783E-10</v>
      </c>
      <c r="Q146" s="68">
        <v>-4.0660317651199754E-11</v>
      </c>
      <c r="R146" s="68">
        <v>1.5735982718039109E-13</v>
      </c>
      <c r="S146" s="68">
        <v>1.1373797638409158E-6</v>
      </c>
      <c r="T146" s="68">
        <v>1.0103437898552161E-13</v>
      </c>
      <c r="Y146" s="68">
        <v>930148005</v>
      </c>
      <c r="AG146" s="68">
        <v>4.018610183343876E-7</v>
      </c>
    </row>
    <row r="152" spans="1:137" ht="20.25">
      <c r="B152" s="83" t="str">
        <f>"𝑦 ̂="&amp;ROUND(AG140,4)&amp;"+"&amp;ROUND(AG141,4)&amp;"X1"&amp;"+"&amp;ROUND(AG142,4)&amp;"X2"&amp;"+"&amp;ROUND(AG143,4)&amp;"X3"&amp;"+"&amp;ROUND(AG144,4)&amp;"X4"&amp;"+"&amp;ROUND(AG145,4)&amp;"X5"&amp;"+"&amp;ROUND(AG146,4)&amp;"X6"</f>
        <v>𝑦 ̂=-7,7031+-2,5742X1+-0,0794X2+0,0239X3+0X4+884,5799X5+0X6</v>
      </c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</row>
    <row r="153" spans="1:137" ht="13.5" thickBot="1"/>
    <row r="154" spans="1:137" ht="18">
      <c r="A154" s="39" t="s">
        <v>81</v>
      </c>
      <c r="B154" s="41"/>
      <c r="C154" s="41"/>
      <c r="D154" s="41"/>
      <c r="E154" s="41"/>
      <c r="F154" s="42"/>
      <c r="N154" s="2" t="s">
        <v>10</v>
      </c>
      <c r="P154" s="55" t="s">
        <v>72</v>
      </c>
      <c r="Q154" s="52">
        <f t="array" ref="Q154:EF154">TRANSPOSE(N155:N274)</f>
        <v>275</v>
      </c>
      <c r="R154" s="53">
        <v>260</v>
      </c>
      <c r="S154" s="53">
        <v>240</v>
      </c>
      <c r="T154" s="53">
        <v>225</v>
      </c>
      <c r="U154" s="53">
        <v>258</v>
      </c>
      <c r="V154" s="53">
        <v>214</v>
      </c>
      <c r="W154" s="53">
        <v>204</v>
      </c>
      <c r="X154" s="53">
        <v>196</v>
      </c>
      <c r="Y154" s="53">
        <v>203</v>
      </c>
      <c r="Z154" s="53">
        <v>161</v>
      </c>
      <c r="AA154" s="53">
        <v>167</v>
      </c>
      <c r="AB154" s="53">
        <v>149</v>
      </c>
      <c r="AC154" s="53">
        <v>149</v>
      </c>
      <c r="AD154" s="53">
        <v>138</v>
      </c>
      <c r="AE154" s="53">
        <v>90</v>
      </c>
      <c r="AF154" s="53">
        <v>111</v>
      </c>
      <c r="AG154" s="53">
        <v>127</v>
      </c>
      <c r="AH154" s="53">
        <v>105</v>
      </c>
      <c r="AI154" s="53">
        <v>67</v>
      </c>
      <c r="AJ154" s="53">
        <v>76</v>
      </c>
      <c r="AK154" s="53">
        <v>65</v>
      </c>
      <c r="AL154" s="53">
        <v>61</v>
      </c>
      <c r="AM154" s="53">
        <v>63</v>
      </c>
      <c r="AN154" s="53">
        <v>50</v>
      </c>
      <c r="AO154" s="53">
        <v>49</v>
      </c>
      <c r="AP154" s="53">
        <v>58</v>
      </c>
      <c r="AQ154" s="53">
        <v>33</v>
      </c>
      <c r="AR154" s="53">
        <v>41</v>
      </c>
      <c r="AS154" s="53">
        <v>34</v>
      </c>
      <c r="AT154" s="53">
        <v>38</v>
      </c>
      <c r="AU154" s="53">
        <v>41</v>
      </c>
      <c r="AV154" s="53">
        <v>28</v>
      </c>
      <c r="AW154" s="53">
        <v>28</v>
      </c>
      <c r="AX154" s="53">
        <v>26</v>
      </c>
      <c r="AY154" s="53">
        <v>28</v>
      </c>
      <c r="AZ154" s="53">
        <v>25</v>
      </c>
      <c r="BA154" s="53">
        <v>30</v>
      </c>
      <c r="BB154" s="53">
        <v>22</v>
      </c>
      <c r="BC154" s="53">
        <v>18</v>
      </c>
      <c r="BD154" s="53">
        <v>15</v>
      </c>
      <c r="BE154" s="53">
        <v>19</v>
      </c>
      <c r="BF154" s="53">
        <v>15</v>
      </c>
      <c r="BG154" s="53">
        <v>10</v>
      </c>
      <c r="BH154" s="53">
        <v>13</v>
      </c>
      <c r="BI154" s="53">
        <v>15</v>
      </c>
      <c r="BJ154" s="53">
        <v>21</v>
      </c>
      <c r="BK154" s="53">
        <v>11</v>
      </c>
      <c r="BL154" s="53">
        <v>8</v>
      </c>
      <c r="BM154" s="53">
        <v>6</v>
      </c>
      <c r="BN154" s="53">
        <v>16</v>
      </c>
      <c r="BO154" s="53">
        <v>10</v>
      </c>
      <c r="BP154" s="53">
        <v>11</v>
      </c>
      <c r="BQ154" s="53">
        <v>9</v>
      </c>
      <c r="BR154" s="53">
        <v>5</v>
      </c>
      <c r="BS154" s="53">
        <v>8</v>
      </c>
      <c r="BT154" s="53">
        <v>10</v>
      </c>
      <c r="BU154" s="53">
        <v>6</v>
      </c>
      <c r="BV154" s="53">
        <v>2</v>
      </c>
      <c r="BW154" s="53">
        <v>3</v>
      </c>
      <c r="BX154" s="53">
        <v>11</v>
      </c>
      <c r="BY154" s="53">
        <v>9</v>
      </c>
      <c r="BZ154" s="53">
        <v>7</v>
      </c>
      <c r="CA154" s="53">
        <v>4</v>
      </c>
      <c r="CB154" s="53">
        <v>6</v>
      </c>
      <c r="CC154" s="53">
        <v>2</v>
      </c>
      <c r="CD154" s="53">
        <v>3</v>
      </c>
      <c r="CE154" s="53">
        <v>9</v>
      </c>
      <c r="CF154" s="53">
        <v>5</v>
      </c>
      <c r="CG154" s="53">
        <v>6</v>
      </c>
      <c r="CH154" s="53">
        <v>6</v>
      </c>
      <c r="CI154" s="53">
        <v>2</v>
      </c>
      <c r="CJ154" s="53">
        <v>5</v>
      </c>
      <c r="CK154" s="53">
        <v>8</v>
      </c>
      <c r="CL154" s="53">
        <v>2</v>
      </c>
      <c r="CM154" s="53">
        <v>4</v>
      </c>
      <c r="CN154" s="53">
        <v>5</v>
      </c>
      <c r="CO154" s="53">
        <v>3</v>
      </c>
      <c r="CP154" s="53">
        <v>1</v>
      </c>
      <c r="CQ154" s="53">
        <v>5</v>
      </c>
      <c r="CR154" s="53">
        <v>1</v>
      </c>
      <c r="CS154" s="53">
        <v>4</v>
      </c>
      <c r="CT154" s="53">
        <v>1</v>
      </c>
      <c r="CU154" s="53">
        <v>2</v>
      </c>
      <c r="CV154" s="53">
        <v>6</v>
      </c>
      <c r="CW154" s="53">
        <v>0</v>
      </c>
      <c r="CX154" s="53">
        <v>5</v>
      </c>
      <c r="CY154" s="53">
        <v>3</v>
      </c>
      <c r="CZ154" s="53">
        <v>1</v>
      </c>
      <c r="DA154" s="53">
        <v>0</v>
      </c>
      <c r="DB154" s="53">
        <v>2</v>
      </c>
      <c r="DC154" s="53">
        <v>1</v>
      </c>
      <c r="DD154" s="53">
        <v>0</v>
      </c>
      <c r="DE154" s="53">
        <v>4</v>
      </c>
      <c r="DF154" s="53">
        <v>2</v>
      </c>
      <c r="DG154" s="53">
        <v>5</v>
      </c>
      <c r="DH154" s="53">
        <v>1</v>
      </c>
      <c r="DI154" s="53">
        <v>2</v>
      </c>
      <c r="DJ154" s="53">
        <v>1</v>
      </c>
      <c r="DK154" s="53">
        <v>1</v>
      </c>
      <c r="DL154" s="53">
        <v>1</v>
      </c>
      <c r="DM154" s="53">
        <v>4</v>
      </c>
      <c r="DN154" s="53">
        <v>1</v>
      </c>
      <c r="DO154" s="53">
        <v>0</v>
      </c>
      <c r="DP154" s="53">
        <v>7</v>
      </c>
      <c r="DQ154" s="53">
        <v>1</v>
      </c>
      <c r="DR154" s="53">
        <v>2</v>
      </c>
      <c r="DS154" s="53">
        <v>2</v>
      </c>
      <c r="DT154" s="53">
        <v>2</v>
      </c>
      <c r="DU154" s="53">
        <v>1</v>
      </c>
      <c r="DV154" s="53">
        <v>3</v>
      </c>
      <c r="DW154" s="53">
        <v>0</v>
      </c>
      <c r="DX154" s="53">
        <v>0</v>
      </c>
      <c r="DY154" s="53">
        <v>1</v>
      </c>
      <c r="DZ154" s="53">
        <v>3</v>
      </c>
      <c r="EA154" s="53">
        <v>1</v>
      </c>
      <c r="EB154" s="53">
        <v>0</v>
      </c>
      <c r="EC154" s="53">
        <v>1</v>
      </c>
      <c r="ED154" s="53">
        <v>0</v>
      </c>
      <c r="EE154" s="53">
        <v>0</v>
      </c>
      <c r="EF154" s="54">
        <v>2</v>
      </c>
      <c r="EG154" s="51"/>
    </row>
    <row r="155" spans="1:137">
      <c r="A155" s="43"/>
      <c r="B155" s="14"/>
      <c r="C155" s="14"/>
      <c r="D155" s="14">
        <f>Q157-(T157^2*Q160)</f>
        <v>524434.59166666667</v>
      </c>
      <c r="E155" s="14"/>
      <c r="F155" s="45"/>
      <c r="N155" s="4">
        <f>B4</f>
        <v>275</v>
      </c>
    </row>
    <row r="156" spans="1:137">
      <c r="A156" s="43"/>
      <c r="B156" s="14"/>
      <c r="C156" s="14"/>
      <c r="D156" s="14"/>
      <c r="E156" s="14"/>
      <c r="F156" s="45"/>
      <c r="N156" s="4">
        <f t="shared" ref="N156:N219" si="13">B5</f>
        <v>260</v>
      </c>
    </row>
    <row r="157" spans="1:137" ht="18">
      <c r="A157" s="43"/>
      <c r="B157" s="14"/>
      <c r="C157" s="14"/>
      <c r="D157" s="14">
        <f>Q164-(Q160*T157^2)</f>
        <v>518065.99873138557</v>
      </c>
      <c r="E157" s="14"/>
      <c r="F157" s="45"/>
      <c r="N157" s="4">
        <f t="shared" si="13"/>
        <v>240</v>
      </c>
      <c r="P157" s="67" t="s">
        <v>73</v>
      </c>
      <c r="Q157" s="68">
        <f>MMULT(Q154:EF154,N155:N274)</f>
        <v>696425</v>
      </c>
      <c r="S157" s="68" t="s">
        <v>74</v>
      </c>
      <c r="T157" s="68">
        <f>AVERAGE(N155:N274)</f>
        <v>37.858333333333334</v>
      </c>
    </row>
    <row r="158" spans="1:137">
      <c r="A158" s="43"/>
      <c r="B158" s="14"/>
      <c r="C158" s="14"/>
      <c r="D158" s="14"/>
      <c r="E158" s="14"/>
      <c r="F158" s="45"/>
      <c r="N158" s="4">
        <f t="shared" si="13"/>
        <v>225</v>
      </c>
    </row>
    <row r="159" spans="1:137">
      <c r="A159" s="43"/>
      <c r="B159" s="14"/>
      <c r="C159" s="14"/>
      <c r="D159" s="14">
        <f>Q157-Q164</f>
        <v>6368.5929352811072</v>
      </c>
      <c r="E159" s="14"/>
      <c r="F159" s="45"/>
      <c r="N159" s="4">
        <f t="shared" si="13"/>
        <v>258</v>
      </c>
    </row>
    <row r="160" spans="1:137">
      <c r="A160" s="43"/>
      <c r="B160" s="14"/>
      <c r="C160" s="14"/>
      <c r="D160" s="14"/>
      <c r="E160" s="14"/>
      <c r="F160" s="45"/>
      <c r="N160" s="4">
        <f t="shared" si="13"/>
        <v>214</v>
      </c>
      <c r="P160" s="67" t="s">
        <v>19</v>
      </c>
      <c r="Q160" s="68">
        <v>120</v>
      </c>
    </row>
    <row r="161" spans="1:23">
      <c r="A161" s="43"/>
      <c r="B161" s="14"/>
      <c r="C161" s="14"/>
      <c r="D161" s="14"/>
      <c r="E161" s="14"/>
      <c r="F161" s="45"/>
      <c r="N161" s="4">
        <f t="shared" si="13"/>
        <v>204</v>
      </c>
    </row>
    <row r="162" spans="1:23">
      <c r="A162" s="43"/>
      <c r="B162" s="14"/>
      <c r="C162" s="14"/>
      <c r="D162" s="14">
        <f>D157/6</f>
        <v>86344.333121897595</v>
      </c>
      <c r="E162" s="14"/>
      <c r="F162" s="45"/>
      <c r="N162" s="4">
        <f t="shared" si="13"/>
        <v>196</v>
      </c>
      <c r="Q162" s="68">
        <f t="array" ref="Q162:W162">TRANSPOSE(AG140:AG146)</f>
        <v>-7.703133210734066</v>
      </c>
      <c r="R162" s="68">
        <v>-2.5741779130499651</v>
      </c>
      <c r="S162" s="68">
        <v>-7.9375376948065374E-2</v>
      </c>
      <c r="T162" s="68">
        <v>2.3916650519839336E-2</v>
      </c>
      <c r="U162" s="68">
        <v>3.8357441648927078E-5</v>
      </c>
      <c r="V162" s="68">
        <v>884.57985252007461</v>
      </c>
      <c r="W162" s="68">
        <v>4.018610183343876E-7</v>
      </c>
    </row>
    <row r="163" spans="1:23">
      <c r="A163" s="43"/>
      <c r="B163" s="14"/>
      <c r="C163" s="14"/>
      <c r="D163" s="14"/>
      <c r="E163" s="14"/>
      <c r="F163" s="45"/>
      <c r="N163" s="4">
        <f t="shared" si="13"/>
        <v>203</v>
      </c>
    </row>
    <row r="164" spans="1:23">
      <c r="A164" s="43"/>
      <c r="B164" s="14"/>
      <c r="C164" s="14"/>
      <c r="D164" s="14"/>
      <c r="E164" s="14"/>
      <c r="F164" s="45"/>
      <c r="N164" s="4">
        <f t="shared" si="13"/>
        <v>161</v>
      </c>
      <c r="Q164" s="68">
        <f>MMULT(Q162:W162,Y140:Y146)</f>
        <v>690056.40706471889</v>
      </c>
    </row>
    <row r="165" spans="1:23">
      <c r="A165" s="43"/>
      <c r="B165" s="14"/>
      <c r="C165" s="14"/>
      <c r="D165" s="14">
        <f>D159/(Q160-(B174+1))</f>
        <v>56.35922951576201</v>
      </c>
      <c r="E165" s="14"/>
      <c r="F165" s="45"/>
      <c r="N165" s="4">
        <f t="shared" si="13"/>
        <v>167</v>
      </c>
    </row>
    <row r="166" spans="1:23">
      <c r="A166" s="43"/>
      <c r="B166" s="14"/>
      <c r="C166" s="14"/>
      <c r="D166" s="14"/>
      <c r="E166" s="14"/>
      <c r="F166" s="45"/>
      <c r="N166" s="4">
        <f t="shared" si="13"/>
        <v>149</v>
      </c>
    </row>
    <row r="167" spans="1:23">
      <c r="A167" s="43"/>
      <c r="B167" s="14"/>
      <c r="C167" s="14"/>
      <c r="D167" s="14"/>
      <c r="E167" s="14"/>
      <c r="F167" s="45"/>
      <c r="N167" s="4">
        <f t="shared" si="13"/>
        <v>149</v>
      </c>
    </row>
    <row r="168" spans="1:23">
      <c r="A168" s="43"/>
      <c r="B168" s="14"/>
      <c r="C168" s="14"/>
      <c r="D168" s="14">
        <f>D162/D165</f>
        <v>1532.03537138047</v>
      </c>
      <c r="E168" s="14"/>
      <c r="F168" s="45"/>
      <c r="N168" s="4">
        <f t="shared" si="13"/>
        <v>138</v>
      </c>
    </row>
    <row r="169" spans="1:23">
      <c r="A169" s="43"/>
      <c r="B169" s="14"/>
      <c r="C169" s="14"/>
      <c r="D169" s="14"/>
      <c r="E169" s="14"/>
      <c r="F169" s="45"/>
      <c r="N169" s="4">
        <f t="shared" si="13"/>
        <v>90</v>
      </c>
    </row>
    <row r="170" spans="1:23">
      <c r="A170" s="43"/>
      <c r="B170" s="14"/>
      <c r="C170" s="14"/>
      <c r="D170" s="14"/>
      <c r="E170" s="14"/>
      <c r="F170" s="45"/>
      <c r="N170" s="4">
        <f t="shared" si="13"/>
        <v>111</v>
      </c>
    </row>
    <row r="171" spans="1:23">
      <c r="A171" s="43"/>
      <c r="B171" s="14"/>
      <c r="C171" s="14"/>
      <c r="D171" s="14"/>
      <c r="E171" s="14"/>
      <c r="F171" s="45"/>
      <c r="N171" s="4">
        <f t="shared" si="13"/>
        <v>127</v>
      </c>
    </row>
    <row r="172" spans="1:23" ht="13.5" thickBot="1">
      <c r="A172" s="43" t="s">
        <v>44</v>
      </c>
      <c r="B172" s="14"/>
      <c r="C172" s="14"/>
      <c r="D172" s="14"/>
      <c r="E172" s="14"/>
      <c r="F172" s="45"/>
      <c r="N172" s="4">
        <f t="shared" si="13"/>
        <v>105</v>
      </c>
    </row>
    <row r="173" spans="1:23">
      <c r="A173" s="56"/>
      <c r="B173" s="20" t="s">
        <v>48</v>
      </c>
      <c r="C173" s="20" t="s">
        <v>49</v>
      </c>
      <c r="D173" s="20" t="s">
        <v>50</v>
      </c>
      <c r="E173" s="20" t="s">
        <v>51</v>
      </c>
      <c r="F173" s="57"/>
      <c r="N173" s="4">
        <f t="shared" si="13"/>
        <v>67</v>
      </c>
    </row>
    <row r="174" spans="1:23">
      <c r="A174" s="58" t="s">
        <v>45</v>
      </c>
      <c r="B174" s="18">
        <v>6</v>
      </c>
      <c r="C174" s="18">
        <f>D157</f>
        <v>518065.99873138557</v>
      </c>
      <c r="D174" s="18">
        <f>D162</f>
        <v>86344.333121897595</v>
      </c>
      <c r="E174" s="18">
        <f>D174/D175</f>
        <v>1532.03537138047</v>
      </c>
      <c r="F174" s="59"/>
      <c r="N174" s="4">
        <f t="shared" si="13"/>
        <v>76</v>
      </c>
    </row>
    <row r="175" spans="1:23">
      <c r="A175" s="58" t="s">
        <v>46</v>
      </c>
      <c r="B175" s="18">
        <v>113</v>
      </c>
      <c r="C175" s="18">
        <f>D159</f>
        <v>6368.5929352811072</v>
      </c>
      <c r="D175" s="18">
        <f>D165</f>
        <v>56.35922951576201</v>
      </c>
      <c r="E175" s="18"/>
      <c r="F175" s="59"/>
      <c r="N175" s="4">
        <f t="shared" si="13"/>
        <v>65</v>
      </c>
    </row>
    <row r="176" spans="1:23" ht="13.5" thickBot="1">
      <c r="A176" s="60" t="s">
        <v>47</v>
      </c>
      <c r="B176" s="19">
        <v>119</v>
      </c>
      <c r="C176" s="19">
        <f>D155</f>
        <v>524434.59166666667</v>
      </c>
      <c r="D176" s="19"/>
      <c r="E176" s="19"/>
      <c r="F176" s="59"/>
      <c r="N176" s="4">
        <f t="shared" si="13"/>
        <v>61</v>
      </c>
    </row>
    <row r="177" spans="1:14" ht="13.5" thickBot="1">
      <c r="A177" s="47"/>
      <c r="B177" s="28"/>
      <c r="C177" s="28"/>
      <c r="D177" s="28"/>
      <c r="E177" s="28"/>
      <c r="F177" s="49"/>
      <c r="N177" s="4">
        <f t="shared" si="13"/>
        <v>63</v>
      </c>
    </row>
    <row r="178" spans="1:14" ht="13.5" thickBot="1">
      <c r="N178" s="4">
        <f t="shared" si="13"/>
        <v>50</v>
      </c>
    </row>
    <row r="179" spans="1:14">
      <c r="A179" s="39" t="s">
        <v>75</v>
      </c>
      <c r="B179" s="41"/>
      <c r="C179" s="41"/>
      <c r="D179" s="41"/>
      <c r="E179" s="41"/>
      <c r="F179" s="42"/>
      <c r="N179" s="4">
        <f t="shared" si="13"/>
        <v>49</v>
      </c>
    </row>
    <row r="180" spans="1:14">
      <c r="A180" s="43"/>
      <c r="B180" s="14"/>
      <c r="C180" s="14"/>
      <c r="D180" s="14"/>
      <c r="E180" s="14"/>
      <c r="F180" s="45"/>
      <c r="N180" s="4">
        <f t="shared" si="13"/>
        <v>58</v>
      </c>
    </row>
    <row r="181" spans="1:14">
      <c r="A181" s="43"/>
      <c r="B181" s="14"/>
      <c r="C181" s="14"/>
      <c r="D181" s="14"/>
      <c r="E181" s="14"/>
      <c r="F181" s="45"/>
      <c r="N181" s="4">
        <f t="shared" si="13"/>
        <v>33</v>
      </c>
    </row>
    <row r="182" spans="1:14">
      <c r="A182" s="43"/>
      <c r="B182" s="14"/>
      <c r="C182" s="14"/>
      <c r="D182" s="14"/>
      <c r="E182" s="14"/>
      <c r="F182" s="45"/>
      <c r="N182" s="4">
        <f t="shared" si="13"/>
        <v>41</v>
      </c>
    </row>
    <row r="183" spans="1:14">
      <c r="A183" s="43"/>
      <c r="B183" s="14"/>
      <c r="C183" s="14"/>
      <c r="D183" s="14"/>
      <c r="E183" s="14"/>
      <c r="F183" s="45"/>
      <c r="N183" s="4">
        <f t="shared" si="13"/>
        <v>34</v>
      </c>
    </row>
    <row r="184" spans="1:14">
      <c r="A184" s="43"/>
      <c r="B184" s="14"/>
      <c r="C184" s="14"/>
      <c r="D184" s="14"/>
      <c r="E184" s="14"/>
      <c r="F184" s="45"/>
      <c r="N184" s="4">
        <f t="shared" si="13"/>
        <v>38</v>
      </c>
    </row>
    <row r="185" spans="1:14">
      <c r="A185" s="43"/>
      <c r="B185" s="14"/>
      <c r="C185" s="14"/>
      <c r="D185" s="14"/>
      <c r="E185" s="14"/>
      <c r="F185" s="45"/>
      <c r="N185" s="4">
        <f t="shared" si="13"/>
        <v>41</v>
      </c>
    </row>
    <row r="186" spans="1:14">
      <c r="A186" s="43"/>
      <c r="B186" s="14"/>
      <c r="C186" s="14"/>
      <c r="D186" s="14"/>
      <c r="E186" s="14"/>
      <c r="F186" s="45"/>
      <c r="N186" s="4">
        <f t="shared" si="13"/>
        <v>28</v>
      </c>
    </row>
    <row r="187" spans="1:14">
      <c r="A187" s="43"/>
      <c r="B187" s="14"/>
      <c r="C187" s="14"/>
      <c r="D187" s="14"/>
      <c r="E187" s="14"/>
      <c r="F187" s="45"/>
      <c r="N187" s="4">
        <f t="shared" si="13"/>
        <v>28</v>
      </c>
    </row>
    <row r="188" spans="1:14">
      <c r="A188" s="43"/>
      <c r="B188" s="14"/>
      <c r="C188" s="14"/>
      <c r="D188" s="14"/>
      <c r="E188" s="14"/>
      <c r="F188" s="45"/>
      <c r="N188" s="4">
        <f t="shared" si="13"/>
        <v>26</v>
      </c>
    </row>
    <row r="189" spans="1:14">
      <c r="A189" s="43"/>
      <c r="B189" s="29" t="s">
        <v>76</v>
      </c>
      <c r="C189" s="14">
        <f>D157/D155</f>
        <v>0.98785626837649754</v>
      </c>
      <c r="D189" s="14"/>
      <c r="E189" s="14"/>
      <c r="F189" s="45"/>
      <c r="N189" s="4">
        <f t="shared" si="13"/>
        <v>28</v>
      </c>
    </row>
    <row r="190" spans="1:14">
      <c r="A190" s="43"/>
      <c r="B190" s="29" t="s">
        <v>77</v>
      </c>
      <c r="C190" s="14">
        <f>1  -         (       (D159/(Q160-B174+1))     /           (D155/(Q160-1))              )</f>
        <v>0.98743387771133218</v>
      </c>
      <c r="D190" s="14"/>
      <c r="E190" s="14"/>
      <c r="F190" s="45"/>
      <c r="N190" s="4">
        <f t="shared" si="13"/>
        <v>25</v>
      </c>
    </row>
    <row r="191" spans="1:14" ht="13.5" thickBot="1">
      <c r="A191" s="47"/>
      <c r="B191" s="28"/>
      <c r="C191" s="28"/>
      <c r="D191" s="28"/>
      <c r="E191" s="28"/>
      <c r="F191" s="49"/>
      <c r="N191" s="4">
        <f t="shared" si="13"/>
        <v>30</v>
      </c>
    </row>
    <row r="192" spans="1:14" ht="13.5" thickBot="1">
      <c r="N192" s="4">
        <f t="shared" si="13"/>
        <v>22</v>
      </c>
    </row>
    <row r="193" spans="1:37">
      <c r="A193" s="39" t="s">
        <v>79</v>
      </c>
      <c r="B193" s="41"/>
      <c r="C193" s="41"/>
      <c r="D193" s="41"/>
      <c r="E193" s="41"/>
      <c r="F193" s="41"/>
      <c r="G193" s="41"/>
      <c r="H193" s="41"/>
      <c r="I193" s="41"/>
      <c r="J193" s="42"/>
      <c r="N193" s="4">
        <f t="shared" si="13"/>
        <v>18</v>
      </c>
    </row>
    <row r="194" spans="1:37">
      <c r="A194" s="43"/>
      <c r="B194" s="14"/>
      <c r="C194" s="14"/>
      <c r="D194" s="14"/>
      <c r="E194" s="14"/>
      <c r="F194" s="14"/>
      <c r="G194" s="14"/>
      <c r="H194" s="14"/>
      <c r="I194" s="14"/>
      <c r="J194" s="45"/>
      <c r="N194" s="4">
        <f t="shared" si="13"/>
        <v>15</v>
      </c>
    </row>
    <row r="195" spans="1:37">
      <c r="A195" s="46" t="s">
        <v>80</v>
      </c>
      <c r="B195" s="14">
        <v>0.05</v>
      </c>
      <c r="C195" s="14"/>
      <c r="D195" s="14"/>
      <c r="E195" s="14"/>
      <c r="F195" s="14"/>
      <c r="G195" s="14"/>
      <c r="H195" s="14"/>
      <c r="I195" s="14"/>
      <c r="J195" s="45"/>
      <c r="N195" s="4">
        <f t="shared" si="13"/>
        <v>19</v>
      </c>
    </row>
    <row r="196" spans="1:37">
      <c r="A196" s="43"/>
      <c r="B196" s="14"/>
      <c r="C196" s="14"/>
      <c r="D196" s="14"/>
      <c r="E196" s="14"/>
      <c r="F196" s="14"/>
      <c r="G196" s="14"/>
      <c r="H196" s="14"/>
      <c r="I196" s="14"/>
      <c r="J196" s="45"/>
      <c r="N196" s="4">
        <f t="shared" si="13"/>
        <v>15</v>
      </c>
    </row>
    <row r="197" spans="1:37">
      <c r="A197" s="43" t="str">
        <f>"f(0,05);("&amp;B174&amp;","&amp;B175&amp;")="</f>
        <v>f(0,05);(6,113)=</v>
      </c>
      <c r="B197" s="29"/>
      <c r="C197" s="14">
        <f>ROUND(_xlfn.F.INV.RT(B195,B174,B175),4)</f>
        <v>2.1798000000000002</v>
      </c>
      <c r="D197" s="14"/>
      <c r="E197" s="14"/>
      <c r="F197" s="14"/>
      <c r="G197" s="14"/>
      <c r="H197" s="14"/>
      <c r="I197" s="14"/>
      <c r="J197" s="45"/>
      <c r="N197" s="4">
        <f t="shared" si="13"/>
        <v>10</v>
      </c>
    </row>
    <row r="198" spans="1:37">
      <c r="A198" s="43"/>
      <c r="B198" s="14"/>
      <c r="C198" s="14"/>
      <c r="D198" s="14"/>
      <c r="E198" s="14"/>
      <c r="F198" s="14"/>
      <c r="G198" s="14"/>
      <c r="H198" s="14"/>
      <c r="I198" s="14"/>
      <c r="J198" s="45"/>
      <c r="N198" s="4">
        <f t="shared" si="13"/>
        <v>13</v>
      </c>
    </row>
    <row r="199" spans="1:37">
      <c r="A199" s="43" t="str">
        <f>IF(C197&lt;=E174, "R: Como  " &amp;ROUND(C197,4) &amp;" &lt; "&amp;ROUND(E174,4)&amp;" o modelo é significativo","R: Como  " &amp;ROUND(C197,4) &amp;" &gt; "&amp;ROUND(E174,4)&amp;" o modelo não é significativo" )</f>
        <v>R: Como  2,1798 &lt; 1532,0354 o modelo é significativo</v>
      </c>
      <c r="B199" s="14"/>
      <c r="C199" s="14"/>
      <c r="D199" s="14"/>
      <c r="E199" s="14"/>
      <c r="F199" s="14"/>
      <c r="G199" s="14"/>
      <c r="H199" s="14"/>
      <c r="I199" s="14"/>
      <c r="J199" s="45"/>
      <c r="N199" s="4">
        <f t="shared" si="13"/>
        <v>15</v>
      </c>
    </row>
    <row r="200" spans="1:37" ht="13.5" thickBot="1">
      <c r="A200" s="47"/>
      <c r="B200" s="28"/>
      <c r="C200" s="28"/>
      <c r="D200" s="28"/>
      <c r="E200" s="28"/>
      <c r="F200" s="28"/>
      <c r="G200" s="28"/>
      <c r="H200" s="28"/>
      <c r="I200" s="28"/>
      <c r="J200" s="49"/>
      <c r="N200" s="4">
        <f t="shared" si="13"/>
        <v>21</v>
      </c>
    </row>
    <row r="201" spans="1:37">
      <c r="N201" s="4">
        <f t="shared" si="13"/>
        <v>11</v>
      </c>
    </row>
    <row r="202" spans="1:37">
      <c r="N202" s="4">
        <f t="shared" si="13"/>
        <v>8</v>
      </c>
    </row>
    <row r="203" spans="1:37" ht="13.5" thickBot="1">
      <c r="N203" s="4">
        <f t="shared" si="13"/>
        <v>6</v>
      </c>
    </row>
    <row r="204" spans="1:37">
      <c r="A204" s="21" t="s">
        <v>78</v>
      </c>
      <c r="B204" s="39"/>
      <c r="C204" s="40" t="s">
        <v>61</v>
      </c>
      <c r="D204" s="41">
        <v>0.95</v>
      </c>
      <c r="E204" s="41"/>
      <c r="F204" s="41"/>
      <c r="G204" s="41"/>
      <c r="H204" s="41"/>
      <c r="I204" s="41"/>
      <c r="J204" s="41"/>
      <c r="K204" s="42"/>
      <c r="N204" s="4">
        <f t="shared" si="13"/>
        <v>16</v>
      </c>
      <c r="P204" s="39"/>
      <c r="Q204" s="40" t="s">
        <v>61</v>
      </c>
      <c r="R204" s="41">
        <v>0.9</v>
      </c>
      <c r="S204" s="41"/>
      <c r="T204" s="41"/>
      <c r="U204" s="41"/>
      <c r="V204" s="41"/>
      <c r="W204" s="41"/>
      <c r="X204" s="41"/>
      <c r="Y204" s="42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</row>
    <row r="205" spans="1:37">
      <c r="A205" s="68" t="s">
        <v>82</v>
      </c>
      <c r="B205" s="43"/>
      <c r="C205" s="44" t="s">
        <v>62</v>
      </c>
      <c r="D205" s="14">
        <f>1-D204</f>
        <v>5.0000000000000044E-2</v>
      </c>
      <c r="E205" s="14"/>
      <c r="F205" s="14"/>
      <c r="G205" s="29" t="str">
        <f>A208&amp;"="</f>
        <v>β0=</v>
      </c>
      <c r="H205" s="14">
        <f>AG140</f>
        <v>-7.703133210734066</v>
      </c>
      <c r="I205" s="14"/>
      <c r="J205" s="14"/>
      <c r="K205" s="45"/>
      <c r="N205" s="4">
        <f t="shared" si="13"/>
        <v>10</v>
      </c>
      <c r="P205" s="43"/>
      <c r="Q205" s="44" t="s">
        <v>62</v>
      </c>
      <c r="R205" s="14">
        <f>1-R204</f>
        <v>9.9999999999999978E-2</v>
      </c>
      <c r="S205" s="14"/>
      <c r="T205" s="14"/>
      <c r="U205" s="29" t="str">
        <f>A208&amp;"="</f>
        <v>β0=</v>
      </c>
      <c r="V205" s="14">
        <f>H205</f>
        <v>-7.703133210734066</v>
      </c>
      <c r="W205" s="14"/>
      <c r="X205" s="14"/>
      <c r="Y205" s="45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</row>
    <row r="206" spans="1:37">
      <c r="A206" s="21" t="s">
        <v>83</v>
      </c>
      <c r="B206" s="43"/>
      <c r="C206" s="14"/>
      <c r="D206" s="14">
        <f>ROUND(_xlfn.T.INV(1-D205/2,120-(6+1)),2)</f>
        <v>1.98</v>
      </c>
      <c r="E206" s="14"/>
      <c r="F206" s="14"/>
      <c r="G206" s="14"/>
      <c r="H206" s="14"/>
      <c r="I206" s="14"/>
      <c r="J206" s="14"/>
      <c r="K206" s="45"/>
      <c r="N206" s="4">
        <f t="shared" si="13"/>
        <v>11</v>
      </c>
      <c r="P206" s="43"/>
      <c r="Q206" s="14"/>
      <c r="R206" s="14">
        <f>ROUND(_xlfn.T.INV(1-R205/2,120-(6+1)),2)</f>
        <v>1.66</v>
      </c>
      <c r="S206" s="14"/>
      <c r="T206" s="14"/>
      <c r="U206" s="14"/>
      <c r="V206" s="14"/>
      <c r="W206" s="14"/>
      <c r="X206" s="14"/>
      <c r="Y206" s="45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</row>
    <row r="207" spans="1:37">
      <c r="A207" s="68" t="s">
        <v>45</v>
      </c>
      <c r="B207" s="43"/>
      <c r="C207" s="14"/>
      <c r="D207" s="14"/>
      <c r="E207" s="14"/>
      <c r="F207" s="14"/>
      <c r="G207" s="14"/>
      <c r="H207" s="14"/>
      <c r="I207" s="14"/>
      <c r="J207" s="14"/>
      <c r="K207" s="45"/>
      <c r="N207" s="4">
        <f t="shared" si="13"/>
        <v>9</v>
      </c>
      <c r="P207" s="43"/>
      <c r="Q207" s="14"/>
      <c r="R207" s="14"/>
      <c r="S207" s="14"/>
      <c r="T207" s="14"/>
      <c r="U207" s="14"/>
      <c r="V207" s="14"/>
      <c r="W207" s="14"/>
      <c r="X207" s="14"/>
      <c r="Y207" s="45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</row>
    <row r="208" spans="1:37">
      <c r="A208" s="21" t="s">
        <v>84</v>
      </c>
      <c r="B208" s="43"/>
      <c r="C208" s="14"/>
      <c r="D208" s="14">
        <f>D165</f>
        <v>56.35922951576201</v>
      </c>
      <c r="E208" s="14"/>
      <c r="F208" s="14"/>
      <c r="G208" s="14"/>
      <c r="H208" s="14"/>
      <c r="I208" s="14"/>
      <c r="J208" s="14"/>
      <c r="K208" s="45"/>
      <c r="N208" s="4">
        <f t="shared" si="13"/>
        <v>5</v>
      </c>
      <c r="P208" s="43"/>
      <c r="Q208" s="14"/>
      <c r="R208" s="14">
        <f>D165</f>
        <v>56.35922951576201</v>
      </c>
      <c r="S208" s="14"/>
      <c r="T208" s="14"/>
      <c r="U208" s="14"/>
      <c r="V208" s="14"/>
      <c r="W208" s="14"/>
      <c r="X208" s="14"/>
      <c r="Y208" s="45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</row>
    <row r="209" spans="1:37">
      <c r="B209" s="43"/>
      <c r="C209" s="14"/>
      <c r="D209" s="14"/>
      <c r="E209" s="14"/>
      <c r="F209" s="14"/>
      <c r="G209" s="14"/>
      <c r="H209" s="14"/>
      <c r="I209" s="14"/>
      <c r="J209" s="14"/>
      <c r="K209" s="45"/>
      <c r="N209" s="4">
        <f t="shared" si="13"/>
        <v>8</v>
      </c>
      <c r="P209" s="43"/>
      <c r="Q209" s="14"/>
      <c r="R209" s="14"/>
      <c r="S209" s="14"/>
      <c r="T209" s="14"/>
      <c r="U209" s="14"/>
      <c r="V209" s="14"/>
      <c r="W209" s="14"/>
      <c r="X209" s="14"/>
      <c r="Y209" s="45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</row>
    <row r="210" spans="1:37">
      <c r="B210" s="43"/>
      <c r="C210" s="14"/>
      <c r="D210" s="14">
        <f>N140</f>
        <v>1.7104622040486324</v>
      </c>
      <c r="E210" s="14"/>
      <c r="F210" s="14"/>
      <c r="G210" s="14"/>
      <c r="H210" s="14"/>
      <c r="I210" s="14"/>
      <c r="J210" s="14"/>
      <c r="K210" s="45"/>
      <c r="N210" s="4">
        <f t="shared" si="13"/>
        <v>10</v>
      </c>
      <c r="P210" s="43"/>
      <c r="Q210" s="14"/>
      <c r="R210" s="14">
        <f>N140</f>
        <v>1.7104622040486324</v>
      </c>
      <c r="S210" s="14"/>
      <c r="T210" s="14"/>
      <c r="U210" s="14"/>
      <c r="V210" s="14"/>
      <c r="W210" s="14"/>
      <c r="X210" s="14"/>
      <c r="Y210" s="45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</row>
    <row r="211" spans="1:37">
      <c r="B211" s="43"/>
      <c r="C211" s="14"/>
      <c r="D211" s="14"/>
      <c r="E211" s="14"/>
      <c r="F211" s="29" t="s">
        <v>67</v>
      </c>
      <c r="G211" s="14">
        <f>H205-D212</f>
        <v>-27.143500010821594</v>
      </c>
      <c r="H211" s="14"/>
      <c r="I211" s="14"/>
      <c r="J211" s="14"/>
      <c r="K211" s="45"/>
      <c r="N211" s="4">
        <f t="shared" si="13"/>
        <v>6</v>
      </c>
      <c r="P211" s="43"/>
      <c r="Q211" s="14"/>
      <c r="R211" s="14"/>
      <c r="S211" s="14"/>
      <c r="T211" s="29" t="s">
        <v>67</v>
      </c>
      <c r="U211" s="14">
        <f>V205-R212</f>
        <v>-24.001622548181185</v>
      </c>
      <c r="V211" s="14"/>
      <c r="W211" s="14"/>
      <c r="X211" s="14"/>
      <c r="Y211" s="45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</row>
    <row r="212" spans="1:37" ht="13.5" thickBot="1">
      <c r="B212" s="47"/>
      <c r="C212" s="48" t="s">
        <v>60</v>
      </c>
      <c r="D212" s="28">
        <f>D206*SQRT(D208*D210)</f>
        <v>19.440366800087528</v>
      </c>
      <c r="E212" s="28"/>
      <c r="F212" s="48" t="s">
        <v>68</v>
      </c>
      <c r="G212" s="28">
        <f>H205+D212</f>
        <v>11.737233589353462</v>
      </c>
      <c r="H212" s="28"/>
      <c r="I212" s="28"/>
      <c r="J212" s="28"/>
      <c r="K212" s="49"/>
      <c r="N212" s="4">
        <f t="shared" si="13"/>
        <v>2</v>
      </c>
      <c r="P212" s="47"/>
      <c r="Q212" s="48" t="s">
        <v>60</v>
      </c>
      <c r="R212" s="28">
        <f>R206*SQRT(R208*R210)</f>
        <v>16.298489337447119</v>
      </c>
      <c r="S212" s="28"/>
      <c r="T212" s="48" t="s">
        <v>68</v>
      </c>
      <c r="U212" s="28">
        <f>V205+R212</f>
        <v>8.5953561267130532</v>
      </c>
      <c r="V212" s="28"/>
      <c r="W212" s="28"/>
      <c r="X212" s="28"/>
      <c r="Y212" s="49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</row>
    <row r="213" spans="1:37" ht="13.5" thickBot="1">
      <c r="N213" s="4">
        <f t="shared" si="13"/>
        <v>3</v>
      </c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</row>
    <row r="214" spans="1:37">
      <c r="A214" s="21" t="s">
        <v>78</v>
      </c>
      <c r="B214" s="39"/>
      <c r="C214" s="40" t="s">
        <v>61</v>
      </c>
      <c r="D214" s="41">
        <v>0.95</v>
      </c>
      <c r="E214" s="41"/>
      <c r="F214" s="41"/>
      <c r="G214" s="41"/>
      <c r="H214" s="41"/>
      <c r="I214" s="41"/>
      <c r="J214" s="41"/>
      <c r="K214" s="42"/>
      <c r="N214" s="4">
        <f t="shared" si="13"/>
        <v>11</v>
      </c>
      <c r="P214" s="39"/>
      <c r="Q214" s="40" t="s">
        <v>61</v>
      </c>
      <c r="R214" s="41">
        <v>0.9</v>
      </c>
      <c r="S214" s="41"/>
      <c r="T214" s="41"/>
      <c r="U214" s="41"/>
      <c r="V214" s="41"/>
      <c r="W214" s="41"/>
      <c r="X214" s="41"/>
      <c r="Y214" s="42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</row>
    <row r="215" spans="1:37">
      <c r="A215" s="68" t="s">
        <v>82</v>
      </c>
      <c r="B215" s="43"/>
      <c r="C215" s="44" t="s">
        <v>62</v>
      </c>
      <c r="D215" s="14">
        <f>1-D214</f>
        <v>5.0000000000000044E-2</v>
      </c>
      <c r="E215" s="14"/>
      <c r="F215" s="14"/>
      <c r="G215" s="29" t="str">
        <f>A218&amp;"="</f>
        <v>β1=</v>
      </c>
      <c r="H215" s="14">
        <f>AG141</f>
        <v>-2.5741779130499651</v>
      </c>
      <c r="I215" s="14"/>
      <c r="J215" s="14"/>
      <c r="K215" s="45"/>
      <c r="N215" s="4">
        <f t="shared" si="13"/>
        <v>9</v>
      </c>
      <c r="P215" s="43"/>
      <c r="Q215" s="44" t="s">
        <v>62</v>
      </c>
      <c r="R215" s="14">
        <f>1-R214</f>
        <v>9.9999999999999978E-2</v>
      </c>
      <c r="S215" s="14"/>
      <c r="T215" s="14"/>
      <c r="U215" s="29" t="str">
        <f>A218&amp;"="</f>
        <v>β1=</v>
      </c>
      <c r="V215" s="14">
        <f>H215</f>
        <v>-2.5741779130499651</v>
      </c>
      <c r="W215" s="14"/>
      <c r="X215" s="14"/>
      <c r="Y215" s="45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</row>
    <row r="216" spans="1:37">
      <c r="A216" s="21" t="s">
        <v>83</v>
      </c>
      <c r="B216" s="43"/>
      <c r="C216" s="14"/>
      <c r="D216" s="14">
        <f>ROUND(_xlfn.T.INV(1-D215/2,120-(6+1)),2)</f>
        <v>1.98</v>
      </c>
      <c r="E216" s="14"/>
      <c r="F216" s="14"/>
      <c r="G216" s="14"/>
      <c r="H216" s="14"/>
      <c r="I216" s="14"/>
      <c r="J216" s="14"/>
      <c r="K216" s="45"/>
      <c r="N216" s="4">
        <f t="shared" si="13"/>
        <v>7</v>
      </c>
      <c r="P216" s="43"/>
      <c r="Q216" s="14"/>
      <c r="R216" s="14">
        <f>ROUND(_xlfn.T.INV(1-R215/2,120-(6+1)),2)</f>
        <v>1.66</v>
      </c>
      <c r="S216" s="14"/>
      <c r="T216" s="14"/>
      <c r="U216" s="14"/>
      <c r="V216" s="14"/>
      <c r="W216" s="14"/>
      <c r="X216" s="14"/>
      <c r="Y216" s="45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</row>
    <row r="217" spans="1:37">
      <c r="A217" s="68" t="s">
        <v>45</v>
      </c>
      <c r="B217" s="43"/>
      <c r="C217" s="14"/>
      <c r="D217" s="14"/>
      <c r="E217" s="14"/>
      <c r="F217" s="14"/>
      <c r="G217" s="14"/>
      <c r="H217" s="14"/>
      <c r="I217" s="14"/>
      <c r="J217" s="14"/>
      <c r="K217" s="45"/>
      <c r="N217" s="4">
        <f t="shared" si="13"/>
        <v>4</v>
      </c>
      <c r="P217" s="43"/>
      <c r="Q217" s="14"/>
      <c r="R217" s="14"/>
      <c r="S217" s="14"/>
      <c r="T217" s="14"/>
      <c r="U217" s="14"/>
      <c r="V217" s="14"/>
      <c r="W217" s="14"/>
      <c r="X217" s="14"/>
      <c r="Y217" s="45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</row>
    <row r="218" spans="1:37">
      <c r="A218" s="21" t="s">
        <v>85</v>
      </c>
      <c r="B218" s="43"/>
      <c r="C218" s="14"/>
      <c r="D218" s="14">
        <f>D165</f>
        <v>56.35922951576201</v>
      </c>
      <c r="E218" s="14"/>
      <c r="F218" s="14"/>
      <c r="G218" s="14"/>
      <c r="H218" s="14"/>
      <c r="I218" s="14"/>
      <c r="J218" s="14"/>
      <c r="K218" s="45"/>
      <c r="N218" s="4">
        <f t="shared" si="13"/>
        <v>6</v>
      </c>
      <c r="P218" s="43"/>
      <c r="Q218" s="14"/>
      <c r="R218" s="14">
        <f>D165</f>
        <v>56.35922951576201</v>
      </c>
      <c r="S218" s="14"/>
      <c r="T218" s="14"/>
      <c r="U218" s="14"/>
      <c r="V218" s="14"/>
      <c r="W218" s="14"/>
      <c r="X218" s="14"/>
      <c r="Y218" s="45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</row>
    <row r="219" spans="1:37">
      <c r="B219" s="43"/>
      <c r="C219" s="14"/>
      <c r="D219" s="14"/>
      <c r="E219" s="14"/>
      <c r="F219" s="14"/>
      <c r="G219" s="14"/>
      <c r="H219" s="14"/>
      <c r="I219" s="14"/>
      <c r="J219" s="14"/>
      <c r="K219" s="45"/>
      <c r="N219" s="4">
        <f t="shared" si="13"/>
        <v>2</v>
      </c>
      <c r="P219" s="43"/>
      <c r="Q219" s="14"/>
      <c r="R219" s="14"/>
      <c r="S219" s="14"/>
      <c r="T219" s="14"/>
      <c r="U219" s="14"/>
      <c r="V219" s="14"/>
      <c r="W219" s="14"/>
      <c r="X219" s="14"/>
      <c r="Y219" s="45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</row>
    <row r="220" spans="1:37">
      <c r="B220" s="43"/>
      <c r="C220" s="14"/>
      <c r="D220" s="14">
        <f>O141</f>
        <v>1.6552006542783573</v>
      </c>
      <c r="E220" s="14"/>
      <c r="F220" s="14"/>
      <c r="G220" s="14"/>
      <c r="H220" s="14"/>
      <c r="I220" s="14"/>
      <c r="J220" s="14"/>
      <c r="K220" s="45"/>
      <c r="N220" s="4">
        <f t="shared" ref="N220:N274" si="14">B69</f>
        <v>3</v>
      </c>
      <c r="P220" s="43"/>
      <c r="Q220" s="14"/>
      <c r="R220" s="14">
        <f>O141</f>
        <v>1.6552006542783573</v>
      </c>
      <c r="S220" s="14"/>
      <c r="T220" s="14"/>
      <c r="U220" s="14"/>
      <c r="V220" s="14"/>
      <c r="W220" s="14"/>
      <c r="X220" s="14"/>
      <c r="Y220" s="45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</row>
    <row r="221" spans="1:37">
      <c r="B221" s="43"/>
      <c r="C221" s="14"/>
      <c r="D221" s="14"/>
      <c r="E221" s="14"/>
      <c r="F221" s="29" t="s">
        <v>67</v>
      </c>
      <c r="G221" s="14">
        <f>H215-D222</f>
        <v>-21.697927072782011</v>
      </c>
      <c r="H221" s="14"/>
      <c r="I221" s="14"/>
      <c r="J221" s="14"/>
      <c r="K221" s="45"/>
      <c r="N221" s="4">
        <f t="shared" si="14"/>
        <v>9</v>
      </c>
      <c r="P221" s="43"/>
      <c r="Q221" s="14"/>
      <c r="R221" s="14"/>
      <c r="S221" s="14"/>
      <c r="T221" s="29" t="s">
        <v>67</v>
      </c>
      <c r="U221" s="14">
        <f>V215-R222</f>
        <v>-18.607220137875821</v>
      </c>
      <c r="V221" s="14"/>
      <c r="W221" s="14"/>
      <c r="X221" s="14"/>
      <c r="Y221" s="45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</row>
    <row r="222" spans="1:37" ht="13.5" thickBot="1">
      <c r="B222" s="47"/>
      <c r="C222" s="48" t="s">
        <v>60</v>
      </c>
      <c r="D222" s="28">
        <f>D216*SQRT(D218*D220)</f>
        <v>19.123749159732046</v>
      </c>
      <c r="E222" s="28"/>
      <c r="F222" s="48" t="s">
        <v>68</v>
      </c>
      <c r="G222" s="28">
        <f>H215+D222</f>
        <v>16.549571246682081</v>
      </c>
      <c r="H222" s="28"/>
      <c r="I222" s="28"/>
      <c r="J222" s="28"/>
      <c r="K222" s="49"/>
      <c r="N222" s="4">
        <f t="shared" si="14"/>
        <v>5</v>
      </c>
      <c r="P222" s="47"/>
      <c r="Q222" s="48" t="s">
        <v>60</v>
      </c>
      <c r="R222" s="28">
        <f>R216*SQRT(R218*R220)</f>
        <v>16.033042224825856</v>
      </c>
      <c r="S222" s="28"/>
      <c r="T222" s="48" t="s">
        <v>68</v>
      </c>
      <c r="U222" s="28">
        <f>V215+R222</f>
        <v>13.458864311775891</v>
      </c>
      <c r="V222" s="28"/>
      <c r="W222" s="28"/>
      <c r="X222" s="28"/>
      <c r="Y222" s="49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</row>
    <row r="223" spans="1:37" ht="13.5" thickBot="1">
      <c r="N223" s="4">
        <f t="shared" si="14"/>
        <v>6</v>
      </c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</row>
    <row r="224" spans="1:37">
      <c r="A224" s="21" t="s">
        <v>78</v>
      </c>
      <c r="B224" s="39"/>
      <c r="C224" s="40" t="s">
        <v>61</v>
      </c>
      <c r="D224" s="41">
        <v>0.95</v>
      </c>
      <c r="E224" s="41"/>
      <c r="F224" s="41"/>
      <c r="G224" s="41"/>
      <c r="H224" s="41"/>
      <c r="I224" s="41"/>
      <c r="J224" s="41"/>
      <c r="K224" s="42"/>
      <c r="N224" s="4">
        <f t="shared" si="14"/>
        <v>6</v>
      </c>
      <c r="P224" s="39"/>
      <c r="Q224" s="40" t="s">
        <v>61</v>
      </c>
      <c r="R224" s="41">
        <v>0.9</v>
      </c>
      <c r="S224" s="41"/>
      <c r="T224" s="41"/>
      <c r="U224" s="41"/>
      <c r="V224" s="41"/>
      <c r="W224" s="41"/>
      <c r="X224" s="41"/>
      <c r="Y224" s="42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</row>
    <row r="225" spans="1:37">
      <c r="A225" s="68" t="s">
        <v>82</v>
      </c>
      <c r="B225" s="43"/>
      <c r="C225" s="44" t="s">
        <v>62</v>
      </c>
      <c r="D225" s="14">
        <f>1-D224</f>
        <v>5.0000000000000044E-2</v>
      </c>
      <c r="E225" s="14"/>
      <c r="F225" s="14"/>
      <c r="G225" s="29" t="str">
        <f>A228&amp;"="</f>
        <v>β2=</v>
      </c>
      <c r="H225" s="14">
        <f>AG142</f>
        <v>-7.9375376948065374E-2</v>
      </c>
      <c r="I225" s="14"/>
      <c r="J225" s="14"/>
      <c r="K225" s="45"/>
      <c r="N225" s="4">
        <f t="shared" si="14"/>
        <v>2</v>
      </c>
      <c r="P225" s="43"/>
      <c r="Q225" s="44" t="s">
        <v>62</v>
      </c>
      <c r="R225" s="14">
        <f>1-R224</f>
        <v>9.9999999999999978E-2</v>
      </c>
      <c r="S225" s="14"/>
      <c r="T225" s="14"/>
      <c r="U225" s="29" t="str">
        <f>A228&amp;"="</f>
        <v>β2=</v>
      </c>
      <c r="V225" s="14">
        <f>H225</f>
        <v>-7.9375376948065374E-2</v>
      </c>
      <c r="W225" s="14"/>
      <c r="X225" s="14"/>
      <c r="Y225" s="45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</row>
    <row r="226" spans="1:37">
      <c r="A226" s="21" t="s">
        <v>83</v>
      </c>
      <c r="B226" s="43"/>
      <c r="C226" s="14"/>
      <c r="D226" s="14">
        <f>ROUND(_xlfn.T.INV(1-D225/2,120-(6+1)),2)</f>
        <v>1.98</v>
      </c>
      <c r="E226" s="14"/>
      <c r="F226" s="14"/>
      <c r="G226" s="14"/>
      <c r="H226" s="14"/>
      <c r="I226" s="14"/>
      <c r="J226" s="14"/>
      <c r="K226" s="45"/>
      <c r="N226" s="4">
        <f t="shared" si="14"/>
        <v>5</v>
      </c>
      <c r="P226" s="43"/>
      <c r="Q226" s="14"/>
      <c r="R226" s="14">
        <f>ROUND(_xlfn.T.INV(1-R225/2,120-(6+1)),2)</f>
        <v>1.66</v>
      </c>
      <c r="S226" s="14"/>
      <c r="T226" s="14"/>
      <c r="U226" s="14"/>
      <c r="V226" s="14"/>
      <c r="W226" s="14"/>
      <c r="X226" s="14"/>
      <c r="Y226" s="45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</row>
    <row r="227" spans="1:37">
      <c r="A227" s="68" t="s">
        <v>45</v>
      </c>
      <c r="B227" s="43"/>
      <c r="C227" s="14"/>
      <c r="D227" s="14"/>
      <c r="E227" s="14"/>
      <c r="F227" s="14"/>
      <c r="G227" s="14"/>
      <c r="H227" s="14"/>
      <c r="I227" s="14"/>
      <c r="J227" s="14"/>
      <c r="K227" s="45"/>
      <c r="N227" s="4">
        <f t="shared" si="14"/>
        <v>8</v>
      </c>
      <c r="P227" s="43"/>
      <c r="Q227" s="14"/>
      <c r="R227" s="14"/>
      <c r="S227" s="14"/>
      <c r="T227" s="14"/>
      <c r="U227" s="14"/>
      <c r="V227" s="14"/>
      <c r="W227" s="14"/>
      <c r="X227" s="14"/>
      <c r="Y227" s="45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</row>
    <row r="228" spans="1:37">
      <c r="A228" s="21" t="s">
        <v>86</v>
      </c>
      <c r="B228" s="43"/>
      <c r="C228" s="14"/>
      <c r="D228" s="14">
        <f>D165</f>
        <v>56.35922951576201</v>
      </c>
      <c r="E228" s="14"/>
      <c r="F228" s="14"/>
      <c r="G228" s="14"/>
      <c r="H228" s="14"/>
      <c r="I228" s="14"/>
      <c r="J228" s="14"/>
      <c r="K228" s="45"/>
      <c r="N228" s="4">
        <f t="shared" si="14"/>
        <v>2</v>
      </c>
      <c r="P228" s="43"/>
      <c r="Q228" s="14"/>
      <c r="R228" s="14">
        <f>D165</f>
        <v>56.35922951576201</v>
      </c>
      <c r="S228" s="14"/>
      <c r="T228" s="14"/>
      <c r="U228" s="14"/>
      <c r="V228" s="14"/>
      <c r="W228" s="14"/>
      <c r="X228" s="14"/>
      <c r="Y228" s="45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</row>
    <row r="229" spans="1:37">
      <c r="B229" s="43"/>
      <c r="C229" s="14"/>
      <c r="D229" s="14"/>
      <c r="E229" s="14"/>
      <c r="F229" s="14"/>
      <c r="G229" s="14"/>
      <c r="H229" s="14"/>
      <c r="I229" s="14"/>
      <c r="J229" s="14"/>
      <c r="K229" s="45"/>
      <c r="N229" s="4">
        <f t="shared" si="14"/>
        <v>4</v>
      </c>
      <c r="P229" s="43"/>
      <c r="Q229" s="14"/>
      <c r="R229" s="14"/>
      <c r="S229" s="14"/>
      <c r="T229" s="14"/>
      <c r="U229" s="14"/>
      <c r="V229" s="14"/>
      <c r="W229" s="14"/>
      <c r="X229" s="14"/>
      <c r="Y229" s="45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</row>
    <row r="230" spans="1:37">
      <c r="B230" s="43"/>
      <c r="C230" s="14"/>
      <c r="D230" s="14">
        <f>P142</f>
        <v>1.3447872705781517E-5</v>
      </c>
      <c r="E230" s="14"/>
      <c r="F230" s="14"/>
      <c r="G230" s="14"/>
      <c r="H230" s="14"/>
      <c r="I230" s="14"/>
      <c r="J230" s="14"/>
      <c r="K230" s="45"/>
      <c r="N230" s="4">
        <f t="shared" si="14"/>
        <v>5</v>
      </c>
      <c r="P230" s="43"/>
      <c r="Q230" s="14"/>
      <c r="R230" s="14">
        <f>P142</f>
        <v>1.3447872705781517E-5</v>
      </c>
      <c r="S230" s="14"/>
      <c r="T230" s="14"/>
      <c r="U230" s="14"/>
      <c r="V230" s="14"/>
      <c r="W230" s="14"/>
      <c r="X230" s="14"/>
      <c r="Y230" s="45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</row>
    <row r="231" spans="1:37">
      <c r="B231" s="43"/>
      <c r="C231" s="14"/>
      <c r="D231" s="14"/>
      <c r="E231" s="14"/>
      <c r="F231" s="29" t="s">
        <v>67</v>
      </c>
      <c r="G231" s="14">
        <f>H225-D232</f>
        <v>-0.13388516691690847</v>
      </c>
      <c r="H231" s="14"/>
      <c r="I231" s="14"/>
      <c r="J231" s="14"/>
      <c r="K231" s="45"/>
      <c r="N231" s="4">
        <f t="shared" si="14"/>
        <v>3</v>
      </c>
      <c r="P231" s="43"/>
      <c r="Q231" s="14"/>
      <c r="R231" s="14"/>
      <c r="S231" s="14"/>
      <c r="T231" s="29" t="s">
        <v>67</v>
      </c>
      <c r="U231" s="14">
        <f>V225-R232</f>
        <v>-0.12507550389164088</v>
      </c>
      <c r="V231" s="14"/>
      <c r="W231" s="14"/>
      <c r="X231" s="14"/>
      <c r="Y231" s="45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</row>
    <row r="232" spans="1:37" ht="13.5" thickBot="1">
      <c r="B232" s="47"/>
      <c r="C232" s="48" t="s">
        <v>60</v>
      </c>
      <c r="D232" s="28">
        <f>D226*SQRT(D228*D230)</f>
        <v>5.4509789968843085E-2</v>
      </c>
      <c r="E232" s="28"/>
      <c r="F232" s="48" t="s">
        <v>68</v>
      </c>
      <c r="G232" s="28">
        <f>H225+D232</f>
        <v>-2.4865586979222289E-2</v>
      </c>
      <c r="H232" s="28"/>
      <c r="I232" s="28"/>
      <c r="J232" s="28"/>
      <c r="K232" s="49"/>
      <c r="N232" s="4">
        <f t="shared" si="14"/>
        <v>1</v>
      </c>
      <c r="P232" s="47"/>
      <c r="Q232" s="48" t="s">
        <v>60</v>
      </c>
      <c r="R232" s="28">
        <f>R226*SQRT(R228*R230)</f>
        <v>4.570012694357551E-2</v>
      </c>
      <c r="S232" s="28"/>
      <c r="T232" s="48" t="s">
        <v>68</v>
      </c>
      <c r="U232" s="28">
        <f>V225+R232</f>
        <v>-3.3675250004489864E-2</v>
      </c>
      <c r="V232" s="28"/>
      <c r="W232" s="28"/>
      <c r="X232" s="28"/>
      <c r="Y232" s="49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</row>
    <row r="233" spans="1:37" ht="13.5" thickBot="1">
      <c r="N233" s="4">
        <f t="shared" si="14"/>
        <v>5</v>
      </c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</row>
    <row r="234" spans="1:37">
      <c r="A234" s="21" t="s">
        <v>78</v>
      </c>
      <c r="B234" s="39"/>
      <c r="C234" s="40" t="s">
        <v>61</v>
      </c>
      <c r="D234" s="41">
        <v>0.95</v>
      </c>
      <c r="E234" s="41"/>
      <c r="F234" s="41"/>
      <c r="G234" s="41"/>
      <c r="H234" s="41"/>
      <c r="I234" s="41"/>
      <c r="J234" s="41"/>
      <c r="K234" s="42"/>
      <c r="N234" s="4">
        <f t="shared" si="14"/>
        <v>1</v>
      </c>
      <c r="P234" s="39"/>
      <c r="Q234" s="40" t="s">
        <v>61</v>
      </c>
      <c r="R234" s="41">
        <v>0.9</v>
      </c>
      <c r="S234" s="41"/>
      <c r="T234" s="41"/>
      <c r="U234" s="41"/>
      <c r="V234" s="41"/>
      <c r="W234" s="41"/>
      <c r="X234" s="41"/>
      <c r="Y234" s="42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</row>
    <row r="235" spans="1:37">
      <c r="A235" s="68" t="s">
        <v>82</v>
      </c>
      <c r="B235" s="43"/>
      <c r="C235" s="44" t="s">
        <v>62</v>
      </c>
      <c r="D235" s="14">
        <f>1-D234</f>
        <v>5.0000000000000044E-2</v>
      </c>
      <c r="E235" s="14"/>
      <c r="F235" s="14"/>
      <c r="G235" s="29" t="str">
        <f>A238&amp;"="</f>
        <v>β3=</v>
      </c>
      <c r="H235" s="14">
        <f>AG143</f>
        <v>2.3916650519839336E-2</v>
      </c>
      <c r="I235" s="14"/>
      <c r="J235" s="14"/>
      <c r="K235" s="45"/>
      <c r="N235" s="4">
        <f t="shared" si="14"/>
        <v>4</v>
      </c>
      <c r="P235" s="43"/>
      <c r="Q235" s="44" t="s">
        <v>62</v>
      </c>
      <c r="R235" s="14">
        <f>1-R234</f>
        <v>9.9999999999999978E-2</v>
      </c>
      <c r="S235" s="14"/>
      <c r="T235" s="14"/>
      <c r="U235" s="29" t="str">
        <f>A238&amp;"="</f>
        <v>β3=</v>
      </c>
      <c r="V235" s="14">
        <f>H235</f>
        <v>2.3916650519839336E-2</v>
      </c>
      <c r="W235" s="14"/>
      <c r="X235" s="14"/>
      <c r="Y235" s="45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</row>
    <row r="236" spans="1:37">
      <c r="A236" s="21" t="s">
        <v>83</v>
      </c>
      <c r="B236" s="43"/>
      <c r="C236" s="14"/>
      <c r="D236" s="14">
        <f>ROUND(_xlfn.T.INV(1-D235/2,120-(6+1)),2)</f>
        <v>1.98</v>
      </c>
      <c r="E236" s="14"/>
      <c r="F236" s="14"/>
      <c r="G236" s="14"/>
      <c r="H236" s="14"/>
      <c r="I236" s="14"/>
      <c r="J236" s="14"/>
      <c r="K236" s="45"/>
      <c r="N236" s="4">
        <f t="shared" si="14"/>
        <v>1</v>
      </c>
      <c r="P236" s="43"/>
      <c r="Q236" s="14"/>
      <c r="R236" s="14">
        <f>ROUND(_xlfn.T.INV(1-R235/2,120-(6+1)),2)</f>
        <v>1.66</v>
      </c>
      <c r="S236" s="14"/>
      <c r="T236" s="14"/>
      <c r="U236" s="14"/>
      <c r="V236" s="14"/>
      <c r="W236" s="14"/>
      <c r="X236" s="14"/>
      <c r="Y236" s="45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</row>
    <row r="237" spans="1:37">
      <c r="A237" s="68" t="s">
        <v>45</v>
      </c>
      <c r="B237" s="43"/>
      <c r="C237" s="14"/>
      <c r="D237" s="14"/>
      <c r="E237" s="14"/>
      <c r="F237" s="14"/>
      <c r="G237" s="14"/>
      <c r="H237" s="14"/>
      <c r="I237" s="14"/>
      <c r="J237" s="14"/>
      <c r="K237" s="45"/>
      <c r="N237" s="4">
        <f t="shared" si="14"/>
        <v>2</v>
      </c>
      <c r="P237" s="43"/>
      <c r="Q237" s="14"/>
      <c r="R237" s="14"/>
      <c r="S237" s="14"/>
      <c r="T237" s="14"/>
      <c r="U237" s="14"/>
      <c r="V237" s="14"/>
      <c r="W237" s="14"/>
      <c r="X237" s="14"/>
      <c r="Y237" s="45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</row>
    <row r="238" spans="1:37">
      <c r="A238" s="21" t="s">
        <v>87</v>
      </c>
      <c r="B238" s="43"/>
      <c r="C238" s="14"/>
      <c r="D238" s="14">
        <f>D165</f>
        <v>56.35922951576201</v>
      </c>
      <c r="E238" s="14"/>
      <c r="F238" s="14"/>
      <c r="G238" s="14"/>
      <c r="H238" s="14"/>
      <c r="I238" s="14"/>
      <c r="J238" s="14"/>
      <c r="K238" s="45"/>
      <c r="N238" s="4">
        <f t="shared" si="14"/>
        <v>6</v>
      </c>
      <c r="P238" s="43"/>
      <c r="Q238" s="14"/>
      <c r="R238" s="14">
        <f>D165</f>
        <v>56.35922951576201</v>
      </c>
      <c r="S238" s="14"/>
      <c r="T238" s="14"/>
      <c r="U238" s="14"/>
      <c r="V238" s="14"/>
      <c r="W238" s="14"/>
      <c r="X238" s="14"/>
      <c r="Y238" s="45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</row>
    <row r="239" spans="1:37">
      <c r="B239" s="43"/>
      <c r="C239" s="14"/>
      <c r="D239" s="14"/>
      <c r="E239" s="14"/>
      <c r="F239" s="14"/>
      <c r="G239" s="14"/>
      <c r="H239" s="14"/>
      <c r="I239" s="14"/>
      <c r="J239" s="14"/>
      <c r="K239" s="45"/>
      <c r="N239" s="4">
        <f t="shared" si="14"/>
        <v>0</v>
      </c>
      <c r="P239" s="43"/>
      <c r="Q239" s="14"/>
      <c r="R239" s="14"/>
      <c r="S239" s="14"/>
      <c r="T239" s="14"/>
      <c r="U239" s="14"/>
      <c r="V239" s="14"/>
      <c r="W239" s="14"/>
      <c r="X239" s="14"/>
      <c r="Y239" s="45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</row>
    <row r="240" spans="1:37">
      <c r="B240" s="43"/>
      <c r="C240" s="14"/>
      <c r="D240" s="14">
        <f>Q143</f>
        <v>5.1062060383920892E-7</v>
      </c>
      <c r="E240" s="14"/>
      <c r="F240" s="14"/>
      <c r="G240" s="14"/>
      <c r="H240" s="14"/>
      <c r="I240" s="14"/>
      <c r="J240" s="14"/>
      <c r="K240" s="45"/>
      <c r="N240" s="4">
        <f t="shared" si="14"/>
        <v>5</v>
      </c>
      <c r="P240" s="43"/>
      <c r="Q240" s="14"/>
      <c r="R240" s="14">
        <f>Q143</f>
        <v>5.1062060383920892E-7</v>
      </c>
      <c r="S240" s="14"/>
      <c r="T240" s="14"/>
      <c r="U240" s="14"/>
      <c r="V240" s="14"/>
      <c r="W240" s="14"/>
      <c r="X240" s="14"/>
      <c r="Y240" s="45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</row>
    <row r="241" spans="1:37">
      <c r="B241" s="43"/>
      <c r="C241" s="14"/>
      <c r="D241" s="14"/>
      <c r="E241" s="14"/>
      <c r="F241" s="29" t="s">
        <v>67</v>
      </c>
      <c r="G241" s="14">
        <f>H235-D242</f>
        <v>1.3294880808630819E-2</v>
      </c>
      <c r="H241" s="14"/>
      <c r="I241" s="14"/>
      <c r="J241" s="14"/>
      <c r="K241" s="45"/>
      <c r="N241" s="4">
        <f t="shared" si="14"/>
        <v>3</v>
      </c>
      <c r="P241" s="43"/>
      <c r="Q241" s="14"/>
      <c r="R241" s="14"/>
      <c r="S241" s="14"/>
      <c r="T241" s="29" t="s">
        <v>67</v>
      </c>
      <c r="U241" s="14">
        <f>V235-R242</f>
        <v>1.5011530458927145E-2</v>
      </c>
      <c r="V241" s="14"/>
      <c r="W241" s="14"/>
      <c r="X241" s="14"/>
      <c r="Y241" s="45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</row>
    <row r="242" spans="1:37" ht="13.5" thickBot="1">
      <c r="B242" s="47"/>
      <c r="C242" s="48" t="s">
        <v>60</v>
      </c>
      <c r="D242" s="28">
        <f>D236*SQRT(D238*D240)</f>
        <v>1.0621769711208517E-2</v>
      </c>
      <c r="E242" s="28"/>
      <c r="F242" s="48" t="s">
        <v>68</v>
      </c>
      <c r="G242" s="28">
        <f>H235+D242</f>
        <v>3.4538420231047855E-2</v>
      </c>
      <c r="H242" s="28"/>
      <c r="I242" s="28"/>
      <c r="J242" s="28"/>
      <c r="K242" s="49"/>
      <c r="N242" s="4">
        <f t="shared" si="14"/>
        <v>1</v>
      </c>
      <c r="P242" s="47"/>
      <c r="Q242" s="48" t="s">
        <v>60</v>
      </c>
      <c r="R242" s="28">
        <f>R236*SQRT(R238*R240)</f>
        <v>8.905120060912191E-3</v>
      </c>
      <c r="S242" s="28"/>
      <c r="T242" s="48" t="s">
        <v>68</v>
      </c>
      <c r="U242" s="28">
        <f>V235+R242</f>
        <v>3.282177058075153E-2</v>
      </c>
      <c r="V242" s="28"/>
      <c r="W242" s="28"/>
      <c r="X242" s="28"/>
      <c r="Y242" s="49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</row>
    <row r="243" spans="1:37" ht="13.5" thickBot="1">
      <c r="N243" s="4">
        <f t="shared" si="14"/>
        <v>0</v>
      </c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</row>
    <row r="244" spans="1:37">
      <c r="A244" s="21" t="s">
        <v>78</v>
      </c>
      <c r="B244" s="39"/>
      <c r="C244" s="40" t="s">
        <v>61</v>
      </c>
      <c r="D244" s="41">
        <v>0.95</v>
      </c>
      <c r="E244" s="41"/>
      <c r="F244" s="41"/>
      <c r="G244" s="41"/>
      <c r="H244" s="41"/>
      <c r="I244" s="41"/>
      <c r="J244" s="41"/>
      <c r="K244" s="42"/>
      <c r="N244" s="4">
        <f t="shared" si="14"/>
        <v>2</v>
      </c>
      <c r="P244" s="39"/>
      <c r="Q244" s="40" t="s">
        <v>61</v>
      </c>
      <c r="R244" s="41">
        <v>0.9</v>
      </c>
      <c r="S244" s="41"/>
      <c r="T244" s="41"/>
      <c r="U244" s="41"/>
      <c r="V244" s="41"/>
      <c r="W244" s="41"/>
      <c r="X244" s="41"/>
      <c r="Y244" s="42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</row>
    <row r="245" spans="1:37">
      <c r="A245" s="68" t="s">
        <v>82</v>
      </c>
      <c r="B245" s="43"/>
      <c r="C245" s="44" t="s">
        <v>62</v>
      </c>
      <c r="D245" s="14">
        <f>1-D244</f>
        <v>5.0000000000000044E-2</v>
      </c>
      <c r="E245" s="14"/>
      <c r="F245" s="14"/>
      <c r="G245" s="29" t="str">
        <f>A248&amp;"="</f>
        <v>β4=</v>
      </c>
      <c r="H245" s="14">
        <f>AG144</f>
        <v>3.8357441648927078E-5</v>
      </c>
      <c r="I245" s="14"/>
      <c r="J245" s="14"/>
      <c r="K245" s="45"/>
      <c r="N245" s="4">
        <f t="shared" si="14"/>
        <v>1</v>
      </c>
      <c r="P245" s="43"/>
      <c r="Q245" s="44" t="s">
        <v>62</v>
      </c>
      <c r="R245" s="14">
        <f>1-R244</f>
        <v>9.9999999999999978E-2</v>
      </c>
      <c r="S245" s="14"/>
      <c r="T245" s="14"/>
      <c r="U245" s="29" t="str">
        <f>A248&amp;"="</f>
        <v>β4=</v>
      </c>
      <c r="V245" s="14">
        <f>H245</f>
        <v>3.8357441648927078E-5</v>
      </c>
      <c r="W245" s="14"/>
      <c r="X245" s="14"/>
      <c r="Y245" s="45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</row>
    <row r="246" spans="1:37">
      <c r="A246" s="21" t="s">
        <v>83</v>
      </c>
      <c r="B246" s="43"/>
      <c r="C246" s="14"/>
      <c r="D246" s="14">
        <f>ROUND(_xlfn.T.INV(1-D245/2,120-(6+1)),2)</f>
        <v>1.98</v>
      </c>
      <c r="E246" s="14"/>
      <c r="F246" s="14"/>
      <c r="G246" s="14"/>
      <c r="H246" s="14"/>
      <c r="I246" s="14"/>
      <c r="J246" s="14"/>
      <c r="K246" s="45"/>
      <c r="N246" s="4">
        <f t="shared" si="14"/>
        <v>0</v>
      </c>
      <c r="P246" s="43"/>
      <c r="Q246" s="14"/>
      <c r="R246" s="14">
        <f>ROUND(_xlfn.T.INV(1-R245/2,120-(6+1)),2)</f>
        <v>1.66</v>
      </c>
      <c r="S246" s="14"/>
      <c r="T246" s="14"/>
      <c r="U246" s="14"/>
      <c r="V246" s="14"/>
      <c r="W246" s="14"/>
      <c r="X246" s="14"/>
      <c r="Y246" s="45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</row>
    <row r="247" spans="1:37">
      <c r="A247" s="68" t="s">
        <v>45</v>
      </c>
      <c r="B247" s="43"/>
      <c r="C247" s="14"/>
      <c r="D247" s="14"/>
      <c r="E247" s="14"/>
      <c r="F247" s="14"/>
      <c r="G247" s="14"/>
      <c r="H247" s="14"/>
      <c r="I247" s="14"/>
      <c r="J247" s="14"/>
      <c r="K247" s="45"/>
      <c r="N247" s="4">
        <f t="shared" si="14"/>
        <v>4</v>
      </c>
      <c r="P247" s="43"/>
      <c r="Q247" s="14"/>
      <c r="R247" s="14"/>
      <c r="S247" s="14"/>
      <c r="T247" s="14"/>
      <c r="U247" s="14"/>
      <c r="V247" s="14"/>
      <c r="W247" s="14"/>
      <c r="X247" s="14"/>
      <c r="Y247" s="45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</row>
    <row r="248" spans="1:37">
      <c r="A248" s="21" t="s">
        <v>90</v>
      </c>
      <c r="B248" s="43"/>
      <c r="C248" s="14"/>
      <c r="D248" s="14">
        <f>D165</f>
        <v>56.35922951576201</v>
      </c>
      <c r="E248" s="14"/>
      <c r="F248" s="14"/>
      <c r="G248" s="14"/>
      <c r="H248" s="14"/>
      <c r="I248" s="14"/>
      <c r="J248" s="14"/>
      <c r="K248" s="45"/>
      <c r="N248" s="4">
        <f t="shared" si="14"/>
        <v>2</v>
      </c>
      <c r="P248" s="43"/>
      <c r="Q248" s="14"/>
      <c r="R248" s="14">
        <f>D165</f>
        <v>56.35922951576201</v>
      </c>
      <c r="S248" s="14"/>
      <c r="T248" s="14"/>
      <c r="U248" s="14"/>
      <c r="V248" s="14"/>
      <c r="W248" s="14"/>
      <c r="X248" s="14"/>
      <c r="Y248" s="45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</row>
    <row r="249" spans="1:37">
      <c r="B249" s="43"/>
      <c r="C249" s="14"/>
      <c r="D249" s="14"/>
      <c r="E249" s="14"/>
      <c r="F249" s="14"/>
      <c r="G249" s="14"/>
      <c r="H249" s="14"/>
      <c r="I249" s="14"/>
      <c r="J249" s="14"/>
      <c r="K249" s="45"/>
      <c r="N249" s="4">
        <f t="shared" si="14"/>
        <v>5</v>
      </c>
      <c r="P249" s="43"/>
      <c r="Q249" s="14"/>
      <c r="R249" s="14"/>
      <c r="S249" s="14"/>
      <c r="T249" s="14"/>
      <c r="U249" s="14"/>
      <c r="V249" s="14"/>
      <c r="W249" s="14"/>
      <c r="X249" s="14"/>
      <c r="Y249" s="45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</row>
    <row r="250" spans="1:37">
      <c r="B250" s="43"/>
      <c r="C250" s="14"/>
      <c r="D250" s="14">
        <f>R144</f>
        <v>3.1587176050139956E-11</v>
      </c>
      <c r="E250" s="14"/>
      <c r="F250" s="14"/>
      <c r="G250" s="14"/>
      <c r="H250" s="14"/>
      <c r="I250" s="14"/>
      <c r="J250" s="14"/>
      <c r="K250" s="45"/>
      <c r="N250" s="4">
        <f t="shared" si="14"/>
        <v>1</v>
      </c>
      <c r="P250" s="43"/>
      <c r="Q250" s="14"/>
      <c r="R250" s="14">
        <f>R144</f>
        <v>3.1587176050139956E-11</v>
      </c>
      <c r="S250" s="14"/>
      <c r="T250" s="14"/>
      <c r="U250" s="14"/>
      <c r="V250" s="14"/>
      <c r="W250" s="14"/>
      <c r="X250" s="14"/>
      <c r="Y250" s="45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</row>
    <row r="251" spans="1:37">
      <c r="B251" s="43"/>
      <c r="C251" s="14"/>
      <c r="D251" s="14"/>
      <c r="E251" s="14"/>
      <c r="F251" s="29" t="s">
        <v>67</v>
      </c>
      <c r="G251" s="14">
        <f>H245-D252</f>
        <v>-4.5184221000551064E-5</v>
      </c>
      <c r="H251" s="14"/>
      <c r="I251" s="14"/>
      <c r="J251" s="14"/>
      <c r="K251" s="45"/>
      <c r="N251" s="4">
        <f t="shared" si="14"/>
        <v>2</v>
      </c>
      <c r="P251" s="43"/>
      <c r="Q251" s="14"/>
      <c r="R251" s="14"/>
      <c r="S251" s="14"/>
      <c r="T251" s="29" t="s">
        <v>67</v>
      </c>
      <c r="U251" s="14">
        <f>V245-R252</f>
        <v>-3.1682538148110153E-5</v>
      </c>
      <c r="V251" s="14"/>
      <c r="W251" s="14"/>
      <c r="X251" s="14"/>
      <c r="Y251" s="45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</row>
    <row r="252" spans="1:37" ht="13.5" thickBot="1">
      <c r="B252" s="47"/>
      <c r="C252" s="48" t="s">
        <v>60</v>
      </c>
      <c r="D252" s="28">
        <f>D246*SQRT(D248*D250)</f>
        <v>8.3541662649478141E-5</v>
      </c>
      <c r="E252" s="28"/>
      <c r="F252" s="48" t="s">
        <v>68</v>
      </c>
      <c r="G252" s="28">
        <f>H245+D252</f>
        <v>1.2189910429840522E-4</v>
      </c>
      <c r="H252" s="28"/>
      <c r="I252" s="28"/>
      <c r="J252" s="28"/>
      <c r="K252" s="49"/>
      <c r="N252" s="4">
        <f t="shared" si="14"/>
        <v>1</v>
      </c>
      <c r="P252" s="47"/>
      <c r="Q252" s="48" t="s">
        <v>60</v>
      </c>
      <c r="R252" s="28">
        <f>R246*SQRT(R248*R250)</f>
        <v>7.003997979703723E-5</v>
      </c>
      <c r="S252" s="28"/>
      <c r="T252" s="48" t="s">
        <v>68</v>
      </c>
      <c r="U252" s="28">
        <f>V245+R252</f>
        <v>1.0839742144596431E-4</v>
      </c>
      <c r="V252" s="28"/>
      <c r="W252" s="28"/>
      <c r="X252" s="28"/>
      <c r="Y252" s="49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</row>
    <row r="253" spans="1:37" ht="13.5" thickBot="1">
      <c r="N253" s="4">
        <f t="shared" si="14"/>
        <v>1</v>
      </c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</row>
    <row r="254" spans="1:37">
      <c r="A254" s="21" t="s">
        <v>78</v>
      </c>
      <c r="B254" s="39"/>
      <c r="C254" s="40" t="s">
        <v>61</v>
      </c>
      <c r="D254" s="41">
        <v>0.95</v>
      </c>
      <c r="E254" s="41"/>
      <c r="F254" s="41"/>
      <c r="G254" s="41"/>
      <c r="H254" s="41"/>
      <c r="I254" s="41"/>
      <c r="J254" s="41"/>
      <c r="K254" s="42"/>
      <c r="N254" s="4">
        <f t="shared" si="14"/>
        <v>1</v>
      </c>
      <c r="P254" s="39"/>
      <c r="Q254" s="40" t="s">
        <v>61</v>
      </c>
      <c r="R254" s="41">
        <v>0.9</v>
      </c>
      <c r="S254" s="41"/>
      <c r="T254" s="41"/>
      <c r="U254" s="41"/>
      <c r="V254" s="41"/>
      <c r="W254" s="41"/>
      <c r="X254" s="41"/>
      <c r="Y254" s="42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</row>
    <row r="255" spans="1:37">
      <c r="A255" s="68" t="s">
        <v>82</v>
      </c>
      <c r="B255" s="43"/>
      <c r="C255" s="44" t="s">
        <v>62</v>
      </c>
      <c r="D255" s="14">
        <f>1-D254</f>
        <v>5.0000000000000044E-2</v>
      </c>
      <c r="E255" s="14"/>
      <c r="F255" s="14"/>
      <c r="G255" s="29" t="str">
        <f>A258&amp;"="</f>
        <v>β5=</v>
      </c>
      <c r="H255" s="14">
        <f>AG145</f>
        <v>884.57985252007461</v>
      </c>
      <c r="I255" s="14"/>
      <c r="J255" s="14"/>
      <c r="K255" s="45"/>
      <c r="N255" s="4">
        <f t="shared" si="14"/>
        <v>4</v>
      </c>
      <c r="P255" s="43"/>
      <c r="Q255" s="44" t="s">
        <v>62</v>
      </c>
      <c r="R255" s="14">
        <f>1-R254</f>
        <v>9.9999999999999978E-2</v>
      </c>
      <c r="S255" s="14"/>
      <c r="T255" s="14"/>
      <c r="U255" s="29" t="str">
        <f>A258&amp;"="</f>
        <v>β5=</v>
      </c>
      <c r="V255" s="14">
        <f>H255</f>
        <v>884.57985252007461</v>
      </c>
      <c r="W255" s="14"/>
      <c r="X255" s="14"/>
      <c r="Y255" s="45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</row>
    <row r="256" spans="1:37">
      <c r="A256" s="21" t="s">
        <v>83</v>
      </c>
      <c r="B256" s="43"/>
      <c r="C256" s="14"/>
      <c r="D256" s="14">
        <f>ROUND(_xlfn.T.INV(1-D255/2,120-(6+1)),2)</f>
        <v>1.98</v>
      </c>
      <c r="E256" s="14"/>
      <c r="F256" s="14"/>
      <c r="G256" s="14"/>
      <c r="H256" s="14"/>
      <c r="I256" s="14"/>
      <c r="J256" s="14"/>
      <c r="K256" s="45"/>
      <c r="N256" s="4">
        <f t="shared" si="14"/>
        <v>1</v>
      </c>
      <c r="P256" s="43"/>
      <c r="Q256" s="14"/>
      <c r="R256" s="14">
        <f>ROUND(_xlfn.T.INV(1-R255/2,120-(6+1)),2)</f>
        <v>1.66</v>
      </c>
      <c r="S256" s="14"/>
      <c r="T256" s="14"/>
      <c r="U256" s="14"/>
      <c r="V256" s="14"/>
      <c r="W256" s="14"/>
      <c r="X256" s="14"/>
      <c r="Y256" s="45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</row>
    <row r="257" spans="1:37">
      <c r="A257" s="68" t="s">
        <v>45</v>
      </c>
      <c r="B257" s="43"/>
      <c r="C257" s="14"/>
      <c r="D257" s="14"/>
      <c r="E257" s="14"/>
      <c r="F257" s="14"/>
      <c r="G257" s="14"/>
      <c r="H257" s="14"/>
      <c r="I257" s="14"/>
      <c r="J257" s="14"/>
      <c r="K257" s="45"/>
      <c r="N257" s="4">
        <f t="shared" si="14"/>
        <v>0</v>
      </c>
      <c r="P257" s="43"/>
      <c r="Q257" s="14"/>
      <c r="R257" s="14"/>
      <c r="S257" s="14"/>
      <c r="T257" s="14"/>
      <c r="U257" s="14"/>
      <c r="V257" s="14"/>
      <c r="W257" s="14"/>
      <c r="X257" s="14"/>
      <c r="Y257" s="45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</row>
    <row r="258" spans="1:37">
      <c r="A258" s="21" t="s">
        <v>89</v>
      </c>
      <c r="B258" s="43"/>
      <c r="C258" s="14"/>
      <c r="D258" s="14">
        <f>D165</f>
        <v>56.35922951576201</v>
      </c>
      <c r="E258" s="14"/>
      <c r="F258" s="14"/>
      <c r="G258" s="14"/>
      <c r="H258" s="14"/>
      <c r="I258" s="14"/>
      <c r="J258" s="14"/>
      <c r="K258" s="45"/>
      <c r="N258" s="4">
        <f t="shared" si="14"/>
        <v>7</v>
      </c>
      <c r="P258" s="43"/>
      <c r="Q258" s="14"/>
      <c r="R258" s="14">
        <f>D165</f>
        <v>56.35922951576201</v>
      </c>
      <c r="S258" s="14"/>
      <c r="T258" s="14"/>
      <c r="U258" s="14"/>
      <c r="V258" s="14"/>
      <c r="W258" s="14"/>
      <c r="X258" s="14"/>
      <c r="Y258" s="45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</row>
    <row r="259" spans="1:37">
      <c r="B259" s="43"/>
      <c r="C259" s="14"/>
      <c r="D259" s="14"/>
      <c r="E259" s="14"/>
      <c r="F259" s="14"/>
      <c r="G259" s="14"/>
      <c r="H259" s="14"/>
      <c r="I259" s="14"/>
      <c r="J259" s="14"/>
      <c r="K259" s="45"/>
      <c r="N259" s="4">
        <f t="shared" si="14"/>
        <v>1</v>
      </c>
      <c r="P259" s="43"/>
      <c r="Q259" s="14"/>
      <c r="R259" s="14"/>
      <c r="S259" s="14"/>
      <c r="T259" s="14"/>
      <c r="U259" s="14"/>
      <c r="V259" s="14"/>
      <c r="W259" s="14"/>
      <c r="X259" s="14"/>
      <c r="Y259" s="45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</row>
    <row r="260" spans="1:37">
      <c r="B260" s="43"/>
      <c r="C260" s="14"/>
      <c r="D260" s="14">
        <f>S145</f>
        <v>209.57514003671596</v>
      </c>
      <c r="E260" s="14"/>
      <c r="F260" s="14"/>
      <c r="G260" s="14"/>
      <c r="H260" s="14"/>
      <c r="I260" s="14"/>
      <c r="J260" s="14"/>
      <c r="K260" s="45"/>
      <c r="N260" s="4">
        <f t="shared" si="14"/>
        <v>2</v>
      </c>
      <c r="P260" s="43"/>
      <c r="Q260" s="14"/>
      <c r="R260" s="14">
        <f>S145</f>
        <v>209.57514003671596</v>
      </c>
      <c r="S260" s="14"/>
      <c r="T260" s="14"/>
      <c r="U260" s="14"/>
      <c r="V260" s="14"/>
      <c r="W260" s="14"/>
      <c r="X260" s="14"/>
      <c r="Y260" s="45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</row>
    <row r="261" spans="1:37">
      <c r="B261" s="43"/>
      <c r="C261" s="14"/>
      <c r="D261" s="14"/>
      <c r="E261" s="14"/>
      <c r="F261" s="29" t="s">
        <v>67</v>
      </c>
      <c r="G261" s="14">
        <f>H255-D262</f>
        <v>669.39207685327233</v>
      </c>
      <c r="H261" s="14"/>
      <c r="I261" s="14"/>
      <c r="J261" s="14"/>
      <c r="K261" s="45"/>
      <c r="N261" s="4">
        <f t="shared" si="14"/>
        <v>2</v>
      </c>
      <c r="P261" s="43"/>
      <c r="Q261" s="14"/>
      <c r="R261" s="14"/>
      <c r="S261" s="14"/>
      <c r="T261" s="29" t="s">
        <v>67</v>
      </c>
      <c r="U261" s="14">
        <f>V255-R262</f>
        <v>704.16989918326055</v>
      </c>
      <c r="V261" s="14"/>
      <c r="W261" s="14"/>
      <c r="X261" s="14"/>
      <c r="Y261" s="45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</row>
    <row r="262" spans="1:37" ht="13.5" thickBot="1">
      <c r="B262" s="47"/>
      <c r="C262" s="48" t="s">
        <v>60</v>
      </c>
      <c r="D262" s="28">
        <f>D256*SQRT(D258*D260)</f>
        <v>215.18777566680228</v>
      </c>
      <c r="E262" s="28"/>
      <c r="F262" s="48" t="s">
        <v>68</v>
      </c>
      <c r="G262" s="28">
        <f>H255+D262</f>
        <v>1099.7676281868769</v>
      </c>
      <c r="H262" s="28"/>
      <c r="I262" s="28"/>
      <c r="J262" s="28"/>
      <c r="K262" s="49"/>
      <c r="N262" s="4">
        <f t="shared" si="14"/>
        <v>2</v>
      </c>
      <c r="P262" s="47"/>
      <c r="Q262" s="48" t="s">
        <v>60</v>
      </c>
      <c r="R262" s="28">
        <f>R256*SQRT(R258*R260)</f>
        <v>180.40995333681403</v>
      </c>
      <c r="S262" s="28"/>
      <c r="T262" s="48" t="s">
        <v>68</v>
      </c>
      <c r="U262" s="28">
        <f>V255+R262</f>
        <v>1064.9898058568886</v>
      </c>
      <c r="V262" s="28"/>
      <c r="W262" s="28"/>
      <c r="X262" s="28"/>
      <c r="Y262" s="49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</row>
    <row r="263" spans="1:37" ht="13.5" thickBot="1">
      <c r="N263" s="4">
        <f t="shared" si="14"/>
        <v>1</v>
      </c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</row>
    <row r="264" spans="1:37">
      <c r="A264" s="21" t="s">
        <v>78</v>
      </c>
      <c r="B264" s="39"/>
      <c r="C264" s="40" t="s">
        <v>61</v>
      </c>
      <c r="D264" s="41">
        <v>0.95</v>
      </c>
      <c r="E264" s="41"/>
      <c r="F264" s="41"/>
      <c r="G264" s="41"/>
      <c r="H264" s="41"/>
      <c r="I264" s="41"/>
      <c r="J264" s="41"/>
      <c r="K264" s="42"/>
      <c r="N264" s="4">
        <f t="shared" si="14"/>
        <v>3</v>
      </c>
      <c r="P264" s="39"/>
      <c r="Q264" s="40" t="s">
        <v>61</v>
      </c>
      <c r="R264" s="41">
        <v>0.9</v>
      </c>
      <c r="S264" s="41"/>
      <c r="T264" s="41"/>
      <c r="U264" s="41"/>
      <c r="V264" s="41"/>
      <c r="W264" s="41"/>
      <c r="X264" s="41"/>
      <c r="Y264" s="42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</row>
    <row r="265" spans="1:37">
      <c r="A265" s="68" t="s">
        <v>82</v>
      </c>
      <c r="B265" s="43"/>
      <c r="C265" s="44" t="s">
        <v>62</v>
      </c>
      <c r="D265" s="14">
        <f>1-D264</f>
        <v>5.0000000000000044E-2</v>
      </c>
      <c r="E265" s="14"/>
      <c r="F265" s="14"/>
      <c r="G265" s="29" t="str">
        <f>A268&amp;"="</f>
        <v>β6=</v>
      </c>
      <c r="H265" s="14">
        <f>AG146</f>
        <v>4.018610183343876E-7</v>
      </c>
      <c r="I265" s="14"/>
      <c r="J265" s="14"/>
      <c r="K265" s="45"/>
      <c r="N265" s="4">
        <f t="shared" si="14"/>
        <v>0</v>
      </c>
      <c r="P265" s="43"/>
      <c r="Q265" s="44" t="s">
        <v>62</v>
      </c>
      <c r="R265" s="14">
        <f>1-R264</f>
        <v>9.9999999999999978E-2</v>
      </c>
      <c r="S265" s="14"/>
      <c r="T265" s="14"/>
      <c r="U265" s="29" t="str">
        <f>A268&amp;"="</f>
        <v>β6=</v>
      </c>
      <c r="V265" s="14">
        <f>H265</f>
        <v>4.018610183343876E-7</v>
      </c>
      <c r="W265" s="14"/>
      <c r="X265" s="14"/>
      <c r="Y265" s="45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</row>
    <row r="266" spans="1:37">
      <c r="A266" s="21" t="s">
        <v>83</v>
      </c>
      <c r="B266" s="43"/>
      <c r="C266" s="14"/>
      <c r="D266" s="14">
        <f>ROUND(_xlfn.T.INV(1-D265/2,120-(6+1)),2)</f>
        <v>1.98</v>
      </c>
      <c r="E266" s="14"/>
      <c r="F266" s="14"/>
      <c r="G266" s="14"/>
      <c r="H266" s="14"/>
      <c r="I266" s="14"/>
      <c r="J266" s="14"/>
      <c r="K266" s="45"/>
      <c r="N266" s="4">
        <f t="shared" si="14"/>
        <v>0</v>
      </c>
      <c r="P266" s="43"/>
      <c r="Q266" s="14"/>
      <c r="R266" s="14">
        <f>ROUND(_xlfn.T.INV(1-R265/2,120-(6+1)),2)</f>
        <v>1.66</v>
      </c>
      <c r="S266" s="14"/>
      <c r="T266" s="14"/>
      <c r="U266" s="14"/>
      <c r="V266" s="14"/>
      <c r="W266" s="14"/>
      <c r="X266" s="14"/>
      <c r="Y266" s="45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</row>
    <row r="267" spans="1:37">
      <c r="A267" s="68" t="s">
        <v>45</v>
      </c>
      <c r="B267" s="43"/>
      <c r="C267" s="14"/>
      <c r="D267" s="14"/>
      <c r="E267" s="14"/>
      <c r="F267" s="14"/>
      <c r="G267" s="14"/>
      <c r="H267" s="14"/>
      <c r="I267" s="14"/>
      <c r="J267" s="14"/>
      <c r="K267" s="45"/>
      <c r="N267" s="4">
        <f t="shared" si="14"/>
        <v>1</v>
      </c>
      <c r="P267" s="43"/>
      <c r="Q267" s="14"/>
      <c r="R267" s="14"/>
      <c r="S267" s="14"/>
      <c r="T267" s="14"/>
      <c r="U267" s="14"/>
      <c r="V267" s="14"/>
      <c r="W267" s="14"/>
      <c r="X267" s="14"/>
      <c r="Y267" s="45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</row>
    <row r="268" spans="1:37">
      <c r="A268" s="21" t="s">
        <v>88</v>
      </c>
      <c r="B268" s="43"/>
      <c r="C268" s="14"/>
      <c r="D268" s="14">
        <f>D165</f>
        <v>56.35922951576201</v>
      </c>
      <c r="E268" s="14"/>
      <c r="F268" s="14"/>
      <c r="G268" s="14"/>
      <c r="H268" s="14"/>
      <c r="I268" s="14"/>
      <c r="J268" s="14"/>
      <c r="K268" s="45"/>
      <c r="N268" s="4">
        <f t="shared" si="14"/>
        <v>3</v>
      </c>
      <c r="P268" s="43"/>
      <c r="Q268" s="14"/>
      <c r="R268" s="14">
        <f>D165</f>
        <v>56.35922951576201</v>
      </c>
      <c r="S268" s="14"/>
      <c r="T268" s="14"/>
      <c r="U268" s="14"/>
      <c r="V268" s="14"/>
      <c r="W268" s="14"/>
      <c r="X268" s="14"/>
      <c r="Y268" s="45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</row>
    <row r="269" spans="1:37">
      <c r="B269" s="43"/>
      <c r="C269" s="14"/>
      <c r="D269" s="14"/>
      <c r="E269" s="14"/>
      <c r="F269" s="14"/>
      <c r="G269" s="14"/>
      <c r="H269" s="14"/>
      <c r="I269" s="14"/>
      <c r="J269" s="14"/>
      <c r="K269" s="45"/>
      <c r="N269" s="4">
        <f t="shared" si="14"/>
        <v>1</v>
      </c>
      <c r="P269" s="43"/>
      <c r="Q269" s="14"/>
      <c r="R269" s="14"/>
      <c r="S269" s="14"/>
      <c r="T269" s="14"/>
      <c r="U269" s="14"/>
      <c r="V269" s="14"/>
      <c r="W269" s="14"/>
      <c r="X269" s="14"/>
      <c r="Y269" s="45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</row>
    <row r="270" spans="1:37">
      <c r="B270" s="43"/>
      <c r="C270" s="14"/>
      <c r="D270" s="14">
        <f>T146</f>
        <v>1.0103437898552161E-13</v>
      </c>
      <c r="E270" s="14"/>
      <c r="F270" s="14"/>
      <c r="G270" s="14"/>
      <c r="H270" s="14"/>
      <c r="I270" s="14"/>
      <c r="J270" s="14"/>
      <c r="K270" s="45"/>
      <c r="N270" s="4">
        <f t="shared" si="14"/>
        <v>0</v>
      </c>
      <c r="P270" s="43"/>
      <c r="Q270" s="14"/>
      <c r="R270" s="14">
        <f>T146</f>
        <v>1.0103437898552161E-13</v>
      </c>
      <c r="S270" s="14"/>
      <c r="T270" s="14"/>
      <c r="U270" s="14"/>
      <c r="V270" s="14"/>
      <c r="W270" s="14"/>
      <c r="X270" s="14"/>
      <c r="Y270" s="45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</row>
    <row r="271" spans="1:37">
      <c r="B271" s="43"/>
      <c r="C271" s="14"/>
      <c r="D271" s="14"/>
      <c r="E271" s="14"/>
      <c r="F271" s="29" t="s">
        <v>67</v>
      </c>
      <c r="G271" s="14">
        <f>H265-D272</f>
        <v>-4.3229267149371791E-6</v>
      </c>
      <c r="H271" s="14"/>
      <c r="I271" s="14"/>
      <c r="J271" s="14"/>
      <c r="K271" s="45"/>
      <c r="N271" s="4">
        <f t="shared" si="14"/>
        <v>1</v>
      </c>
      <c r="P271" s="43"/>
      <c r="Q271" s="14"/>
      <c r="R271" s="14"/>
      <c r="S271" s="14"/>
      <c r="T271" s="29" t="s">
        <v>67</v>
      </c>
      <c r="U271" s="14">
        <f>V265-R272</f>
        <v>-3.5593246570347037E-6</v>
      </c>
      <c r="V271" s="14"/>
      <c r="W271" s="14"/>
      <c r="X271" s="14"/>
      <c r="Y271" s="45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</row>
    <row r="272" spans="1:37" ht="13.5" thickBot="1">
      <c r="B272" s="47"/>
      <c r="C272" s="48" t="s">
        <v>60</v>
      </c>
      <c r="D272" s="28">
        <f>D266*SQRT(D268*D270)</f>
        <v>4.7247877332715667E-6</v>
      </c>
      <c r="E272" s="28"/>
      <c r="F272" s="48" t="s">
        <v>68</v>
      </c>
      <c r="G272" s="28">
        <f>H265+D272</f>
        <v>5.1266487516059543E-6</v>
      </c>
      <c r="H272" s="28"/>
      <c r="I272" s="28"/>
      <c r="J272" s="28"/>
      <c r="K272" s="49"/>
      <c r="N272" s="4">
        <f t="shared" si="14"/>
        <v>0</v>
      </c>
      <c r="P272" s="47"/>
      <c r="Q272" s="48" t="s">
        <v>60</v>
      </c>
      <c r="R272" s="28">
        <f>R266*SQRT(R268*R270)</f>
        <v>3.9611856753690913E-6</v>
      </c>
      <c r="S272" s="28"/>
      <c r="T272" s="48" t="s">
        <v>68</v>
      </c>
      <c r="U272" s="28">
        <f>V265+R272</f>
        <v>4.3630466937034789E-6</v>
      </c>
      <c r="V272" s="28"/>
      <c r="W272" s="28"/>
      <c r="X272" s="28"/>
      <c r="Y272" s="49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</row>
    <row r="273" spans="1:37">
      <c r="N273" s="4">
        <f t="shared" si="14"/>
        <v>0</v>
      </c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</row>
    <row r="274" spans="1:37">
      <c r="N274" s="4">
        <f t="shared" si="14"/>
        <v>2</v>
      </c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</row>
    <row r="275" spans="1:37" ht="13.5" thickBot="1"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</row>
    <row r="276" spans="1:37" ht="13.5" thickBot="1">
      <c r="P276" s="39"/>
      <c r="Q276" s="40" t="s">
        <v>61</v>
      </c>
      <c r="R276" s="41">
        <v>0.9</v>
      </c>
      <c r="S276" s="41"/>
      <c r="T276" s="64" t="s">
        <v>95</v>
      </c>
      <c r="U276" s="41">
        <f>G277</f>
        <v>0.82</v>
      </c>
      <c r="V276" s="41" t="str">
        <f t="shared" ref="V276:W278" si="15">H277</f>
        <v>x4=</v>
      </c>
      <c r="W276" s="41">
        <f t="shared" si="15"/>
        <v>47369</v>
      </c>
      <c r="X276" s="41"/>
      <c r="Y276" s="42">
        <f>K277</f>
        <v>56.35922951576201</v>
      </c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</row>
    <row r="277" spans="1:37">
      <c r="A277" s="21" t="s">
        <v>78</v>
      </c>
      <c r="B277" s="39"/>
      <c r="C277" s="40" t="s">
        <v>61</v>
      </c>
      <c r="D277" s="41">
        <v>0.95</v>
      </c>
      <c r="E277" s="41"/>
      <c r="F277" s="64" t="s">
        <v>95</v>
      </c>
      <c r="G277" s="41">
        <f>N16</f>
        <v>0.82</v>
      </c>
      <c r="H277" s="74" t="s">
        <v>134</v>
      </c>
      <c r="I277" s="41">
        <f>Q16</f>
        <v>47369</v>
      </c>
      <c r="J277" s="41"/>
      <c r="K277" s="42">
        <f>D165</f>
        <v>56.35922951576201</v>
      </c>
      <c r="P277" s="43"/>
      <c r="Q277" s="44" t="s">
        <v>62</v>
      </c>
      <c r="R277" s="14">
        <f>1-R276</f>
        <v>9.9999999999999978E-2</v>
      </c>
      <c r="S277" s="14"/>
      <c r="T277" s="29" t="s">
        <v>96</v>
      </c>
      <c r="U277" s="14">
        <f t="shared" ref="U277:U278" si="16">G278</f>
        <v>865</v>
      </c>
      <c r="V277" s="14" t="str">
        <f t="shared" si="15"/>
        <v>x5=</v>
      </c>
      <c r="W277" s="14">
        <f t="shared" si="15"/>
        <v>0.2036</v>
      </c>
      <c r="X277" s="14"/>
      <c r="Y277" s="45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</row>
    <row r="278" spans="1:37">
      <c r="A278" s="21" t="s">
        <v>91</v>
      </c>
      <c r="B278" s="43"/>
      <c r="C278" s="44" t="s">
        <v>62</v>
      </c>
      <c r="D278" s="14">
        <f>1-D277</f>
        <v>5.0000000000000044E-2</v>
      </c>
      <c r="E278" s="14"/>
      <c r="F278" s="29" t="s">
        <v>96</v>
      </c>
      <c r="G278" s="14">
        <f>O16</f>
        <v>865</v>
      </c>
      <c r="H278" s="73" t="s">
        <v>135</v>
      </c>
      <c r="I278" s="14">
        <f>R16</f>
        <v>0.2036</v>
      </c>
      <c r="J278" s="14"/>
      <c r="K278" s="45"/>
      <c r="P278" s="43"/>
      <c r="Q278" s="14"/>
      <c r="R278" s="14">
        <f>ROUND(_xlfn.T.INV(1-R277/2,120-(6+1)),2)</f>
        <v>1.66</v>
      </c>
      <c r="S278" s="14"/>
      <c r="T278" s="29" t="s">
        <v>97</v>
      </c>
      <c r="U278" s="14">
        <f t="shared" si="16"/>
        <v>6869</v>
      </c>
      <c r="V278" s="14" t="str">
        <f t="shared" si="15"/>
        <v>x6=</v>
      </c>
      <c r="W278" s="14">
        <f t="shared" si="15"/>
        <v>80488</v>
      </c>
      <c r="X278" s="14"/>
      <c r="Y278" s="4">
        <f>Q280</f>
        <v>1</v>
      </c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</row>
    <row r="279" spans="1:37">
      <c r="A279" s="21" t="s">
        <v>92</v>
      </c>
      <c r="B279" s="43"/>
      <c r="C279" s="14"/>
      <c r="D279" s="14">
        <f>ROUND(_xlfn.T.INV(1-D278/2,120-(6+1)),2)</f>
        <v>1.98</v>
      </c>
      <c r="E279" s="14"/>
      <c r="F279" s="29" t="s">
        <v>97</v>
      </c>
      <c r="G279" s="14">
        <f>P16</f>
        <v>6869</v>
      </c>
      <c r="H279" s="73" t="s">
        <v>136</v>
      </c>
      <c r="I279" s="14">
        <f>S16</f>
        <v>80488</v>
      </c>
      <c r="J279" s="14"/>
      <c r="K279" s="4">
        <f>C281</f>
        <v>1</v>
      </c>
      <c r="P279" s="43"/>
      <c r="Q279" s="14"/>
      <c r="R279" s="14"/>
      <c r="S279" s="14"/>
      <c r="T279" s="73"/>
      <c r="U279" s="14"/>
      <c r="V279" s="14"/>
      <c r="W279" s="14"/>
      <c r="X279" s="14"/>
      <c r="Y279" s="4">
        <f>R280</f>
        <v>0.82</v>
      </c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</row>
    <row r="280" spans="1:37">
      <c r="A280" s="21" t="s">
        <v>93</v>
      </c>
      <c r="B280" s="43"/>
      <c r="C280" s="14"/>
      <c r="D280" s="14"/>
      <c r="E280" s="14"/>
      <c r="F280" s="73"/>
      <c r="G280" s="14"/>
      <c r="H280" s="14"/>
      <c r="I280" s="14"/>
      <c r="J280" s="14"/>
      <c r="K280" s="4">
        <f>D281</f>
        <v>0.82</v>
      </c>
      <c r="P280" s="43"/>
      <c r="Q280" s="4">
        <v>1</v>
      </c>
      <c r="R280" s="4">
        <f>D281</f>
        <v>0.82</v>
      </c>
      <c r="S280" s="4">
        <f t="shared" ref="S280:W280" si="17">E281</f>
        <v>865</v>
      </c>
      <c r="T280" s="4">
        <f t="shared" si="17"/>
        <v>6869</v>
      </c>
      <c r="U280" s="4">
        <f t="shared" si="17"/>
        <v>47369</v>
      </c>
      <c r="V280" s="4">
        <f t="shared" si="17"/>
        <v>0.2036</v>
      </c>
      <c r="W280" s="4">
        <f t="shared" si="17"/>
        <v>80488</v>
      </c>
      <c r="X280" s="14"/>
      <c r="Y280" s="4">
        <f>S280</f>
        <v>865</v>
      </c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</row>
    <row r="281" spans="1:37">
      <c r="A281" s="21" t="s">
        <v>94</v>
      </c>
      <c r="B281" s="43"/>
      <c r="C281" s="4">
        <v>1</v>
      </c>
      <c r="D281" s="4">
        <f>N16</f>
        <v>0.82</v>
      </c>
      <c r="E281" s="4">
        <f t="shared" ref="E281:I281" si="18">O16</f>
        <v>865</v>
      </c>
      <c r="F281" s="4">
        <f t="shared" si="18"/>
        <v>6869</v>
      </c>
      <c r="G281" s="4">
        <f t="shared" si="18"/>
        <v>47369</v>
      </c>
      <c r="H281" s="4">
        <f t="shared" si="18"/>
        <v>0.2036</v>
      </c>
      <c r="I281" s="4">
        <f t="shared" si="18"/>
        <v>80488</v>
      </c>
      <c r="J281" s="14"/>
      <c r="K281" s="4">
        <f>E281</f>
        <v>865</v>
      </c>
      <c r="P281" s="43"/>
      <c r="Q281" s="14"/>
      <c r="R281" s="14"/>
      <c r="S281" s="14"/>
      <c r="T281" s="73"/>
      <c r="U281" s="14"/>
      <c r="V281" s="14"/>
      <c r="W281" s="14"/>
      <c r="X281" s="14"/>
      <c r="Y281" s="4">
        <f>T280</f>
        <v>6869</v>
      </c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</row>
    <row r="282" spans="1:37">
      <c r="B282" s="43"/>
      <c r="C282" s="14"/>
      <c r="D282" s="14"/>
      <c r="E282" s="14"/>
      <c r="F282" s="73"/>
      <c r="G282" s="14"/>
      <c r="H282" s="14"/>
      <c r="I282" s="14"/>
      <c r="J282" s="14"/>
      <c r="K282" s="4">
        <f>F281</f>
        <v>6869</v>
      </c>
      <c r="P282" s="43"/>
      <c r="Q282" s="14"/>
      <c r="R282" s="14">
        <f>ROUND(MMULT(C295:I295,AG140:AG146),4)</f>
        <v>267.75959999999998</v>
      </c>
      <c r="S282" s="14"/>
      <c r="T282" s="14"/>
      <c r="U282" s="14"/>
      <c r="V282" s="14"/>
      <c r="W282" s="14"/>
      <c r="X282" s="14"/>
      <c r="Y282" s="4">
        <f>U280</f>
        <v>47369</v>
      </c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</row>
    <row r="283" spans="1:37">
      <c r="B283" s="43"/>
      <c r="C283" s="14"/>
      <c r="D283" s="14">
        <f>ROUND(MMULT(C295:I295,AG140:AG146),4)</f>
        <v>267.75959999999998</v>
      </c>
      <c r="E283" s="14"/>
      <c r="F283" s="14"/>
      <c r="G283" s="14"/>
      <c r="H283" s="14"/>
      <c r="I283" s="14"/>
      <c r="J283" s="14"/>
      <c r="K283" s="4">
        <f>G281</f>
        <v>47369</v>
      </c>
      <c r="P283" s="43"/>
      <c r="Q283" s="14"/>
      <c r="R283" s="14"/>
      <c r="S283" s="14"/>
      <c r="T283" s="14"/>
      <c r="U283" s="14"/>
      <c r="V283" s="14"/>
      <c r="W283" s="14"/>
      <c r="X283" s="14"/>
      <c r="Y283" s="4">
        <f>V280</f>
        <v>0.2036</v>
      </c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</row>
    <row r="284" spans="1:37">
      <c r="B284" s="43"/>
      <c r="C284" s="14"/>
      <c r="D284" s="14"/>
      <c r="E284" s="14"/>
      <c r="F284" s="14"/>
      <c r="G284" s="14"/>
      <c r="H284" s="14"/>
      <c r="I284" s="14"/>
      <c r="J284" s="14"/>
      <c r="K284" s="4">
        <f>H281</f>
        <v>0.2036</v>
      </c>
      <c r="P284" s="43"/>
      <c r="Q284" s="14"/>
      <c r="R284" s="14">
        <f>MMULT(MMULT(C295:I295,N140:T146),K293:K299)</f>
        <v>0.21447257451281512</v>
      </c>
      <c r="S284" s="14"/>
      <c r="T284" s="14"/>
      <c r="U284" s="14"/>
      <c r="V284" s="14"/>
      <c r="W284" s="14"/>
      <c r="X284" s="14"/>
      <c r="Y284" s="4">
        <f>W280</f>
        <v>80488</v>
      </c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</row>
    <row r="285" spans="1:37">
      <c r="B285" s="43"/>
      <c r="C285" s="14"/>
      <c r="D285" s="14">
        <f>MMULT(MMULT(C295:I295,N140:T146),K293:K299)</f>
        <v>0.21447257451281512</v>
      </c>
      <c r="E285" s="14"/>
      <c r="F285" s="14"/>
      <c r="G285" s="14"/>
      <c r="H285" s="14"/>
      <c r="I285" s="14"/>
      <c r="J285" s="14"/>
      <c r="K285" s="4">
        <f>I281</f>
        <v>80488</v>
      </c>
      <c r="P285" s="43"/>
      <c r="Q285" s="14"/>
      <c r="R285" s="14"/>
      <c r="S285" s="14"/>
      <c r="T285" s="14"/>
      <c r="U285" s="14"/>
      <c r="V285" s="14"/>
      <c r="W285" s="14"/>
      <c r="X285" s="14"/>
      <c r="Y285" s="45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</row>
    <row r="286" spans="1:37">
      <c r="B286" s="43"/>
      <c r="C286" s="14"/>
      <c r="D286" s="14"/>
      <c r="E286" s="14"/>
      <c r="F286" s="14"/>
      <c r="G286" s="14"/>
      <c r="H286" s="14"/>
      <c r="I286" s="14"/>
      <c r="J286" s="14"/>
      <c r="K286" s="45"/>
      <c r="P286" s="43"/>
      <c r="Q286" s="14"/>
      <c r="R286" s="14">
        <f>Y276*R284</f>
        <v>12.087509051804117</v>
      </c>
      <c r="S286" s="14"/>
      <c r="T286" s="14"/>
      <c r="U286" s="14"/>
      <c r="V286" s="14"/>
      <c r="W286" s="14"/>
      <c r="X286" s="14"/>
      <c r="Y286" s="45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</row>
    <row r="287" spans="1:37" ht="15.75">
      <c r="B287" s="43"/>
      <c r="C287" s="14"/>
      <c r="D287" s="14">
        <f>K277*D285</f>
        <v>12.087509051804117</v>
      </c>
      <c r="E287" s="14"/>
      <c r="F287" s="14"/>
      <c r="G287" s="14"/>
      <c r="H287" s="14"/>
      <c r="I287" s="14"/>
      <c r="J287" s="14"/>
      <c r="K287" s="45"/>
      <c r="P287" s="43"/>
      <c r="Q287" s="14"/>
      <c r="R287" s="14"/>
      <c r="S287" s="14"/>
      <c r="T287" s="29" t="s">
        <v>67</v>
      </c>
      <c r="U287" s="14">
        <f>R282-R288</f>
        <v>261.98829999999998</v>
      </c>
      <c r="V287" s="14"/>
      <c r="W287" s="14" t="s">
        <v>139</v>
      </c>
      <c r="X287" s="75" t="str">
        <f>"]"&amp;U287&amp;";"&amp;U288&amp;"["</f>
        <v>]261,9883;273,5309[</v>
      </c>
      <c r="Y287" s="45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</row>
    <row r="288" spans="1:37" ht="16.5" thickBot="1">
      <c r="B288" s="43"/>
      <c r="C288" s="14"/>
      <c r="D288" s="14"/>
      <c r="E288" s="14"/>
      <c r="F288" s="29" t="s">
        <v>67</v>
      </c>
      <c r="G288" s="14">
        <f>D283-D289</f>
        <v>260.87569999999999</v>
      </c>
      <c r="H288" s="14"/>
      <c r="I288" s="14" t="s">
        <v>98</v>
      </c>
      <c r="J288" s="75" t="str">
        <f>"]"&amp;G288&amp;";"&amp;G289&amp;"["</f>
        <v>]260,8757;274,6435[</v>
      </c>
      <c r="K288" s="45"/>
      <c r="P288" s="47"/>
      <c r="Q288" s="48" t="s">
        <v>60</v>
      </c>
      <c r="R288" s="28">
        <f>ROUND(R278*SQRT(R286),4)</f>
        <v>5.7713000000000001</v>
      </c>
      <c r="S288" s="28"/>
      <c r="T288" s="48" t="s">
        <v>68</v>
      </c>
      <c r="U288" s="28">
        <f>R282+R288</f>
        <v>273.53089999999997</v>
      </c>
      <c r="V288" s="28"/>
      <c r="W288" s="28"/>
      <c r="X288" s="28"/>
      <c r="Y288" s="49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</row>
    <row r="289" spans="1:37" ht="13.5" thickBot="1">
      <c r="B289" s="47"/>
      <c r="C289" s="48" t="s">
        <v>60</v>
      </c>
      <c r="D289" s="28">
        <f>ROUND(D279*SQRT(D287),4)</f>
        <v>6.8838999999999997</v>
      </c>
      <c r="E289" s="28"/>
      <c r="F289" s="48" t="s">
        <v>68</v>
      </c>
      <c r="G289" s="28">
        <f>D283+D289</f>
        <v>274.64349999999996</v>
      </c>
      <c r="H289" s="28"/>
      <c r="I289" s="28"/>
      <c r="J289" s="28"/>
      <c r="K289" s="49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</row>
    <row r="290" spans="1:37" ht="13.5" thickBot="1">
      <c r="P290" s="39"/>
      <c r="Q290" s="40" t="s">
        <v>61</v>
      </c>
      <c r="R290" s="41">
        <v>0.9</v>
      </c>
      <c r="S290" s="41"/>
      <c r="T290" s="64" t="s">
        <v>95</v>
      </c>
      <c r="U290" s="41">
        <f>U276</f>
        <v>0.82</v>
      </c>
      <c r="V290" s="74" t="s">
        <v>134</v>
      </c>
      <c r="W290" s="41">
        <f>W276</f>
        <v>47369</v>
      </c>
      <c r="X290" s="41"/>
      <c r="Y290" s="42">
        <f>K291</f>
        <v>56.35922951576201</v>
      </c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</row>
    <row r="291" spans="1:37">
      <c r="A291" s="21" t="s">
        <v>78</v>
      </c>
      <c r="B291" s="39"/>
      <c r="C291" s="40" t="s">
        <v>61</v>
      </c>
      <c r="D291" s="41">
        <v>0.95</v>
      </c>
      <c r="E291" s="41"/>
      <c r="F291" s="64" t="s">
        <v>95</v>
      </c>
      <c r="G291" s="41">
        <f>G277</f>
        <v>0.82</v>
      </c>
      <c r="H291" s="74" t="s">
        <v>134</v>
      </c>
      <c r="I291" s="41">
        <f>I277</f>
        <v>47369</v>
      </c>
      <c r="J291" s="41"/>
      <c r="K291" s="42">
        <f>D165</f>
        <v>56.35922951576201</v>
      </c>
      <c r="P291" s="43"/>
      <c r="Q291" s="44" t="s">
        <v>62</v>
      </c>
      <c r="R291" s="14">
        <f>1-R290</f>
        <v>9.9999999999999978E-2</v>
      </c>
      <c r="S291" s="14"/>
      <c r="T291" s="29" t="s">
        <v>96</v>
      </c>
      <c r="U291" s="14">
        <f>U277</f>
        <v>865</v>
      </c>
      <c r="V291" s="73" t="s">
        <v>135</v>
      </c>
      <c r="W291" s="14">
        <f>W277</f>
        <v>0.2036</v>
      </c>
      <c r="X291" s="14"/>
      <c r="Y291" s="45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</row>
    <row r="292" spans="1:37">
      <c r="A292" s="21" t="s">
        <v>99</v>
      </c>
      <c r="B292" s="43"/>
      <c r="C292" s="44" t="s">
        <v>62</v>
      </c>
      <c r="D292" s="14">
        <f>1-D291</f>
        <v>5.0000000000000044E-2</v>
      </c>
      <c r="E292" s="14"/>
      <c r="F292" s="29" t="s">
        <v>96</v>
      </c>
      <c r="G292" s="14">
        <f>G278</f>
        <v>865</v>
      </c>
      <c r="H292" s="73" t="s">
        <v>135</v>
      </c>
      <c r="I292" s="14">
        <f>I278</f>
        <v>0.2036</v>
      </c>
      <c r="J292" s="14"/>
      <c r="K292" s="45"/>
      <c r="P292" s="43"/>
      <c r="Q292" s="14"/>
      <c r="R292" s="14">
        <f>ROUND(_xlfn.T.INV(1-R291/2,120-(6+1)),2)</f>
        <v>1.66</v>
      </c>
      <c r="S292" s="14"/>
      <c r="T292" s="29" t="s">
        <v>97</v>
      </c>
      <c r="U292" s="14">
        <f>U278</f>
        <v>6869</v>
      </c>
      <c r="V292" s="73" t="s">
        <v>136</v>
      </c>
      <c r="W292" s="14">
        <f>W278</f>
        <v>80488</v>
      </c>
      <c r="X292" s="14"/>
      <c r="Y292" s="4">
        <f>Q294</f>
        <v>1</v>
      </c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</row>
    <row r="293" spans="1:37">
      <c r="A293" s="21" t="s">
        <v>100</v>
      </c>
      <c r="B293" s="43"/>
      <c r="C293" s="14"/>
      <c r="D293" s="14">
        <f>ROUND(_xlfn.T.INV(1-D292/2,120-(6+1)),2)</f>
        <v>1.98</v>
      </c>
      <c r="E293" s="14"/>
      <c r="F293" s="29" t="s">
        <v>97</v>
      </c>
      <c r="G293" s="14">
        <f>G279</f>
        <v>6869</v>
      </c>
      <c r="H293" s="73" t="s">
        <v>136</v>
      </c>
      <c r="I293" s="14">
        <f>I279</f>
        <v>80488</v>
      </c>
      <c r="J293" s="14"/>
      <c r="K293" s="4">
        <f>C295</f>
        <v>1</v>
      </c>
      <c r="P293" s="43"/>
      <c r="Q293" s="14"/>
      <c r="R293" s="14"/>
      <c r="S293" s="14"/>
      <c r="T293" s="73"/>
      <c r="U293" s="14"/>
      <c r="V293" s="14"/>
      <c r="W293" s="14"/>
      <c r="X293" s="14"/>
      <c r="Y293" s="4">
        <f>R294</f>
        <v>0.82</v>
      </c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</row>
    <row r="294" spans="1:37">
      <c r="A294" s="21" t="s">
        <v>101</v>
      </c>
      <c r="B294" s="43"/>
      <c r="C294" s="14"/>
      <c r="D294" s="14"/>
      <c r="E294" s="14"/>
      <c r="F294" s="73"/>
      <c r="G294" s="14"/>
      <c r="H294" s="14"/>
      <c r="I294" s="14"/>
      <c r="J294" s="14"/>
      <c r="K294" s="4">
        <f>D295</f>
        <v>0.82</v>
      </c>
      <c r="P294" s="43"/>
      <c r="Q294" s="4">
        <v>1</v>
      </c>
      <c r="R294" s="4">
        <f>D295</f>
        <v>0.82</v>
      </c>
      <c r="S294" s="4">
        <f t="shared" ref="S294:W294" si="19">E295</f>
        <v>865</v>
      </c>
      <c r="T294" s="4">
        <f t="shared" si="19"/>
        <v>6869</v>
      </c>
      <c r="U294" s="4">
        <f t="shared" si="19"/>
        <v>47369</v>
      </c>
      <c r="V294" s="4">
        <f t="shared" si="19"/>
        <v>0.2036</v>
      </c>
      <c r="W294" s="4">
        <f t="shared" si="19"/>
        <v>80488</v>
      </c>
      <c r="X294" s="14"/>
      <c r="Y294" s="4">
        <f>S294</f>
        <v>865</v>
      </c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</row>
    <row r="295" spans="1:37">
      <c r="A295" s="21" t="s">
        <v>102</v>
      </c>
      <c r="B295" s="43"/>
      <c r="C295" s="4">
        <v>1</v>
      </c>
      <c r="D295" s="4">
        <f t="shared" ref="D295:I295" si="20">N16</f>
        <v>0.82</v>
      </c>
      <c r="E295" s="4">
        <f t="shared" si="20"/>
        <v>865</v>
      </c>
      <c r="F295" s="4">
        <f t="shared" si="20"/>
        <v>6869</v>
      </c>
      <c r="G295" s="4">
        <f t="shared" si="20"/>
        <v>47369</v>
      </c>
      <c r="H295" s="4">
        <f t="shared" si="20"/>
        <v>0.2036</v>
      </c>
      <c r="I295" s="4">
        <f t="shared" si="20"/>
        <v>80488</v>
      </c>
      <c r="J295" s="14"/>
      <c r="K295" s="4">
        <f>E295</f>
        <v>865</v>
      </c>
      <c r="P295" s="43"/>
      <c r="Q295" s="14"/>
      <c r="R295" s="14"/>
      <c r="S295" s="14"/>
      <c r="T295" s="73"/>
      <c r="U295" s="14"/>
      <c r="V295" s="14"/>
      <c r="W295" s="14"/>
      <c r="X295" s="14"/>
      <c r="Y295" s="4">
        <f>T294</f>
        <v>6869</v>
      </c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</row>
    <row r="296" spans="1:37">
      <c r="A296" s="21" t="s">
        <v>94</v>
      </c>
      <c r="B296" s="43"/>
      <c r="C296" s="14"/>
      <c r="D296" s="14"/>
      <c r="E296" s="14"/>
      <c r="F296" s="73"/>
      <c r="G296" s="14"/>
      <c r="H296" s="14"/>
      <c r="I296" s="14"/>
      <c r="J296" s="14"/>
      <c r="K296" s="4">
        <f>F295</f>
        <v>6869</v>
      </c>
      <c r="P296" s="43"/>
      <c r="Q296" s="14"/>
      <c r="R296" s="14">
        <f>ROUND(MMULT(C295:I295,AG140:AG146),4)</f>
        <v>267.75959999999998</v>
      </c>
      <c r="S296" s="14"/>
      <c r="T296" s="14"/>
      <c r="U296" s="14"/>
      <c r="V296" s="14"/>
      <c r="W296" s="14"/>
      <c r="X296" s="14"/>
      <c r="Y296" s="4">
        <f>U294</f>
        <v>47369</v>
      </c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</row>
    <row r="297" spans="1:37">
      <c r="B297" s="43"/>
      <c r="C297" s="14"/>
      <c r="D297" s="14">
        <f>ROUND(MMULT(C295:I295,AG140:AG146),4)</f>
        <v>267.75959999999998</v>
      </c>
      <c r="E297" s="14"/>
      <c r="F297" s="14"/>
      <c r="G297" s="14"/>
      <c r="H297" s="14"/>
      <c r="I297" s="14"/>
      <c r="J297" s="14"/>
      <c r="K297" s="4">
        <f>G295</f>
        <v>47369</v>
      </c>
      <c r="P297" s="43"/>
      <c r="Q297" s="14"/>
      <c r="R297" s="14"/>
      <c r="S297" s="14"/>
      <c r="T297" s="14"/>
      <c r="U297" s="14"/>
      <c r="V297" s="14"/>
      <c r="W297" s="14"/>
      <c r="X297" s="14"/>
      <c r="Y297" s="4">
        <f>V294</f>
        <v>0.2036</v>
      </c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</row>
    <row r="298" spans="1:37">
      <c r="B298" s="43"/>
      <c r="C298" s="14"/>
      <c r="D298" s="14"/>
      <c r="E298" s="14"/>
      <c r="F298" s="14"/>
      <c r="G298" s="14"/>
      <c r="H298" s="14"/>
      <c r="I298" s="14"/>
      <c r="J298" s="14"/>
      <c r="K298" s="4">
        <f>H295</f>
        <v>0.2036</v>
      </c>
      <c r="P298" s="43"/>
      <c r="Q298" s="14"/>
      <c r="R298" s="14">
        <f>MMULT(MMULT(C295:I295,N140:T146),K293:K299)</f>
        <v>0.21447257451281512</v>
      </c>
      <c r="S298" s="14"/>
      <c r="T298" s="14"/>
      <c r="U298" s="14"/>
      <c r="V298" s="14"/>
      <c r="W298" s="14"/>
      <c r="X298" s="14"/>
      <c r="Y298" s="4">
        <f>W294</f>
        <v>80488</v>
      </c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</row>
    <row r="299" spans="1:37">
      <c r="B299" s="43"/>
      <c r="C299" s="14"/>
      <c r="D299" s="14">
        <f>MMULT(MMULT(C295:I295,N140:T146),K293:K299)</f>
        <v>0.21447257451281512</v>
      </c>
      <c r="E299" s="14"/>
      <c r="F299" s="14"/>
      <c r="G299" s="14"/>
      <c r="H299" s="14"/>
      <c r="I299" s="14"/>
      <c r="J299" s="14"/>
      <c r="K299" s="4">
        <f>I295</f>
        <v>80488</v>
      </c>
      <c r="P299" s="43"/>
      <c r="Q299" s="14"/>
      <c r="R299" s="14"/>
      <c r="S299" s="14"/>
      <c r="T299" s="14"/>
      <c r="U299" s="14"/>
      <c r="V299" s="14"/>
      <c r="W299" s="14"/>
      <c r="X299" s="14"/>
      <c r="Y299" s="45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</row>
    <row r="300" spans="1:37">
      <c r="B300" s="43"/>
      <c r="C300" s="14"/>
      <c r="D300" s="14"/>
      <c r="E300" s="14"/>
      <c r="F300" s="14"/>
      <c r="G300" s="14"/>
      <c r="H300" s="14"/>
      <c r="I300" s="14"/>
      <c r="J300" s="14"/>
      <c r="K300" s="45"/>
      <c r="P300" s="43"/>
      <c r="Q300" s="14"/>
      <c r="R300" s="14">
        <f>Y290*(1+R298)</f>
        <v>68.446738567566129</v>
      </c>
      <c r="S300" s="14"/>
      <c r="T300" s="14"/>
      <c r="U300" s="14"/>
      <c r="V300" s="14"/>
      <c r="W300" s="14"/>
      <c r="X300" s="14"/>
      <c r="Y300" s="45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</row>
    <row r="301" spans="1:37" ht="15.75">
      <c r="B301" s="43"/>
      <c r="C301" s="14"/>
      <c r="D301" s="14">
        <f>K291*(1+D299)</f>
        <v>68.446738567566129</v>
      </c>
      <c r="E301" s="14"/>
      <c r="F301" s="14"/>
      <c r="G301" s="14"/>
      <c r="H301" s="14"/>
      <c r="I301" s="14"/>
      <c r="J301" s="14"/>
      <c r="K301" s="45"/>
      <c r="P301" s="43"/>
      <c r="Q301" s="14"/>
      <c r="R301" s="14"/>
      <c r="S301" s="14"/>
      <c r="T301" s="29" t="s">
        <v>67</v>
      </c>
      <c r="U301" s="14">
        <f>R296-R302</f>
        <v>254.02599999999998</v>
      </c>
      <c r="V301" s="14"/>
      <c r="W301" s="14" t="s">
        <v>139</v>
      </c>
      <c r="X301" s="75" t="str">
        <f>"]"&amp;U301&amp;";"&amp;U302&amp;"["</f>
        <v>]254,026;281,4932[</v>
      </c>
      <c r="Y301" s="45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</row>
    <row r="302" spans="1:37" ht="16.5" thickBot="1">
      <c r="B302" s="43"/>
      <c r="C302" s="14"/>
      <c r="D302" s="14"/>
      <c r="E302" s="14"/>
      <c r="F302" s="29" t="s">
        <v>67</v>
      </c>
      <c r="G302" s="14">
        <f>D297-D303</f>
        <v>251.37859999999998</v>
      </c>
      <c r="H302" s="14"/>
      <c r="I302" s="14" t="s">
        <v>98</v>
      </c>
      <c r="J302" s="75" t="str">
        <f>"]"&amp;G302&amp;";"&amp;G303&amp;"["</f>
        <v>]251,3786;284,1406[</v>
      </c>
      <c r="K302" s="45"/>
      <c r="P302" s="47"/>
      <c r="Q302" s="48" t="s">
        <v>60</v>
      </c>
      <c r="R302" s="28">
        <f>ROUND(R292*SQRT(R300),4)</f>
        <v>13.733599999999999</v>
      </c>
      <c r="S302" s="28"/>
      <c r="T302" s="48" t="s">
        <v>68</v>
      </c>
      <c r="U302" s="28">
        <f>R296+R302</f>
        <v>281.4932</v>
      </c>
      <c r="V302" s="28"/>
      <c r="W302" s="28"/>
      <c r="X302" s="28"/>
      <c r="Y302" s="49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</row>
    <row r="303" spans="1:37" ht="13.5" thickBot="1">
      <c r="B303" s="47"/>
      <c r="C303" s="48" t="s">
        <v>60</v>
      </c>
      <c r="D303" s="28">
        <f>ROUND(D293*SQRT(D301),4)</f>
        <v>16.381</v>
      </c>
      <c r="E303" s="28"/>
      <c r="F303" s="48" t="s">
        <v>68</v>
      </c>
      <c r="G303" s="28">
        <f>D297+D303</f>
        <v>284.14059999999995</v>
      </c>
      <c r="H303" s="28"/>
      <c r="I303" s="28"/>
      <c r="J303" s="28"/>
      <c r="K303" s="49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</row>
    <row r="304" spans="1:37" ht="13.5" thickBot="1"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</row>
    <row r="305" spans="1:37">
      <c r="B305" s="39"/>
      <c r="C305" s="41"/>
      <c r="D305" s="41"/>
      <c r="E305" s="41"/>
      <c r="F305" s="41"/>
      <c r="G305" s="41"/>
      <c r="H305" s="41"/>
      <c r="I305" s="41"/>
      <c r="J305" s="41"/>
      <c r="K305" s="41"/>
      <c r="L305" s="42"/>
      <c r="P305" s="39"/>
      <c r="Q305" s="41"/>
      <c r="R305" s="41"/>
      <c r="S305" s="41"/>
      <c r="T305" s="41"/>
      <c r="U305" s="41"/>
      <c r="V305" s="41"/>
      <c r="W305" s="41"/>
      <c r="X305" s="41"/>
      <c r="Y305" s="41"/>
      <c r="Z305" s="42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</row>
    <row r="306" spans="1:37">
      <c r="A306" s="21" t="s">
        <v>103</v>
      </c>
      <c r="B306" s="43"/>
      <c r="C306" s="14"/>
      <c r="D306" s="14"/>
      <c r="E306" s="14"/>
      <c r="F306" s="14"/>
      <c r="G306" s="29" t="str">
        <f>A309&amp;"="</f>
        <v>β0=</v>
      </c>
      <c r="H306" s="14">
        <f>AG140</f>
        <v>-7.703133210734066</v>
      </c>
      <c r="I306" s="14"/>
      <c r="J306" s="14"/>
      <c r="K306" s="14"/>
      <c r="L306" s="45"/>
      <c r="P306" s="43"/>
      <c r="Q306" s="14"/>
      <c r="R306" s="14"/>
      <c r="S306" s="14"/>
      <c r="T306" s="14"/>
      <c r="U306" s="29" t="str">
        <f>G306</f>
        <v>β0=</v>
      </c>
      <c r="V306" s="29">
        <f>H306</f>
        <v>-7.703133210734066</v>
      </c>
      <c r="W306" s="14"/>
      <c r="X306" s="14"/>
      <c r="Y306" s="14"/>
      <c r="Z306" s="45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</row>
    <row r="307" spans="1:37">
      <c r="A307" s="21" t="s">
        <v>83</v>
      </c>
      <c r="B307" s="43"/>
      <c r="C307" s="14"/>
      <c r="D307" s="14"/>
      <c r="E307" s="14"/>
      <c r="F307" s="14"/>
      <c r="G307" s="14"/>
      <c r="H307" s="14"/>
      <c r="I307" s="14"/>
      <c r="J307" s="14"/>
      <c r="K307" s="14"/>
      <c r="L307" s="45"/>
      <c r="P307" s="43"/>
      <c r="Q307" s="14"/>
      <c r="R307" s="14"/>
      <c r="S307" s="14"/>
      <c r="T307" s="14"/>
      <c r="U307" s="14"/>
      <c r="V307" s="14"/>
      <c r="W307" s="14"/>
      <c r="X307" s="14"/>
      <c r="Y307" s="14"/>
      <c r="Z307" s="45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</row>
    <row r="308" spans="1:37">
      <c r="A308" s="21" t="s">
        <v>104</v>
      </c>
      <c r="B308" s="43"/>
      <c r="C308" s="14"/>
      <c r="D308" s="14"/>
      <c r="E308" s="14"/>
      <c r="F308" s="14"/>
      <c r="G308" s="14"/>
      <c r="H308" s="14">
        <f>N140</f>
        <v>1.7104622040486324</v>
      </c>
      <c r="I308" s="14"/>
      <c r="J308" s="14"/>
      <c r="K308" s="14"/>
      <c r="L308" s="45"/>
      <c r="P308" s="43"/>
      <c r="Q308" s="14"/>
      <c r="R308" s="14"/>
      <c r="S308" s="14"/>
      <c r="T308" s="14"/>
      <c r="U308" s="14"/>
      <c r="V308" s="29">
        <f>H308</f>
        <v>1.7104622040486324</v>
      </c>
      <c r="W308" s="14"/>
      <c r="X308" s="14"/>
      <c r="Y308" s="14"/>
      <c r="Z308" s="45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</row>
    <row r="309" spans="1:37">
      <c r="A309" s="21" t="s">
        <v>84</v>
      </c>
      <c r="B309" s="43"/>
      <c r="C309" s="14"/>
      <c r="D309" s="14"/>
      <c r="E309" s="14"/>
      <c r="F309" s="14"/>
      <c r="G309" s="14"/>
      <c r="H309" s="14"/>
      <c r="I309" s="14"/>
      <c r="J309" s="14"/>
      <c r="K309" s="14"/>
      <c r="L309" s="45"/>
      <c r="P309" s="43"/>
      <c r="Q309" s="14"/>
      <c r="R309" s="14"/>
      <c r="S309" s="14"/>
      <c r="T309" s="14"/>
      <c r="U309" s="14"/>
      <c r="V309" s="14"/>
      <c r="W309" s="14"/>
      <c r="X309" s="14"/>
      <c r="Y309" s="14"/>
      <c r="Z309" s="45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</row>
    <row r="310" spans="1:37">
      <c r="B310" s="43"/>
      <c r="C310" s="14"/>
      <c r="D310" s="14"/>
      <c r="E310" s="14"/>
      <c r="F310" s="14"/>
      <c r="G310" s="14"/>
      <c r="H310" s="14"/>
      <c r="I310" s="14"/>
      <c r="J310" s="14"/>
      <c r="K310" s="14"/>
      <c r="L310" s="45"/>
      <c r="P310" s="43"/>
      <c r="Q310" s="14"/>
      <c r="R310" s="14"/>
      <c r="S310" s="14"/>
      <c r="T310" s="14"/>
      <c r="U310" s="14"/>
      <c r="V310" s="14"/>
      <c r="W310" s="14"/>
      <c r="X310" s="14"/>
      <c r="Y310" s="14"/>
      <c r="Z310" s="45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</row>
    <row r="311" spans="1:37">
      <c r="B311" s="43"/>
      <c r="C311" s="14">
        <f>D165</f>
        <v>56.35922951576201</v>
      </c>
      <c r="D311" s="14"/>
      <c r="E311" s="14"/>
      <c r="F311" s="14"/>
      <c r="G311" s="14"/>
      <c r="H311" s="14"/>
      <c r="I311" s="14"/>
      <c r="J311" s="14"/>
      <c r="K311" s="14"/>
      <c r="L311" s="45"/>
      <c r="P311" s="43"/>
      <c r="Q311" s="14">
        <f>C311</f>
        <v>56.35922951576201</v>
      </c>
      <c r="R311" s="14"/>
      <c r="S311" s="14"/>
      <c r="T311" s="14"/>
      <c r="U311" s="14"/>
      <c r="V311" s="14"/>
      <c r="W311" s="14"/>
      <c r="X311" s="14"/>
      <c r="Y311" s="14"/>
      <c r="Z311" s="45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</row>
    <row r="312" spans="1:37">
      <c r="B312" s="43"/>
      <c r="C312" s="14"/>
      <c r="D312" s="14"/>
      <c r="E312" s="14"/>
      <c r="F312" s="14"/>
      <c r="G312" s="14"/>
      <c r="H312" s="14"/>
      <c r="I312" s="14"/>
      <c r="J312" s="14"/>
      <c r="K312" s="14"/>
      <c r="L312" s="45"/>
      <c r="P312" s="43"/>
      <c r="Q312" s="14"/>
      <c r="R312" s="14"/>
      <c r="S312" s="14"/>
      <c r="T312" s="14"/>
      <c r="U312" s="14"/>
      <c r="V312" s="14"/>
      <c r="W312" s="14"/>
      <c r="X312" s="14"/>
      <c r="Y312" s="14"/>
      <c r="Z312" s="45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</row>
    <row r="313" spans="1:37">
      <c r="B313" s="43"/>
      <c r="C313" s="44" t="s">
        <v>105</v>
      </c>
      <c r="D313" s="14">
        <v>0.05</v>
      </c>
      <c r="E313" s="14"/>
      <c r="F313" s="14"/>
      <c r="G313" s="29" t="s">
        <v>108</v>
      </c>
      <c r="H313" s="14" t="str">
        <f>"]-∞;-"&amp;ROUND(D315,4)&amp;"[ U ]"&amp;ROUND(D315,4)&amp;";+∞["</f>
        <v>]-∞;-1,98[ U ]1,98;+∞[</v>
      </c>
      <c r="I313" s="14"/>
      <c r="J313" s="14"/>
      <c r="K313" s="14"/>
      <c r="L313" s="45"/>
      <c r="P313" s="43"/>
      <c r="Q313" s="44" t="s">
        <v>105</v>
      </c>
      <c r="R313" s="14">
        <v>0.01</v>
      </c>
      <c r="S313" s="14"/>
      <c r="T313" s="14"/>
      <c r="U313" s="29" t="s">
        <v>108</v>
      </c>
      <c r="V313" s="14" t="str">
        <f>"]-∞;-"&amp;ROUND(R315,4)&amp;"[ U ]"&amp;ROUND(R315,4)&amp;";+∞["</f>
        <v>]-∞;-2,62[ U ]2,62;+∞[</v>
      </c>
      <c r="W313" s="14"/>
      <c r="X313" s="14"/>
      <c r="Y313" s="14"/>
      <c r="Z313" s="45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</row>
    <row r="314" spans="1:37">
      <c r="B314" s="43"/>
      <c r="C314" s="44"/>
      <c r="D314" s="14"/>
      <c r="E314" s="14"/>
      <c r="F314" s="14"/>
      <c r="G314" s="14"/>
      <c r="H314" s="14"/>
      <c r="I314" s="14"/>
      <c r="J314" s="14"/>
      <c r="K314" s="14"/>
      <c r="L314" s="45"/>
      <c r="P314" s="43"/>
      <c r="Q314" s="44"/>
      <c r="R314" s="14"/>
      <c r="S314" s="14"/>
      <c r="T314" s="14"/>
      <c r="U314" s="14"/>
      <c r="V314" s="14"/>
      <c r="W314" s="14"/>
      <c r="X314" s="14"/>
      <c r="Y314" s="14"/>
      <c r="Z314" s="45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</row>
    <row r="315" spans="1:37">
      <c r="B315" s="43"/>
      <c r="C315" s="14"/>
      <c r="D315" s="14">
        <f>ROUND(_xlfn.T.INV(1-D313/2,120-(6+1)),2)</f>
        <v>1.98</v>
      </c>
      <c r="E315" s="14"/>
      <c r="F315" s="14"/>
      <c r="G315" s="14"/>
      <c r="H315" s="14"/>
      <c r="I315" s="14"/>
      <c r="J315" s="14"/>
      <c r="K315" s="14"/>
      <c r="L315" s="45"/>
      <c r="P315" s="43"/>
      <c r="Q315" s="14"/>
      <c r="R315" s="14">
        <f>ROUND(_xlfn.T.INV(1-R313/2,120-(6+1)),2)</f>
        <v>2.62</v>
      </c>
      <c r="S315" s="14"/>
      <c r="T315" s="14"/>
      <c r="U315" s="14"/>
      <c r="V315" s="14"/>
      <c r="W315" s="14"/>
      <c r="X315" s="14"/>
      <c r="Y315" s="14"/>
      <c r="Z315" s="45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</row>
    <row r="316" spans="1:37">
      <c r="B316" s="43"/>
      <c r="C316" s="29"/>
      <c r="D316" s="14"/>
      <c r="E316" s="14"/>
      <c r="F316" s="14"/>
      <c r="G316" s="14"/>
      <c r="H316" s="14"/>
      <c r="I316" s="14"/>
      <c r="J316" s="14"/>
      <c r="K316" s="14"/>
      <c r="L316" s="45"/>
      <c r="P316" s="43"/>
      <c r="Q316" s="29"/>
      <c r="R316" s="14"/>
      <c r="S316" s="14"/>
      <c r="T316" s="14"/>
      <c r="U316" s="14"/>
      <c r="V316" s="14"/>
      <c r="W316" s="14"/>
      <c r="X316" s="14"/>
      <c r="Y316" s="14"/>
      <c r="Z316" s="45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</row>
    <row r="317" spans="1:37">
      <c r="B317" s="43"/>
      <c r="C317" s="14"/>
      <c r="D317" s="14"/>
      <c r="E317" s="14"/>
      <c r="F317" s="14"/>
      <c r="G317" s="14"/>
      <c r="H317" s="14"/>
      <c r="I317" s="14"/>
      <c r="J317" s="14"/>
      <c r="K317" s="14"/>
      <c r="L317" s="45"/>
      <c r="P317" s="43"/>
      <c r="Q317" s="14"/>
      <c r="R317" s="14"/>
      <c r="S317" s="14"/>
      <c r="T317" s="14"/>
      <c r="U317" s="14"/>
      <c r="V317" s="14"/>
      <c r="W317" s="14"/>
      <c r="X317" s="14"/>
      <c r="Y317" s="14"/>
      <c r="Z317" s="45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</row>
    <row r="318" spans="1:37">
      <c r="B318" s="43"/>
      <c r="C318" s="14"/>
      <c r="D318" s="14"/>
      <c r="E318" s="14"/>
      <c r="F318" s="14"/>
      <c r="G318" s="14"/>
      <c r="H318" s="14"/>
      <c r="I318" s="14"/>
      <c r="J318" s="14"/>
      <c r="K318" s="14"/>
      <c r="L318" s="45"/>
      <c r="P318" s="43"/>
      <c r="Q318" s="14"/>
      <c r="R318" s="14"/>
      <c r="S318" s="14"/>
      <c r="T318" s="14"/>
      <c r="U318" s="14"/>
      <c r="V318" s="14"/>
      <c r="W318" s="14"/>
      <c r="X318" s="14"/>
      <c r="Y318" s="14"/>
      <c r="Z318" s="45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</row>
    <row r="319" spans="1:37">
      <c r="B319" s="43"/>
      <c r="C319" s="29" t="s">
        <v>106</v>
      </c>
      <c r="D319" s="14">
        <f>ROUND(H306/SQRT(C311*H308),4)</f>
        <v>-0.78459999999999996</v>
      </c>
      <c r="E319" s="14"/>
      <c r="F319" s="14"/>
      <c r="G319" s="14"/>
      <c r="H319" s="14"/>
      <c r="I319" s="14"/>
      <c r="J319" s="14"/>
      <c r="K319" s="14"/>
      <c r="L319" s="45"/>
      <c r="P319" s="43"/>
      <c r="Q319" s="29" t="s">
        <v>106</v>
      </c>
      <c r="R319" s="14">
        <f>ROUND(V306/SQRT(Q311*V308),4)</f>
        <v>-0.78459999999999996</v>
      </c>
      <c r="S319" s="14"/>
      <c r="T319" s="14"/>
      <c r="U319" s="14"/>
      <c r="V319" s="14"/>
      <c r="W319" s="14"/>
      <c r="X319" s="14"/>
      <c r="Y319" s="14"/>
      <c r="Z319" s="45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</row>
    <row r="320" spans="1:37">
      <c r="B320" s="43"/>
      <c r="C320" s="29" t="s">
        <v>107</v>
      </c>
      <c r="D320" s="14">
        <f>ABS(D319)</f>
        <v>0.78459999999999996</v>
      </c>
      <c r="E320" s="14"/>
      <c r="F320" s="14"/>
      <c r="G320" s="14"/>
      <c r="H320" s="14"/>
      <c r="I320" s="14"/>
      <c r="J320" s="14"/>
      <c r="K320" s="14"/>
      <c r="L320" s="45"/>
      <c r="P320" s="43"/>
      <c r="Q320" s="29" t="s">
        <v>107</v>
      </c>
      <c r="R320" s="14">
        <f>ABS(R319)</f>
        <v>0.78459999999999996</v>
      </c>
      <c r="S320" s="14"/>
      <c r="T320" s="14"/>
      <c r="U320" s="14"/>
      <c r="V320" s="14"/>
      <c r="W320" s="14"/>
      <c r="X320" s="14"/>
      <c r="Y320" s="14"/>
      <c r="Z320" s="45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</row>
    <row r="321" spans="1:37" ht="13.5" thickBot="1">
      <c r="B321" s="47" t="str">
        <f>IF(ABS(D319)&gt;ROUND(D315,4), "Como |"&amp;ROUND(D319,2)&amp;"| &gt; "&amp;ROUND(D315,4)&amp;" então rejeita-se H0, logo a um nível de significância de "&amp;D313*100&amp;"% há evidencia estatística suficiente para se concluir que "&amp;A309&amp;" é não nulo","Como |"&amp;ROUND(D319,2)&amp;"|  ≤ "&amp;ROUND(D315,4)&amp;" então não se rejeita H0, logo a um nível de significância de "&amp;D313*100&amp;"% há evidencia estatística suficiente para se concluir que "&amp;A309&amp;" é nulo")</f>
        <v>Como |-0,78|  ≤ 1,98 então não se rejeita H0, logo a um nível de significância de 5% há evidencia estatística suficiente para se concluir que β0 é nulo</v>
      </c>
      <c r="C321" s="28"/>
      <c r="D321" s="28"/>
      <c r="E321" s="28"/>
      <c r="F321" s="28"/>
      <c r="G321" s="28"/>
      <c r="H321" s="28"/>
      <c r="I321" s="28"/>
      <c r="J321" s="28"/>
      <c r="K321" s="49"/>
      <c r="L321" s="49"/>
      <c r="P321" s="47" t="str">
        <f>IF(ABS(R319)&gt;ROUND(R315,4), "Como |"&amp;ROUND(R319,2)&amp;"| &gt; "&amp;ROUND(R315,4)&amp;" então rejeita-se H0, logo a um nível de significância de "&amp;R313*100&amp;"% há evidencia estatística suficiente para se concluir que "&amp;U306&amp;" é não nulo","Como |"&amp;ROUND(R319,2)&amp;"|  ≤ "&amp;ROUND(R315,4)&amp;" então não se rejeita H0, logo a um nível de significância de "&amp;R313*100&amp;"% há evidencia estatística suficiente para se concluir que "&amp;U306&amp;" é nulo")</f>
        <v>Como |-0,78|  ≤ 2,62 então não se rejeita H0, logo a um nível de significância de 1% há evidencia estatística suficiente para se concluir que β0= é nulo</v>
      </c>
      <c r="Q321" s="28"/>
      <c r="R321" s="28"/>
      <c r="S321" s="28"/>
      <c r="T321" s="28"/>
      <c r="U321" s="28"/>
      <c r="V321" s="28"/>
      <c r="W321" s="28"/>
      <c r="X321" s="28"/>
      <c r="Y321" s="49"/>
      <c r="Z321" s="49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</row>
    <row r="322" spans="1:37" ht="13.5" thickBot="1"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</row>
    <row r="323" spans="1:37">
      <c r="B323" s="39"/>
      <c r="C323" s="41"/>
      <c r="D323" s="41"/>
      <c r="E323" s="41"/>
      <c r="F323" s="41"/>
      <c r="G323" s="41"/>
      <c r="H323" s="41"/>
      <c r="I323" s="41"/>
      <c r="J323" s="41"/>
      <c r="K323" s="41"/>
      <c r="L323" s="42"/>
      <c r="P323" s="39"/>
      <c r="Q323" s="41"/>
      <c r="R323" s="41"/>
      <c r="S323" s="41"/>
      <c r="T323" s="41"/>
      <c r="U323" s="41"/>
      <c r="V323" s="41"/>
      <c r="W323" s="41"/>
      <c r="X323" s="41"/>
      <c r="Y323" s="41"/>
      <c r="Z323" s="42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</row>
    <row r="324" spans="1:37">
      <c r="A324" s="21" t="s">
        <v>103</v>
      </c>
      <c r="B324" s="43"/>
      <c r="C324" s="14"/>
      <c r="D324" s="14"/>
      <c r="E324" s="14"/>
      <c r="F324" s="14"/>
      <c r="G324" s="29" t="str">
        <f>A327&amp;"="</f>
        <v>β1=</v>
      </c>
      <c r="H324" s="14">
        <f>AG141</f>
        <v>-2.5741779130499651</v>
      </c>
      <c r="I324" s="14"/>
      <c r="J324" s="14"/>
      <c r="K324" s="14"/>
      <c r="L324" s="45"/>
      <c r="P324" s="43"/>
      <c r="Q324" s="14"/>
      <c r="R324" s="14"/>
      <c r="S324" s="14"/>
      <c r="T324" s="14"/>
      <c r="U324" s="29" t="str">
        <f>G324</f>
        <v>β1=</v>
      </c>
      <c r="V324" s="29">
        <f>H324</f>
        <v>-2.5741779130499651</v>
      </c>
      <c r="W324" s="14"/>
      <c r="X324" s="14"/>
      <c r="Y324" s="14"/>
      <c r="Z324" s="45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</row>
    <row r="325" spans="1:37">
      <c r="A325" s="21" t="s">
        <v>83</v>
      </c>
      <c r="B325" s="43"/>
      <c r="C325" s="14"/>
      <c r="D325" s="14"/>
      <c r="E325" s="14"/>
      <c r="F325" s="14"/>
      <c r="G325" s="14"/>
      <c r="H325" s="14"/>
      <c r="I325" s="14"/>
      <c r="J325" s="14"/>
      <c r="K325" s="14"/>
      <c r="L325" s="45"/>
      <c r="P325" s="43"/>
      <c r="Q325" s="14"/>
      <c r="R325" s="14"/>
      <c r="S325" s="14"/>
      <c r="T325" s="14"/>
      <c r="U325" s="14"/>
      <c r="V325" s="14"/>
      <c r="W325" s="14"/>
      <c r="X325" s="14"/>
      <c r="Y325" s="14"/>
      <c r="Z325" s="45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</row>
    <row r="326" spans="1:37">
      <c r="A326" s="21" t="s">
        <v>104</v>
      </c>
      <c r="B326" s="43"/>
      <c r="C326" s="14"/>
      <c r="D326" s="14"/>
      <c r="E326" s="14"/>
      <c r="F326" s="14"/>
      <c r="G326" s="14"/>
      <c r="H326" s="14">
        <f>O141</f>
        <v>1.6552006542783573</v>
      </c>
      <c r="I326" s="14"/>
      <c r="J326" s="14"/>
      <c r="K326" s="14"/>
      <c r="L326" s="45"/>
      <c r="P326" s="43"/>
      <c r="Q326" s="14"/>
      <c r="R326" s="14"/>
      <c r="S326" s="14"/>
      <c r="T326" s="14"/>
      <c r="U326" s="14"/>
      <c r="V326" s="29">
        <f>H326</f>
        <v>1.6552006542783573</v>
      </c>
      <c r="W326" s="14"/>
      <c r="X326" s="14"/>
      <c r="Y326" s="14"/>
      <c r="Z326" s="45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</row>
    <row r="327" spans="1:37">
      <c r="A327" s="21" t="s">
        <v>85</v>
      </c>
      <c r="B327" s="43"/>
      <c r="C327" s="14"/>
      <c r="D327" s="14"/>
      <c r="E327" s="14"/>
      <c r="F327" s="14"/>
      <c r="G327" s="14"/>
      <c r="H327" s="14"/>
      <c r="I327" s="14"/>
      <c r="J327" s="14"/>
      <c r="K327" s="14"/>
      <c r="L327" s="45"/>
      <c r="P327" s="43"/>
      <c r="Q327" s="14"/>
      <c r="R327" s="14"/>
      <c r="S327" s="14"/>
      <c r="T327" s="14"/>
      <c r="U327" s="14"/>
      <c r="V327" s="14"/>
      <c r="W327" s="14"/>
      <c r="X327" s="14"/>
      <c r="Y327" s="14"/>
      <c r="Z327" s="45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</row>
    <row r="328" spans="1:37">
      <c r="B328" s="43"/>
      <c r="C328" s="14"/>
      <c r="D328" s="14"/>
      <c r="E328" s="14"/>
      <c r="F328" s="14"/>
      <c r="G328" s="14"/>
      <c r="H328" s="14"/>
      <c r="I328" s="14"/>
      <c r="J328" s="14"/>
      <c r="K328" s="14"/>
      <c r="L328" s="45"/>
      <c r="P328" s="43"/>
      <c r="Q328" s="14"/>
      <c r="R328" s="14"/>
      <c r="S328" s="14"/>
      <c r="T328" s="14"/>
      <c r="U328" s="14"/>
      <c r="V328" s="14"/>
      <c r="W328" s="14"/>
      <c r="X328" s="14"/>
      <c r="Y328" s="14"/>
      <c r="Z328" s="45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</row>
    <row r="329" spans="1:37">
      <c r="B329" s="43"/>
      <c r="C329" s="14">
        <f>D165</f>
        <v>56.35922951576201</v>
      </c>
      <c r="D329" s="14"/>
      <c r="E329" s="14"/>
      <c r="F329" s="14"/>
      <c r="G329" s="14"/>
      <c r="H329" s="14"/>
      <c r="I329" s="14"/>
      <c r="J329" s="14"/>
      <c r="K329" s="14"/>
      <c r="L329" s="45"/>
      <c r="P329" s="43"/>
      <c r="Q329" s="14">
        <f>C329</f>
        <v>56.35922951576201</v>
      </c>
      <c r="R329" s="14"/>
      <c r="S329" s="14"/>
      <c r="T329" s="14"/>
      <c r="U329" s="14"/>
      <c r="V329" s="14"/>
      <c r="W329" s="14"/>
      <c r="X329" s="14"/>
      <c r="Y329" s="14"/>
      <c r="Z329" s="45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</row>
    <row r="330" spans="1:37">
      <c r="B330" s="43"/>
      <c r="C330" s="14"/>
      <c r="D330" s="14"/>
      <c r="E330" s="14"/>
      <c r="F330" s="14"/>
      <c r="G330" s="14"/>
      <c r="H330" s="14"/>
      <c r="I330" s="14"/>
      <c r="J330" s="14"/>
      <c r="K330" s="14"/>
      <c r="L330" s="45"/>
      <c r="P330" s="43"/>
      <c r="Q330" s="14"/>
      <c r="R330" s="14"/>
      <c r="S330" s="14"/>
      <c r="T330" s="14"/>
      <c r="U330" s="14"/>
      <c r="V330" s="14"/>
      <c r="W330" s="14"/>
      <c r="X330" s="14"/>
      <c r="Y330" s="14"/>
      <c r="Z330" s="45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</row>
    <row r="331" spans="1:37">
      <c r="B331" s="43"/>
      <c r="C331" s="44" t="s">
        <v>105</v>
      </c>
      <c r="D331" s="14">
        <v>0.05</v>
      </c>
      <c r="E331" s="14"/>
      <c r="F331" s="14"/>
      <c r="G331" s="29" t="s">
        <v>108</v>
      </c>
      <c r="H331" s="14" t="str">
        <f>"]-∞;-"&amp;ROUND(D333,4)&amp;"[ U ]"&amp;ROUND(D333,4)&amp;";+∞["</f>
        <v>]-∞;-1,98[ U ]1,98;+∞[</v>
      </c>
      <c r="I331" s="14"/>
      <c r="J331" s="14"/>
      <c r="K331" s="14"/>
      <c r="L331" s="45"/>
      <c r="P331" s="43"/>
      <c r="Q331" s="44" t="s">
        <v>105</v>
      </c>
      <c r="R331" s="14">
        <v>0.01</v>
      </c>
      <c r="S331" s="14"/>
      <c r="T331" s="14"/>
      <c r="U331" s="29" t="s">
        <v>108</v>
      </c>
      <c r="V331" s="14" t="str">
        <f>"]-∞;-"&amp;ROUND(R333,4)&amp;"[ U ]"&amp;ROUND(R333,4)&amp;";+∞["</f>
        <v>]-∞;-2,62[ U ]2,62;+∞[</v>
      </c>
      <c r="W331" s="14"/>
      <c r="X331" s="14"/>
      <c r="Y331" s="14"/>
      <c r="Z331" s="45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</row>
    <row r="332" spans="1:37">
      <c r="B332" s="43"/>
      <c r="C332" s="44"/>
      <c r="D332" s="14"/>
      <c r="E332" s="14"/>
      <c r="F332" s="14"/>
      <c r="G332" s="14"/>
      <c r="H332" s="14"/>
      <c r="I332" s="14"/>
      <c r="J332" s="14"/>
      <c r="K332" s="14"/>
      <c r="L332" s="45"/>
      <c r="P332" s="43"/>
      <c r="Q332" s="44"/>
      <c r="R332" s="14"/>
      <c r="S332" s="14"/>
      <c r="T332" s="14"/>
      <c r="U332" s="14"/>
      <c r="V332" s="14"/>
      <c r="W332" s="14"/>
      <c r="X332" s="14"/>
      <c r="Y332" s="14"/>
      <c r="Z332" s="45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</row>
    <row r="333" spans="1:37">
      <c r="B333" s="43"/>
      <c r="C333" s="14"/>
      <c r="D333" s="14">
        <f>ROUND(_xlfn.T.INV(1-D331/2,120-(6+1)),2)</f>
        <v>1.98</v>
      </c>
      <c r="E333" s="14"/>
      <c r="F333" s="14"/>
      <c r="G333" s="14"/>
      <c r="H333" s="14"/>
      <c r="I333" s="14"/>
      <c r="J333" s="14"/>
      <c r="K333" s="14"/>
      <c r="L333" s="45"/>
      <c r="P333" s="43"/>
      <c r="Q333" s="14"/>
      <c r="R333" s="14">
        <f>ROUND(_xlfn.T.INV(1-R331/2,120-(6+1)),2)</f>
        <v>2.62</v>
      </c>
      <c r="S333" s="14"/>
      <c r="T333" s="14"/>
      <c r="U333" s="14"/>
      <c r="V333" s="14"/>
      <c r="W333" s="14"/>
      <c r="X333" s="14"/>
      <c r="Y333" s="14"/>
      <c r="Z333" s="45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</row>
    <row r="334" spans="1:37">
      <c r="B334" s="43"/>
      <c r="C334" s="29"/>
      <c r="D334" s="14"/>
      <c r="E334" s="14"/>
      <c r="F334" s="14"/>
      <c r="G334" s="14"/>
      <c r="H334" s="14"/>
      <c r="I334" s="14"/>
      <c r="J334" s="14"/>
      <c r="K334" s="14"/>
      <c r="L334" s="45"/>
      <c r="P334" s="43"/>
      <c r="Q334" s="29"/>
      <c r="R334" s="14"/>
      <c r="S334" s="14"/>
      <c r="T334" s="14"/>
      <c r="U334" s="14"/>
      <c r="V334" s="14"/>
      <c r="W334" s="14"/>
      <c r="X334" s="14"/>
      <c r="Y334" s="14"/>
      <c r="Z334" s="45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</row>
    <row r="335" spans="1:37">
      <c r="B335" s="43"/>
      <c r="C335" s="14"/>
      <c r="D335" s="14"/>
      <c r="E335" s="14"/>
      <c r="F335" s="14"/>
      <c r="G335" s="14"/>
      <c r="H335" s="14"/>
      <c r="I335" s="14"/>
      <c r="J335" s="14"/>
      <c r="K335" s="14"/>
      <c r="L335" s="45"/>
      <c r="P335" s="43"/>
      <c r="Q335" s="14"/>
      <c r="R335" s="14"/>
      <c r="S335" s="14"/>
      <c r="T335" s="14"/>
      <c r="U335" s="14"/>
      <c r="V335" s="14"/>
      <c r="W335" s="14"/>
      <c r="X335" s="14"/>
      <c r="Y335" s="14"/>
      <c r="Z335" s="45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</row>
    <row r="336" spans="1:37">
      <c r="B336" s="43"/>
      <c r="C336" s="14"/>
      <c r="D336" s="14"/>
      <c r="E336" s="14"/>
      <c r="F336" s="14"/>
      <c r="G336" s="14"/>
      <c r="H336" s="14"/>
      <c r="I336" s="14"/>
      <c r="J336" s="14"/>
      <c r="K336" s="14"/>
      <c r="L336" s="45"/>
      <c r="P336" s="43"/>
      <c r="Q336" s="14"/>
      <c r="R336" s="14"/>
      <c r="S336" s="14"/>
      <c r="T336" s="14"/>
      <c r="U336" s="14"/>
      <c r="V336" s="14"/>
      <c r="W336" s="14"/>
      <c r="X336" s="14"/>
      <c r="Y336" s="14"/>
      <c r="Z336" s="45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</row>
    <row r="337" spans="1:37">
      <c r="B337" s="43"/>
      <c r="C337" s="29" t="s">
        <v>106</v>
      </c>
      <c r="D337" s="14">
        <f>ROUND(H324/SQRT(C329*H326),4)</f>
        <v>-0.26650000000000001</v>
      </c>
      <c r="E337" s="14"/>
      <c r="F337" s="14"/>
      <c r="G337" s="14"/>
      <c r="H337" s="14"/>
      <c r="I337" s="14"/>
      <c r="J337" s="14"/>
      <c r="K337" s="14"/>
      <c r="L337" s="45"/>
      <c r="P337" s="43"/>
      <c r="Q337" s="29" t="s">
        <v>106</v>
      </c>
      <c r="R337" s="14">
        <f>ROUND(V324/SQRT(Q329*V326),4)</f>
        <v>-0.26650000000000001</v>
      </c>
      <c r="S337" s="14"/>
      <c r="T337" s="14"/>
      <c r="U337" s="14"/>
      <c r="V337" s="14"/>
      <c r="W337" s="14"/>
      <c r="X337" s="14"/>
      <c r="Y337" s="14"/>
      <c r="Z337" s="45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</row>
    <row r="338" spans="1:37">
      <c r="B338" s="43"/>
      <c r="C338" s="29" t="s">
        <v>107</v>
      </c>
      <c r="D338" s="14">
        <f>ABS(D337)</f>
        <v>0.26650000000000001</v>
      </c>
      <c r="E338" s="14"/>
      <c r="F338" s="14"/>
      <c r="G338" s="14"/>
      <c r="H338" s="14"/>
      <c r="I338" s="14"/>
      <c r="J338" s="14"/>
      <c r="K338" s="14"/>
      <c r="L338" s="45"/>
      <c r="P338" s="43"/>
      <c r="Q338" s="29" t="s">
        <v>107</v>
      </c>
      <c r="R338" s="14">
        <f>ABS(R337)</f>
        <v>0.26650000000000001</v>
      </c>
      <c r="S338" s="14"/>
      <c r="T338" s="14"/>
      <c r="U338" s="14"/>
      <c r="V338" s="14"/>
      <c r="W338" s="14"/>
      <c r="X338" s="14"/>
      <c r="Y338" s="14"/>
      <c r="Z338" s="45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</row>
    <row r="339" spans="1:37" ht="13.5" thickBot="1">
      <c r="B339" s="47" t="str">
        <f>IF(ABS(D337)&gt;ROUND(D333,4), "Como |"&amp;ROUND(D337,2)&amp;"| &gt; "&amp;ROUND(D333,4)&amp;" então rejeita-se H0, logo a um nível de significância de "&amp;D331*100&amp;"% há evidencia estatística suficiente para se concluir que "&amp;G324&amp;" é não nulo","Como |"&amp;ROUND(D337,2)&amp;"|  ≤ "&amp;ROUND(D333,4)&amp;" então não se rejeita H0, logo a um nível de significância de "&amp;D331*100&amp;"% há evidencia estatística suficiente para se concluir que "&amp;G324&amp;" é nulo")</f>
        <v>Como |-0,27|  ≤ 1,98 então não se rejeita H0, logo a um nível de significância de 5% há evidencia estatística suficiente para se concluir que β1= é nulo</v>
      </c>
      <c r="C339" s="28"/>
      <c r="D339" s="28"/>
      <c r="E339" s="28"/>
      <c r="F339" s="28"/>
      <c r="G339" s="28"/>
      <c r="H339" s="28"/>
      <c r="I339" s="28"/>
      <c r="J339" s="28"/>
      <c r="K339" s="49"/>
      <c r="L339" s="49"/>
      <c r="P339" s="47" t="str">
        <f>IF(ABS(R337)&gt;ROUND(R333,4), "Como |"&amp;ROUND(R337,2)&amp;"| &gt; "&amp;ROUND(R333,4)&amp;" então rejeita-se H0, logo a um nível de significância de "&amp;R331*100&amp;"% há evidencia estatística suficiente para se concluir que "&amp;U324&amp;" é não nulo","Como |"&amp;ROUND(R337,2)&amp;"|  ≤ "&amp;ROUND(R333,4)&amp;" então não se rejeita H0, logo a um nível de significância de "&amp;R331*100&amp;"% há evidencia estatística suficiente para se concluir que "&amp;U324&amp;" é nulo")</f>
        <v>Como |-0,27|  ≤ 2,62 então não se rejeita H0, logo a um nível de significância de 1% há evidencia estatística suficiente para se concluir que β1= é nulo</v>
      </c>
      <c r="Q339" s="28"/>
      <c r="R339" s="28"/>
      <c r="S339" s="28"/>
      <c r="T339" s="28"/>
      <c r="U339" s="28"/>
      <c r="V339" s="28"/>
      <c r="W339" s="28"/>
      <c r="X339" s="28"/>
      <c r="Y339" s="49"/>
      <c r="Z339" s="49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</row>
    <row r="340" spans="1:37" ht="13.5" thickBot="1"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77"/>
      <c r="AJ340" s="77"/>
      <c r="AK340" s="77"/>
    </row>
    <row r="341" spans="1:37">
      <c r="B341" s="39"/>
      <c r="C341" s="41"/>
      <c r="D341" s="41"/>
      <c r="E341" s="41"/>
      <c r="F341" s="41"/>
      <c r="G341" s="41"/>
      <c r="H341" s="41"/>
      <c r="I341" s="41"/>
      <c r="J341" s="41"/>
      <c r="K341" s="41"/>
      <c r="L341" s="42"/>
      <c r="P341" s="39"/>
      <c r="Q341" s="41"/>
      <c r="R341" s="41"/>
      <c r="S341" s="41"/>
      <c r="T341" s="41"/>
      <c r="U341" s="41"/>
      <c r="V341" s="41"/>
      <c r="W341" s="41"/>
      <c r="X341" s="41"/>
      <c r="Y341" s="41"/>
      <c r="Z341" s="42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</row>
    <row r="342" spans="1:37">
      <c r="A342" s="21" t="s">
        <v>103</v>
      </c>
      <c r="B342" s="43"/>
      <c r="C342" s="14"/>
      <c r="D342" s="14"/>
      <c r="E342" s="14"/>
      <c r="F342" s="14"/>
      <c r="G342" s="29" t="str">
        <f>A345&amp;"="</f>
        <v>β2=</v>
      </c>
      <c r="H342" s="14">
        <f>AG142</f>
        <v>-7.9375376948065374E-2</v>
      </c>
      <c r="I342" s="14"/>
      <c r="J342" s="14"/>
      <c r="K342" s="14"/>
      <c r="L342" s="45"/>
      <c r="P342" s="43"/>
      <c r="Q342" s="14"/>
      <c r="R342" s="14"/>
      <c r="S342" s="14"/>
      <c r="T342" s="14"/>
      <c r="U342" s="29" t="str">
        <f>G342</f>
        <v>β2=</v>
      </c>
      <c r="V342" s="29">
        <f>H342</f>
        <v>-7.9375376948065374E-2</v>
      </c>
      <c r="W342" s="14"/>
      <c r="X342" s="14"/>
      <c r="Y342" s="14"/>
      <c r="Z342" s="45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</row>
    <row r="343" spans="1:37">
      <c r="A343" s="21" t="s">
        <v>83</v>
      </c>
      <c r="B343" s="43"/>
      <c r="C343" s="14"/>
      <c r="D343" s="14"/>
      <c r="E343" s="14"/>
      <c r="F343" s="14"/>
      <c r="G343" s="14"/>
      <c r="H343" s="14"/>
      <c r="I343" s="14"/>
      <c r="J343" s="14"/>
      <c r="K343" s="14"/>
      <c r="L343" s="45"/>
      <c r="P343" s="43"/>
      <c r="Q343" s="14"/>
      <c r="R343" s="14"/>
      <c r="S343" s="14"/>
      <c r="T343" s="14"/>
      <c r="U343" s="14"/>
      <c r="V343" s="14"/>
      <c r="W343" s="14"/>
      <c r="X343" s="14"/>
      <c r="Y343" s="14"/>
      <c r="Z343" s="45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</row>
    <row r="344" spans="1:37">
      <c r="A344" s="21" t="s">
        <v>104</v>
      </c>
      <c r="B344" s="43"/>
      <c r="C344" s="14"/>
      <c r="D344" s="14"/>
      <c r="E344" s="14"/>
      <c r="F344" s="14"/>
      <c r="G344" s="14"/>
      <c r="H344" s="14">
        <f>P142</f>
        <v>1.3447872705781517E-5</v>
      </c>
      <c r="I344" s="14"/>
      <c r="J344" s="14"/>
      <c r="K344" s="14"/>
      <c r="L344" s="45"/>
      <c r="P344" s="43"/>
      <c r="Q344" s="14"/>
      <c r="R344" s="14"/>
      <c r="S344" s="14"/>
      <c r="T344" s="14"/>
      <c r="U344" s="14"/>
      <c r="V344" s="29">
        <f>H344</f>
        <v>1.3447872705781517E-5</v>
      </c>
      <c r="W344" s="14"/>
      <c r="X344" s="14"/>
      <c r="Y344" s="14"/>
      <c r="Z344" s="45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</row>
    <row r="345" spans="1:37">
      <c r="A345" s="21" t="s">
        <v>86</v>
      </c>
      <c r="B345" s="43"/>
      <c r="C345" s="14"/>
      <c r="D345" s="14"/>
      <c r="E345" s="14"/>
      <c r="F345" s="14"/>
      <c r="G345" s="14"/>
      <c r="H345" s="14"/>
      <c r="I345" s="14"/>
      <c r="J345" s="14"/>
      <c r="K345" s="14"/>
      <c r="L345" s="45"/>
      <c r="P345" s="43"/>
      <c r="Q345" s="14"/>
      <c r="R345" s="14"/>
      <c r="S345" s="14"/>
      <c r="T345" s="14"/>
      <c r="U345" s="14"/>
      <c r="V345" s="14"/>
      <c r="W345" s="14"/>
      <c r="X345" s="14"/>
      <c r="Y345" s="14"/>
      <c r="Z345" s="45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</row>
    <row r="346" spans="1:37">
      <c r="B346" s="43"/>
      <c r="C346" s="14"/>
      <c r="D346" s="14"/>
      <c r="E346" s="14"/>
      <c r="F346" s="14"/>
      <c r="G346" s="14"/>
      <c r="H346" s="14"/>
      <c r="I346" s="14"/>
      <c r="J346" s="14"/>
      <c r="K346" s="14"/>
      <c r="L346" s="45"/>
      <c r="P346" s="43"/>
      <c r="Q346" s="14"/>
      <c r="R346" s="14"/>
      <c r="S346" s="14"/>
      <c r="T346" s="14"/>
      <c r="U346" s="14"/>
      <c r="V346" s="14"/>
      <c r="W346" s="14"/>
      <c r="X346" s="14"/>
      <c r="Y346" s="14"/>
      <c r="Z346" s="45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</row>
    <row r="347" spans="1:37">
      <c r="B347" s="43"/>
      <c r="C347" s="14">
        <f>D165</f>
        <v>56.35922951576201</v>
      </c>
      <c r="D347" s="14"/>
      <c r="E347" s="14"/>
      <c r="F347" s="14"/>
      <c r="G347" s="14"/>
      <c r="H347" s="14"/>
      <c r="I347" s="14"/>
      <c r="J347" s="14"/>
      <c r="K347" s="14"/>
      <c r="L347" s="45"/>
      <c r="P347" s="43"/>
      <c r="Q347" s="14">
        <f>C347</f>
        <v>56.35922951576201</v>
      </c>
      <c r="R347" s="14"/>
      <c r="S347" s="14"/>
      <c r="T347" s="14"/>
      <c r="U347" s="14"/>
      <c r="V347" s="14"/>
      <c r="W347" s="14"/>
      <c r="X347" s="14"/>
      <c r="Y347" s="14"/>
      <c r="Z347" s="45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</row>
    <row r="348" spans="1:37">
      <c r="B348" s="43"/>
      <c r="C348" s="14"/>
      <c r="D348" s="14"/>
      <c r="E348" s="14"/>
      <c r="F348" s="14"/>
      <c r="G348" s="14"/>
      <c r="H348" s="14"/>
      <c r="I348" s="14"/>
      <c r="J348" s="14"/>
      <c r="K348" s="14"/>
      <c r="L348" s="45"/>
      <c r="P348" s="43"/>
      <c r="Q348" s="14"/>
      <c r="R348" s="14"/>
      <c r="S348" s="14"/>
      <c r="T348" s="14"/>
      <c r="U348" s="14"/>
      <c r="V348" s="14"/>
      <c r="W348" s="14"/>
      <c r="X348" s="14"/>
      <c r="Y348" s="14"/>
      <c r="Z348" s="45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</row>
    <row r="349" spans="1:37">
      <c r="B349" s="43"/>
      <c r="C349" s="44" t="s">
        <v>105</v>
      </c>
      <c r="D349" s="14">
        <v>0.05</v>
      </c>
      <c r="E349" s="14"/>
      <c r="F349" s="14"/>
      <c r="G349" s="29" t="s">
        <v>108</v>
      </c>
      <c r="H349" s="14" t="str">
        <f>"]-∞;-"&amp;ROUND(D351,4)&amp;"[ U ]"&amp;ROUND(D351,4)&amp;";+∞["</f>
        <v>]-∞;-1,98[ U ]1,98;+∞[</v>
      </c>
      <c r="I349" s="14"/>
      <c r="J349" s="14"/>
      <c r="K349" s="14"/>
      <c r="L349" s="45"/>
      <c r="P349" s="43"/>
      <c r="Q349" s="44" t="s">
        <v>105</v>
      </c>
      <c r="R349" s="14">
        <v>0.01</v>
      </c>
      <c r="S349" s="14"/>
      <c r="T349" s="14"/>
      <c r="U349" s="29" t="s">
        <v>108</v>
      </c>
      <c r="V349" s="14" t="str">
        <f>"]-∞;-"&amp;ROUND(R351,4)&amp;"[ U ]"&amp;ROUND(R351,4)&amp;";+∞["</f>
        <v>]-∞;-2,62[ U ]2,62;+∞[</v>
      </c>
      <c r="W349" s="14"/>
      <c r="X349" s="14"/>
      <c r="Y349" s="14"/>
      <c r="Z349" s="45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</row>
    <row r="350" spans="1:37">
      <c r="B350" s="43"/>
      <c r="C350" s="44"/>
      <c r="D350" s="14"/>
      <c r="E350" s="14"/>
      <c r="F350" s="14"/>
      <c r="G350" s="14"/>
      <c r="H350" s="14"/>
      <c r="I350" s="14"/>
      <c r="J350" s="14"/>
      <c r="K350" s="14"/>
      <c r="L350" s="45"/>
      <c r="P350" s="43"/>
      <c r="Q350" s="44"/>
      <c r="R350" s="14"/>
      <c r="S350" s="14"/>
      <c r="T350" s="14"/>
      <c r="U350" s="14"/>
      <c r="V350" s="14"/>
      <c r="W350" s="14"/>
      <c r="X350" s="14"/>
      <c r="Y350" s="14"/>
      <c r="Z350" s="45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</row>
    <row r="351" spans="1:37">
      <c r="B351" s="43"/>
      <c r="C351" s="14"/>
      <c r="D351" s="14">
        <f>ROUND(_xlfn.T.INV(1-D349/2,120-(6+1)),2)</f>
        <v>1.98</v>
      </c>
      <c r="E351" s="14"/>
      <c r="F351" s="14"/>
      <c r="G351" s="14"/>
      <c r="H351" s="14"/>
      <c r="I351" s="14"/>
      <c r="J351" s="14"/>
      <c r="K351" s="14"/>
      <c r="L351" s="45"/>
      <c r="P351" s="43"/>
      <c r="Q351" s="14"/>
      <c r="R351" s="14">
        <f>ROUND(_xlfn.T.INV(1-R349/2,120-(6+1)),2)</f>
        <v>2.62</v>
      </c>
      <c r="S351" s="14"/>
      <c r="T351" s="14"/>
      <c r="U351" s="14"/>
      <c r="V351" s="14"/>
      <c r="W351" s="14"/>
      <c r="X351" s="14"/>
      <c r="Y351" s="14"/>
      <c r="Z351" s="45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</row>
    <row r="352" spans="1:37">
      <c r="B352" s="43"/>
      <c r="C352" s="29"/>
      <c r="D352" s="14"/>
      <c r="E352" s="14"/>
      <c r="F352" s="14"/>
      <c r="G352" s="14"/>
      <c r="H352" s="14"/>
      <c r="I352" s="14"/>
      <c r="J352" s="14"/>
      <c r="K352" s="14"/>
      <c r="L352" s="45"/>
      <c r="P352" s="43"/>
      <c r="Q352" s="29"/>
      <c r="R352" s="14"/>
      <c r="S352" s="14"/>
      <c r="T352" s="14"/>
      <c r="U352" s="14"/>
      <c r="V352" s="14"/>
      <c r="W352" s="14"/>
      <c r="X352" s="14"/>
      <c r="Y352" s="14"/>
      <c r="Z352" s="45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</row>
    <row r="353" spans="1:37">
      <c r="B353" s="43"/>
      <c r="C353" s="14"/>
      <c r="D353" s="14"/>
      <c r="E353" s="14"/>
      <c r="F353" s="14"/>
      <c r="G353" s="14"/>
      <c r="H353" s="14"/>
      <c r="I353" s="14"/>
      <c r="J353" s="14"/>
      <c r="K353" s="14"/>
      <c r="L353" s="45"/>
      <c r="P353" s="43"/>
      <c r="Q353" s="14"/>
      <c r="R353" s="14"/>
      <c r="S353" s="14"/>
      <c r="T353" s="14"/>
      <c r="U353" s="14"/>
      <c r="V353" s="14"/>
      <c r="W353" s="14"/>
      <c r="X353" s="14"/>
      <c r="Y353" s="14"/>
      <c r="Z353" s="45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</row>
    <row r="354" spans="1:37">
      <c r="B354" s="43"/>
      <c r="C354" s="14"/>
      <c r="D354" s="14"/>
      <c r="E354" s="14"/>
      <c r="F354" s="14"/>
      <c r="G354" s="14"/>
      <c r="H354" s="14"/>
      <c r="I354" s="14"/>
      <c r="J354" s="14"/>
      <c r="K354" s="14"/>
      <c r="L354" s="45"/>
      <c r="P354" s="43"/>
      <c r="Q354" s="14"/>
      <c r="R354" s="14"/>
      <c r="S354" s="14"/>
      <c r="T354" s="14"/>
      <c r="U354" s="14"/>
      <c r="V354" s="14"/>
      <c r="W354" s="14"/>
      <c r="X354" s="14"/>
      <c r="Y354" s="14"/>
      <c r="Z354" s="45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</row>
    <row r="355" spans="1:37">
      <c r="B355" s="43"/>
      <c r="C355" s="29" t="s">
        <v>106</v>
      </c>
      <c r="D355" s="14">
        <f>ROUND(H342/SQRT(C347*H344),4)</f>
        <v>-2.8832</v>
      </c>
      <c r="E355" s="14"/>
      <c r="F355" s="14"/>
      <c r="G355" s="14"/>
      <c r="H355" s="14"/>
      <c r="I355" s="14"/>
      <c r="J355" s="14"/>
      <c r="K355" s="14"/>
      <c r="L355" s="45"/>
      <c r="P355" s="43"/>
      <c r="Q355" s="29" t="s">
        <v>106</v>
      </c>
      <c r="R355" s="14">
        <f>ROUND(V342/SQRT(Q347*V344),4)</f>
        <v>-2.8832</v>
      </c>
      <c r="S355" s="14"/>
      <c r="T355" s="14"/>
      <c r="U355" s="14"/>
      <c r="V355" s="14"/>
      <c r="W355" s="14"/>
      <c r="X355" s="14"/>
      <c r="Y355" s="14"/>
      <c r="Z355" s="45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</row>
    <row r="356" spans="1:37">
      <c r="B356" s="43"/>
      <c r="C356" s="29" t="s">
        <v>107</v>
      </c>
      <c r="D356" s="14">
        <f>ABS(D355)</f>
        <v>2.8832</v>
      </c>
      <c r="E356" s="14"/>
      <c r="F356" s="14"/>
      <c r="G356" s="14"/>
      <c r="H356" s="14"/>
      <c r="I356" s="14"/>
      <c r="J356" s="14"/>
      <c r="K356" s="14"/>
      <c r="L356" s="45"/>
      <c r="P356" s="43"/>
      <c r="Q356" s="29" t="s">
        <v>107</v>
      </c>
      <c r="R356" s="14">
        <f>ABS(R355)</f>
        <v>2.8832</v>
      </c>
      <c r="S356" s="14"/>
      <c r="T356" s="14"/>
      <c r="U356" s="14"/>
      <c r="V356" s="14"/>
      <c r="W356" s="14"/>
      <c r="X356" s="14"/>
      <c r="Y356" s="14"/>
      <c r="Z356" s="45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</row>
    <row r="357" spans="1:37" ht="13.5" thickBot="1">
      <c r="B357" s="47" t="str">
        <f>IF(ABS(D355)&gt;ROUND(D351,4), "Como |"&amp;ROUND(D355,2)&amp;"| &gt; "&amp;ROUND(D351,4)&amp;" então rejeita-se H0, logo a um nível de significância de "&amp;D349*100&amp;"% há evidencia estatística suficiente para se concluir que "&amp;G342&amp;" é não nulo","Como |"&amp;ROUND(D355,2)&amp;"|  ≤ "&amp;ROUND(D351,4)&amp;" então não se rejeita H0, logo a um nível de significância de "&amp;D349*100&amp;"% há evidencia estatística suficiente para se concluir que "&amp;G342&amp;" é nulo")</f>
        <v>Como |-2,88| &gt; 1,98 então rejeita-se H0, logo a um nível de significância de 5% há evidencia estatística suficiente para se concluir que β2= é não nulo</v>
      </c>
      <c r="C357" s="28"/>
      <c r="D357" s="28"/>
      <c r="E357" s="28"/>
      <c r="F357" s="28"/>
      <c r="G357" s="28"/>
      <c r="H357" s="28"/>
      <c r="I357" s="28"/>
      <c r="J357" s="28"/>
      <c r="K357" s="49"/>
      <c r="L357" s="49"/>
      <c r="P357" s="47" t="str">
        <f>IF(ABS(R355)&gt;ROUND(R351,4), "Como |"&amp;ROUND(R355,2)&amp;"| &gt; "&amp;ROUND(R351,4)&amp;" então rejeita-se H0, logo a um nível de significância de "&amp;R349*100&amp;"% há evidencia estatística suficiente para se concluir que "&amp;U342&amp;" é não nulo","Como |"&amp;ROUND(R355,2)&amp;"|  ≤ "&amp;ROUND(R351,4)&amp;" então não se rejeita H0, logo a um nível de significância de "&amp;R349*100&amp;"% há evidencia estatística suficiente para se concluir que "&amp;U342&amp;" é nulo")</f>
        <v>Como |-2,88| &gt; 2,62 então rejeita-se H0, logo a um nível de significância de 1% há evidencia estatística suficiente para se concluir que β2= é não nulo</v>
      </c>
      <c r="Q357" s="28"/>
      <c r="R357" s="28"/>
      <c r="S357" s="28"/>
      <c r="T357" s="28"/>
      <c r="U357" s="28"/>
      <c r="V357" s="28"/>
      <c r="W357" s="28"/>
      <c r="X357" s="28"/>
      <c r="Y357" s="49"/>
      <c r="Z357" s="49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</row>
    <row r="358" spans="1:37" ht="13.5" thickBot="1"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</row>
    <row r="359" spans="1:37">
      <c r="B359" s="39"/>
      <c r="C359" s="41"/>
      <c r="D359" s="41"/>
      <c r="E359" s="41"/>
      <c r="F359" s="41"/>
      <c r="G359" s="41"/>
      <c r="H359" s="41"/>
      <c r="I359" s="41"/>
      <c r="J359" s="41"/>
      <c r="K359" s="41"/>
      <c r="L359" s="42"/>
      <c r="P359" s="39"/>
      <c r="Q359" s="41"/>
      <c r="R359" s="41"/>
      <c r="S359" s="41"/>
      <c r="T359" s="41"/>
      <c r="U359" s="41"/>
      <c r="V359" s="41"/>
      <c r="W359" s="41"/>
      <c r="X359" s="41"/>
      <c r="Y359" s="41"/>
      <c r="Z359" s="42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</row>
    <row r="360" spans="1:37">
      <c r="A360" s="21" t="s">
        <v>103</v>
      </c>
      <c r="B360" s="43"/>
      <c r="C360" s="14"/>
      <c r="D360" s="14"/>
      <c r="E360" s="14"/>
      <c r="F360" s="14"/>
      <c r="G360" s="29" t="str">
        <f>A363&amp;"="</f>
        <v>β3=</v>
      </c>
      <c r="H360" s="14">
        <f>AG143</f>
        <v>2.3916650519839336E-2</v>
      </c>
      <c r="I360" s="14"/>
      <c r="J360" s="14"/>
      <c r="K360" s="14"/>
      <c r="L360" s="45"/>
      <c r="P360" s="43"/>
      <c r="Q360" s="14"/>
      <c r="R360" s="14"/>
      <c r="S360" s="14"/>
      <c r="T360" s="14"/>
      <c r="U360" s="29" t="str">
        <f>G360</f>
        <v>β3=</v>
      </c>
      <c r="V360" s="29">
        <f>H360</f>
        <v>2.3916650519839336E-2</v>
      </c>
      <c r="W360" s="14"/>
      <c r="X360" s="14"/>
      <c r="Y360" s="14"/>
      <c r="Z360" s="45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</row>
    <row r="361" spans="1:37">
      <c r="A361" s="21" t="s">
        <v>83</v>
      </c>
      <c r="B361" s="43"/>
      <c r="C361" s="14"/>
      <c r="D361" s="14"/>
      <c r="E361" s="14"/>
      <c r="F361" s="14"/>
      <c r="G361" s="14"/>
      <c r="H361" s="14"/>
      <c r="I361" s="14"/>
      <c r="J361" s="14"/>
      <c r="K361" s="14"/>
      <c r="L361" s="45"/>
      <c r="P361" s="43"/>
      <c r="Q361" s="14"/>
      <c r="R361" s="14"/>
      <c r="S361" s="14"/>
      <c r="T361" s="14"/>
      <c r="U361" s="14"/>
      <c r="V361" s="29"/>
      <c r="W361" s="14"/>
      <c r="X361" s="14"/>
      <c r="Y361" s="14"/>
      <c r="Z361" s="45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</row>
    <row r="362" spans="1:37">
      <c r="A362" s="21" t="s">
        <v>104</v>
      </c>
      <c r="B362" s="43"/>
      <c r="C362" s="14"/>
      <c r="D362" s="14"/>
      <c r="E362" s="14"/>
      <c r="F362" s="14"/>
      <c r="G362" s="14"/>
      <c r="H362" s="14">
        <f>Q143</f>
        <v>5.1062060383920892E-7</v>
      </c>
      <c r="I362" s="14"/>
      <c r="J362" s="14"/>
      <c r="K362" s="14"/>
      <c r="L362" s="45"/>
      <c r="P362" s="43"/>
      <c r="Q362" s="14"/>
      <c r="R362" s="14"/>
      <c r="S362" s="14"/>
      <c r="T362" s="14"/>
      <c r="U362" s="14"/>
      <c r="V362" s="29">
        <f>H362</f>
        <v>5.1062060383920892E-7</v>
      </c>
      <c r="W362" s="14"/>
      <c r="X362" s="14"/>
      <c r="Y362" s="14"/>
      <c r="Z362" s="45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</row>
    <row r="363" spans="1:37">
      <c r="A363" s="21" t="s">
        <v>87</v>
      </c>
      <c r="B363" s="43"/>
      <c r="C363" s="14"/>
      <c r="D363" s="14"/>
      <c r="E363" s="14"/>
      <c r="F363" s="14"/>
      <c r="G363" s="14"/>
      <c r="H363" s="14"/>
      <c r="I363" s="14"/>
      <c r="J363" s="14"/>
      <c r="K363" s="14"/>
      <c r="L363" s="45"/>
      <c r="P363" s="43"/>
      <c r="Q363" s="14"/>
      <c r="R363" s="14"/>
      <c r="S363" s="14"/>
      <c r="T363" s="14"/>
      <c r="U363" s="14"/>
      <c r="V363" s="14"/>
      <c r="W363" s="14"/>
      <c r="X363" s="14"/>
      <c r="Y363" s="14"/>
      <c r="Z363" s="45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</row>
    <row r="364" spans="1:37">
      <c r="B364" s="43"/>
      <c r="C364" s="14"/>
      <c r="D364" s="14"/>
      <c r="E364" s="14"/>
      <c r="F364" s="14"/>
      <c r="G364" s="14"/>
      <c r="H364" s="14"/>
      <c r="I364" s="14"/>
      <c r="J364" s="14"/>
      <c r="K364" s="14"/>
      <c r="L364" s="45"/>
      <c r="P364" s="43"/>
      <c r="Q364" s="14"/>
      <c r="R364" s="14"/>
      <c r="S364" s="14"/>
      <c r="T364" s="14"/>
      <c r="U364" s="14"/>
      <c r="V364" s="14"/>
      <c r="W364" s="14"/>
      <c r="X364" s="14"/>
      <c r="Y364" s="14"/>
      <c r="Z364" s="45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</row>
    <row r="365" spans="1:37">
      <c r="B365" s="43"/>
      <c r="C365" s="14">
        <f>D165</f>
        <v>56.35922951576201</v>
      </c>
      <c r="D365" s="14"/>
      <c r="E365" s="14"/>
      <c r="F365" s="14"/>
      <c r="G365" s="14"/>
      <c r="H365" s="14"/>
      <c r="I365" s="14"/>
      <c r="J365" s="14"/>
      <c r="K365" s="14"/>
      <c r="L365" s="45"/>
      <c r="P365" s="43"/>
      <c r="Q365" s="14">
        <f>C365</f>
        <v>56.35922951576201</v>
      </c>
      <c r="R365" s="14"/>
      <c r="S365" s="14"/>
      <c r="T365" s="14"/>
      <c r="U365" s="14"/>
      <c r="V365" s="14"/>
      <c r="W365" s="14"/>
      <c r="X365" s="14"/>
      <c r="Y365" s="14"/>
      <c r="Z365" s="45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</row>
    <row r="366" spans="1:37">
      <c r="B366" s="43"/>
      <c r="C366" s="14"/>
      <c r="D366" s="14"/>
      <c r="E366" s="14"/>
      <c r="F366" s="14"/>
      <c r="G366" s="14"/>
      <c r="H366" s="14"/>
      <c r="I366" s="14"/>
      <c r="J366" s="14"/>
      <c r="K366" s="14"/>
      <c r="L366" s="45"/>
      <c r="P366" s="43"/>
      <c r="Q366" s="14"/>
      <c r="R366" s="14"/>
      <c r="S366" s="14"/>
      <c r="T366" s="14"/>
      <c r="U366" s="14"/>
      <c r="V366" s="14"/>
      <c r="W366" s="14"/>
      <c r="X366" s="14"/>
      <c r="Y366" s="14"/>
      <c r="Z366" s="45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</row>
    <row r="367" spans="1:37">
      <c r="B367" s="43"/>
      <c r="C367" s="44" t="s">
        <v>105</v>
      </c>
      <c r="D367" s="14">
        <v>0.05</v>
      </c>
      <c r="E367" s="14"/>
      <c r="F367" s="14"/>
      <c r="G367" s="29" t="s">
        <v>108</v>
      </c>
      <c r="H367" s="14" t="str">
        <f>"]-∞;-"&amp;ROUND(D369,4)&amp;"[ U ]"&amp;ROUND(D369,4)&amp;";+∞["</f>
        <v>]-∞;-1,98[ U ]1,98;+∞[</v>
      </c>
      <c r="I367" s="14"/>
      <c r="J367" s="14"/>
      <c r="K367" s="14"/>
      <c r="L367" s="45"/>
      <c r="P367" s="43"/>
      <c r="Q367" s="44" t="s">
        <v>105</v>
      </c>
      <c r="R367" s="14">
        <v>0.01</v>
      </c>
      <c r="S367" s="14"/>
      <c r="T367" s="14"/>
      <c r="U367" s="29" t="s">
        <v>108</v>
      </c>
      <c r="V367" s="14" t="str">
        <f>"]-∞;-"&amp;ROUND(R369,4)&amp;"[ U ]"&amp;ROUND(R369,4)&amp;";+∞["</f>
        <v>]-∞;-2,62[ U ]2,62;+∞[</v>
      </c>
      <c r="W367" s="14"/>
      <c r="X367" s="14"/>
      <c r="Y367" s="14"/>
      <c r="Z367" s="45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</row>
    <row r="368" spans="1:37">
      <c r="B368" s="43"/>
      <c r="C368" s="44"/>
      <c r="D368" s="14"/>
      <c r="E368" s="14"/>
      <c r="F368" s="14"/>
      <c r="G368" s="14"/>
      <c r="H368" s="14"/>
      <c r="I368" s="14"/>
      <c r="J368" s="14"/>
      <c r="K368" s="14"/>
      <c r="L368" s="45"/>
      <c r="P368" s="43"/>
      <c r="Q368" s="44"/>
      <c r="R368" s="14"/>
      <c r="S368" s="14"/>
      <c r="T368" s="14"/>
      <c r="U368" s="14"/>
      <c r="V368" s="14"/>
      <c r="W368" s="14"/>
      <c r="X368" s="14"/>
      <c r="Y368" s="14"/>
      <c r="Z368" s="45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</row>
    <row r="369" spans="1:37">
      <c r="B369" s="43"/>
      <c r="C369" s="14"/>
      <c r="D369" s="14">
        <f>ROUND(_xlfn.T.INV(1-D367/2,120-(6+1)),2)</f>
        <v>1.98</v>
      </c>
      <c r="E369" s="14"/>
      <c r="F369" s="14"/>
      <c r="G369" s="14"/>
      <c r="H369" s="14"/>
      <c r="I369" s="14"/>
      <c r="J369" s="14"/>
      <c r="K369" s="14"/>
      <c r="L369" s="45"/>
      <c r="P369" s="43"/>
      <c r="Q369" s="14"/>
      <c r="R369" s="14">
        <f>ROUND(_xlfn.T.INV(1-R367/2,120-(6+1)),2)</f>
        <v>2.62</v>
      </c>
      <c r="S369" s="14"/>
      <c r="T369" s="14"/>
      <c r="U369" s="14"/>
      <c r="V369" s="14"/>
      <c r="W369" s="14"/>
      <c r="X369" s="14"/>
      <c r="Y369" s="14"/>
      <c r="Z369" s="45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</row>
    <row r="370" spans="1:37">
      <c r="B370" s="43"/>
      <c r="C370" s="29"/>
      <c r="D370" s="14"/>
      <c r="E370" s="14"/>
      <c r="F370" s="14"/>
      <c r="G370" s="14"/>
      <c r="H370" s="14"/>
      <c r="I370" s="14"/>
      <c r="J370" s="14"/>
      <c r="K370" s="14"/>
      <c r="L370" s="45"/>
      <c r="P370" s="43"/>
      <c r="Q370" s="29"/>
      <c r="R370" s="14"/>
      <c r="S370" s="14"/>
      <c r="T370" s="14"/>
      <c r="U370" s="14"/>
      <c r="V370" s="14"/>
      <c r="W370" s="14"/>
      <c r="X370" s="14"/>
      <c r="Y370" s="14"/>
      <c r="Z370" s="45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</row>
    <row r="371" spans="1:37">
      <c r="B371" s="43"/>
      <c r="C371" s="14"/>
      <c r="D371" s="14"/>
      <c r="E371" s="14"/>
      <c r="F371" s="14"/>
      <c r="G371" s="14"/>
      <c r="H371" s="14"/>
      <c r="I371" s="14"/>
      <c r="J371" s="14"/>
      <c r="K371" s="14"/>
      <c r="L371" s="45"/>
      <c r="P371" s="43"/>
      <c r="Q371" s="14"/>
      <c r="R371" s="14"/>
      <c r="S371" s="14"/>
      <c r="T371" s="14"/>
      <c r="U371" s="14"/>
      <c r="V371" s="14"/>
      <c r="W371" s="14"/>
      <c r="X371" s="14"/>
      <c r="Y371" s="14"/>
      <c r="Z371" s="45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</row>
    <row r="372" spans="1:37">
      <c r="B372" s="43"/>
      <c r="C372" s="14"/>
      <c r="D372" s="14"/>
      <c r="E372" s="14"/>
      <c r="F372" s="14"/>
      <c r="G372" s="14"/>
      <c r="H372" s="14"/>
      <c r="I372" s="14"/>
      <c r="J372" s="14"/>
      <c r="K372" s="14"/>
      <c r="L372" s="45"/>
      <c r="P372" s="43"/>
      <c r="Q372" s="14"/>
      <c r="R372" s="14"/>
      <c r="S372" s="14"/>
      <c r="T372" s="14"/>
      <c r="U372" s="14"/>
      <c r="V372" s="14"/>
      <c r="W372" s="14"/>
      <c r="X372" s="14"/>
      <c r="Y372" s="14"/>
      <c r="Z372" s="45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</row>
    <row r="373" spans="1:37">
      <c r="B373" s="43"/>
      <c r="C373" s="29" t="s">
        <v>106</v>
      </c>
      <c r="D373" s="14">
        <f>ROUND(H360/SQRT(C365*H362),4)</f>
        <v>4.4583000000000004</v>
      </c>
      <c r="E373" s="14"/>
      <c r="F373" s="14"/>
      <c r="G373" s="14"/>
      <c r="H373" s="14"/>
      <c r="I373" s="14"/>
      <c r="J373" s="14"/>
      <c r="K373" s="14"/>
      <c r="L373" s="45"/>
      <c r="P373" s="43"/>
      <c r="Q373" s="29" t="s">
        <v>106</v>
      </c>
      <c r="R373" s="14">
        <f>ROUND(V360/SQRT(Q365*V362),4)</f>
        <v>4.4583000000000004</v>
      </c>
      <c r="S373" s="14"/>
      <c r="T373" s="14"/>
      <c r="U373" s="14"/>
      <c r="V373" s="14"/>
      <c r="W373" s="14"/>
      <c r="X373" s="14"/>
      <c r="Y373" s="14"/>
      <c r="Z373" s="45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</row>
    <row r="374" spans="1:37">
      <c r="B374" s="43"/>
      <c r="C374" s="29" t="s">
        <v>107</v>
      </c>
      <c r="D374" s="14">
        <f>ABS(D373)</f>
        <v>4.4583000000000004</v>
      </c>
      <c r="E374" s="14"/>
      <c r="F374" s="14"/>
      <c r="G374" s="14"/>
      <c r="H374" s="14"/>
      <c r="I374" s="14"/>
      <c r="J374" s="14"/>
      <c r="K374" s="14"/>
      <c r="L374" s="45"/>
      <c r="P374" s="43"/>
      <c r="Q374" s="29" t="s">
        <v>107</v>
      </c>
      <c r="R374" s="14">
        <f>ABS(R373)</f>
        <v>4.4583000000000004</v>
      </c>
      <c r="S374" s="14"/>
      <c r="T374" s="14"/>
      <c r="U374" s="14"/>
      <c r="V374" s="14"/>
      <c r="W374" s="14"/>
      <c r="X374" s="14"/>
      <c r="Y374" s="14"/>
      <c r="Z374" s="45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</row>
    <row r="375" spans="1:37" ht="13.5" thickBot="1">
      <c r="B375" s="47" t="str">
        <f>IF(ABS(D373)&gt;ROUND(D369,4), "Como |"&amp;ROUND(D373,2)&amp;"| &gt; "&amp;ROUND(D369,4)&amp;" então rejeita-se H0, logo a um nível de significância de "&amp;D367*100&amp;"% há evidencia estatística suficiente para se concluir que "&amp;G360&amp;" é não nulo","Como |"&amp;ROUND(D373,2)&amp;"|  ≤ "&amp;ROUND(D369,4)&amp;" então não se rejeita H0, logo a um nível de significância de "&amp;D367*100&amp;"% há evidencia estatística suficiente para se concluir que "&amp;G360&amp;" é nulo")</f>
        <v>Como |4,46| &gt; 1,98 então rejeita-se H0, logo a um nível de significância de 5% há evidencia estatística suficiente para se concluir que β3= é não nulo</v>
      </c>
      <c r="C375" s="28"/>
      <c r="D375" s="28"/>
      <c r="E375" s="28"/>
      <c r="F375" s="28"/>
      <c r="G375" s="28"/>
      <c r="H375" s="28"/>
      <c r="I375" s="28"/>
      <c r="J375" s="28"/>
      <c r="K375" s="49"/>
      <c r="L375" s="49"/>
      <c r="P375" s="47" t="str">
        <f>IF(ABS(R373)&gt;ROUND(R369,4), "Como |"&amp;ROUND(R373,2)&amp;"| &gt; "&amp;ROUND(R369,4)&amp;" então rejeita-se H0, logo a um nível de significância de "&amp;R367*100&amp;"% há evidencia estatística suficiente para se concluir que "&amp;U360&amp;" é não nulo","Como |"&amp;ROUND(R373,2)&amp;"|  ≤ "&amp;ROUND(R369,4)&amp;" então não se rejeita H0, logo a um nível de significância de "&amp;R367*100&amp;"% há evidencia estatística suficiente para se concluir que "&amp;U360&amp;" é nulo")</f>
        <v>Como |4,46| &gt; 2,62 então rejeita-se H0, logo a um nível de significância de 1% há evidencia estatística suficiente para se concluir que β3= é não nulo</v>
      </c>
      <c r="Q375" s="28"/>
      <c r="R375" s="28"/>
      <c r="S375" s="28"/>
      <c r="T375" s="28"/>
      <c r="U375" s="28"/>
      <c r="V375" s="28"/>
      <c r="W375" s="28"/>
      <c r="X375" s="28"/>
      <c r="Y375" s="49"/>
      <c r="Z375" s="49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</row>
    <row r="376" spans="1:37" ht="13.5" thickBot="1"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</row>
    <row r="377" spans="1:37">
      <c r="B377" s="39"/>
      <c r="C377" s="41"/>
      <c r="D377" s="41"/>
      <c r="E377" s="41"/>
      <c r="F377" s="41"/>
      <c r="G377" s="41"/>
      <c r="H377" s="41"/>
      <c r="I377" s="41"/>
      <c r="J377" s="41"/>
      <c r="K377" s="41"/>
      <c r="L377" s="42"/>
      <c r="P377" s="39"/>
      <c r="Q377" s="41"/>
      <c r="R377" s="41"/>
      <c r="S377" s="41"/>
      <c r="T377" s="41"/>
      <c r="U377" s="41"/>
      <c r="V377" s="41"/>
      <c r="W377" s="41"/>
      <c r="X377" s="41"/>
      <c r="Y377" s="41"/>
      <c r="Z377" s="42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</row>
    <row r="378" spans="1:37">
      <c r="A378" s="21" t="s">
        <v>103</v>
      </c>
      <c r="B378" s="43"/>
      <c r="C378" s="14"/>
      <c r="D378" s="14"/>
      <c r="E378" s="14"/>
      <c r="F378" s="14"/>
      <c r="G378" s="29" t="str">
        <f>A381&amp;"="</f>
        <v>β4=</v>
      </c>
      <c r="H378" s="14">
        <f>AG144</f>
        <v>3.8357441648927078E-5</v>
      </c>
      <c r="I378" s="14"/>
      <c r="J378" s="14"/>
      <c r="K378" s="14"/>
      <c r="L378" s="45"/>
      <c r="P378" s="43"/>
      <c r="Q378" s="14"/>
      <c r="R378" s="14"/>
      <c r="S378" s="14"/>
      <c r="T378" s="14"/>
      <c r="U378" s="29" t="str">
        <f>G378</f>
        <v>β4=</v>
      </c>
      <c r="V378" s="29">
        <f>H378</f>
        <v>3.8357441648927078E-5</v>
      </c>
      <c r="W378" s="14"/>
      <c r="X378" s="14"/>
      <c r="Y378" s="14"/>
      <c r="Z378" s="45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</row>
    <row r="379" spans="1:37">
      <c r="A379" s="21" t="s">
        <v>83</v>
      </c>
      <c r="B379" s="43"/>
      <c r="C379" s="14"/>
      <c r="D379" s="14"/>
      <c r="E379" s="14"/>
      <c r="F379" s="14"/>
      <c r="G379" s="14"/>
      <c r="H379" s="14"/>
      <c r="I379" s="14"/>
      <c r="J379" s="14"/>
      <c r="K379" s="14"/>
      <c r="L379" s="45"/>
      <c r="P379" s="43"/>
      <c r="Q379" s="14"/>
      <c r="R379" s="14"/>
      <c r="S379" s="14"/>
      <c r="T379" s="14"/>
      <c r="U379" s="14"/>
      <c r="V379" s="14"/>
      <c r="W379" s="14"/>
      <c r="X379" s="14"/>
      <c r="Y379" s="14"/>
      <c r="Z379" s="45"/>
      <c r="AA379" s="77"/>
      <c r="AB379" s="77"/>
      <c r="AC379" s="77"/>
      <c r="AD379" s="77"/>
      <c r="AE379" s="77"/>
      <c r="AF379" s="77"/>
      <c r="AG379" s="77"/>
      <c r="AH379" s="77"/>
      <c r="AI379" s="77"/>
      <c r="AJ379" s="77"/>
      <c r="AK379" s="77"/>
    </row>
    <row r="380" spans="1:37">
      <c r="A380" s="21" t="s">
        <v>104</v>
      </c>
      <c r="B380" s="43"/>
      <c r="C380" s="14"/>
      <c r="D380" s="14"/>
      <c r="E380" s="14"/>
      <c r="F380" s="14"/>
      <c r="G380" s="14"/>
      <c r="H380" s="14">
        <f>R144</f>
        <v>3.1587176050139956E-11</v>
      </c>
      <c r="I380" s="14"/>
      <c r="J380" s="14"/>
      <c r="K380" s="14"/>
      <c r="L380" s="45"/>
      <c r="P380" s="43"/>
      <c r="Q380" s="14"/>
      <c r="R380" s="14"/>
      <c r="S380" s="14"/>
      <c r="T380" s="14"/>
      <c r="U380" s="14"/>
      <c r="V380" s="29">
        <f>H380</f>
        <v>3.1587176050139956E-11</v>
      </c>
      <c r="W380" s="14"/>
      <c r="X380" s="14"/>
      <c r="Y380" s="14"/>
      <c r="Z380" s="45"/>
      <c r="AA380" s="77"/>
      <c r="AB380" s="77"/>
      <c r="AC380" s="77"/>
      <c r="AD380" s="77"/>
      <c r="AE380" s="77"/>
      <c r="AF380" s="77"/>
      <c r="AG380" s="77"/>
      <c r="AH380" s="77"/>
      <c r="AI380" s="77"/>
      <c r="AJ380" s="77"/>
      <c r="AK380" s="77"/>
    </row>
    <row r="381" spans="1:37">
      <c r="A381" s="21" t="s">
        <v>90</v>
      </c>
      <c r="B381" s="43"/>
      <c r="C381" s="14"/>
      <c r="D381" s="14"/>
      <c r="E381" s="14"/>
      <c r="F381" s="14"/>
      <c r="G381" s="14"/>
      <c r="H381" s="14"/>
      <c r="I381" s="14"/>
      <c r="J381" s="14"/>
      <c r="K381" s="14"/>
      <c r="L381" s="45"/>
      <c r="P381" s="43"/>
      <c r="Q381" s="14"/>
      <c r="R381" s="14"/>
      <c r="S381" s="14"/>
      <c r="T381" s="14"/>
      <c r="U381" s="14"/>
      <c r="V381" s="14"/>
      <c r="W381" s="14"/>
      <c r="X381" s="14"/>
      <c r="Y381" s="14"/>
      <c r="Z381" s="45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</row>
    <row r="382" spans="1:37">
      <c r="B382" s="43"/>
      <c r="C382" s="14"/>
      <c r="D382" s="14"/>
      <c r="E382" s="14"/>
      <c r="F382" s="14"/>
      <c r="G382" s="14"/>
      <c r="H382" s="14"/>
      <c r="I382" s="14"/>
      <c r="J382" s="14"/>
      <c r="K382" s="14"/>
      <c r="L382" s="45"/>
      <c r="P382" s="43"/>
      <c r="Q382" s="14"/>
      <c r="R382" s="14"/>
      <c r="S382" s="14"/>
      <c r="T382" s="14"/>
      <c r="U382" s="14"/>
      <c r="V382" s="14"/>
      <c r="W382" s="14"/>
      <c r="X382" s="14"/>
      <c r="Y382" s="14"/>
      <c r="Z382" s="45"/>
      <c r="AA382" s="77"/>
      <c r="AB382" s="77"/>
      <c r="AC382" s="77"/>
      <c r="AD382" s="77"/>
      <c r="AE382" s="77"/>
      <c r="AF382" s="77"/>
      <c r="AG382" s="77"/>
      <c r="AH382" s="77"/>
      <c r="AI382" s="77"/>
      <c r="AJ382" s="77"/>
      <c r="AK382" s="77"/>
    </row>
    <row r="383" spans="1:37">
      <c r="B383" s="43"/>
      <c r="C383" s="14">
        <f>D165</f>
        <v>56.35922951576201</v>
      </c>
      <c r="D383" s="14"/>
      <c r="E383" s="14"/>
      <c r="F383" s="14"/>
      <c r="G383" s="14"/>
      <c r="H383" s="14"/>
      <c r="I383" s="14"/>
      <c r="J383" s="14"/>
      <c r="K383" s="14"/>
      <c r="L383" s="45"/>
      <c r="P383" s="43"/>
      <c r="Q383" s="14">
        <f>C383</f>
        <v>56.35922951576201</v>
      </c>
      <c r="R383" s="14"/>
      <c r="S383" s="14"/>
      <c r="T383" s="14"/>
      <c r="U383" s="14"/>
      <c r="V383" s="14"/>
      <c r="W383" s="14"/>
      <c r="X383" s="14"/>
      <c r="Y383" s="14"/>
      <c r="Z383" s="45"/>
      <c r="AA383" s="77"/>
      <c r="AB383" s="77"/>
      <c r="AC383" s="77"/>
      <c r="AD383" s="77"/>
      <c r="AE383" s="77"/>
      <c r="AF383" s="77"/>
      <c r="AG383" s="77"/>
      <c r="AH383" s="77"/>
      <c r="AI383" s="77"/>
      <c r="AJ383" s="77"/>
      <c r="AK383" s="77"/>
    </row>
    <row r="384" spans="1:37">
      <c r="B384" s="43"/>
      <c r="C384" s="14"/>
      <c r="D384" s="14"/>
      <c r="E384" s="14"/>
      <c r="F384" s="14"/>
      <c r="G384" s="14"/>
      <c r="H384" s="14"/>
      <c r="I384" s="14"/>
      <c r="J384" s="14"/>
      <c r="K384" s="14"/>
      <c r="L384" s="45"/>
      <c r="P384" s="43"/>
      <c r="Q384" s="14"/>
      <c r="R384" s="14"/>
      <c r="S384" s="14"/>
      <c r="T384" s="14"/>
      <c r="U384" s="14"/>
      <c r="V384" s="14"/>
      <c r="W384" s="14"/>
      <c r="X384" s="14"/>
      <c r="Y384" s="14"/>
      <c r="Z384" s="45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77"/>
    </row>
    <row r="385" spans="1:37">
      <c r="B385" s="43"/>
      <c r="C385" s="44" t="s">
        <v>105</v>
      </c>
      <c r="D385" s="14">
        <v>0.05</v>
      </c>
      <c r="E385" s="14"/>
      <c r="F385" s="14"/>
      <c r="G385" s="29" t="s">
        <v>108</v>
      </c>
      <c r="H385" s="14" t="str">
        <f>"]-∞;-"&amp;ROUND(D387,4)&amp;"[ U ]"&amp;ROUND(D387,4)&amp;";+∞["</f>
        <v>]-∞;-1,98[ U ]1,98;+∞[</v>
      </c>
      <c r="I385" s="14"/>
      <c r="J385" s="14"/>
      <c r="K385" s="14"/>
      <c r="L385" s="45"/>
      <c r="P385" s="43"/>
      <c r="Q385" s="44" t="s">
        <v>105</v>
      </c>
      <c r="R385" s="14">
        <v>0.01</v>
      </c>
      <c r="S385" s="14"/>
      <c r="T385" s="14"/>
      <c r="U385" s="29" t="s">
        <v>108</v>
      </c>
      <c r="V385" s="14" t="str">
        <f>"]-∞;-"&amp;ROUND(R387,4)&amp;"[ U ]"&amp;ROUND(R387,4)&amp;";+∞["</f>
        <v>]-∞;-2,62[ U ]2,62;+∞[</v>
      </c>
      <c r="W385" s="14"/>
      <c r="X385" s="14"/>
      <c r="Y385" s="14"/>
      <c r="Z385" s="45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</row>
    <row r="386" spans="1:37">
      <c r="B386" s="43"/>
      <c r="C386" s="44"/>
      <c r="D386" s="14"/>
      <c r="E386" s="14"/>
      <c r="F386" s="14"/>
      <c r="G386" s="14"/>
      <c r="H386" s="14"/>
      <c r="I386" s="14"/>
      <c r="J386" s="14"/>
      <c r="K386" s="14"/>
      <c r="L386" s="45"/>
      <c r="P386" s="43"/>
      <c r="Q386" s="44"/>
      <c r="R386" s="14"/>
      <c r="S386" s="14"/>
      <c r="T386" s="14"/>
      <c r="U386" s="14"/>
      <c r="V386" s="14"/>
      <c r="W386" s="14"/>
      <c r="X386" s="14"/>
      <c r="Y386" s="14"/>
      <c r="Z386" s="45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</row>
    <row r="387" spans="1:37">
      <c r="B387" s="43"/>
      <c r="C387" s="14"/>
      <c r="D387" s="14">
        <f>ROUND(_xlfn.T.INV(1-D385/2,120-(6+1)),2)</f>
        <v>1.98</v>
      </c>
      <c r="E387" s="14"/>
      <c r="F387" s="14"/>
      <c r="G387" s="14"/>
      <c r="H387" s="14"/>
      <c r="I387" s="14"/>
      <c r="J387" s="14"/>
      <c r="K387" s="14"/>
      <c r="L387" s="45"/>
      <c r="P387" s="43"/>
      <c r="Q387" s="14"/>
      <c r="R387" s="14">
        <f>ROUND(_xlfn.T.INV(1-R385/2,120-(6+1)),2)</f>
        <v>2.62</v>
      </c>
      <c r="S387" s="14"/>
      <c r="T387" s="14"/>
      <c r="U387" s="14"/>
      <c r="V387" s="14"/>
      <c r="W387" s="14"/>
      <c r="X387" s="14"/>
      <c r="Y387" s="14"/>
      <c r="Z387" s="45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</row>
    <row r="388" spans="1:37">
      <c r="B388" s="43"/>
      <c r="C388" s="29"/>
      <c r="D388" s="14"/>
      <c r="E388" s="14"/>
      <c r="F388" s="14"/>
      <c r="G388" s="14"/>
      <c r="H388" s="14"/>
      <c r="I388" s="14"/>
      <c r="J388" s="14"/>
      <c r="K388" s="14"/>
      <c r="L388" s="45"/>
      <c r="P388" s="43"/>
      <c r="Q388" s="29"/>
      <c r="R388" s="14"/>
      <c r="S388" s="14"/>
      <c r="T388" s="14"/>
      <c r="U388" s="14"/>
      <c r="V388" s="14"/>
      <c r="W388" s="14"/>
      <c r="X388" s="14"/>
      <c r="Y388" s="14"/>
      <c r="Z388" s="45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</row>
    <row r="389" spans="1:37">
      <c r="B389" s="43"/>
      <c r="C389" s="14"/>
      <c r="D389" s="14"/>
      <c r="E389" s="14"/>
      <c r="F389" s="14"/>
      <c r="G389" s="14"/>
      <c r="H389" s="14"/>
      <c r="I389" s="14"/>
      <c r="J389" s="14"/>
      <c r="K389" s="14"/>
      <c r="L389" s="45"/>
      <c r="P389" s="43"/>
      <c r="Q389" s="14"/>
      <c r="R389" s="14"/>
      <c r="S389" s="14"/>
      <c r="T389" s="14"/>
      <c r="U389" s="14"/>
      <c r="V389" s="14"/>
      <c r="W389" s="14"/>
      <c r="X389" s="14"/>
      <c r="Y389" s="14"/>
      <c r="Z389" s="45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</row>
    <row r="390" spans="1:37">
      <c r="B390" s="43"/>
      <c r="C390" s="14"/>
      <c r="D390" s="14"/>
      <c r="E390" s="14"/>
      <c r="F390" s="14"/>
      <c r="G390" s="14"/>
      <c r="H390" s="14"/>
      <c r="I390" s="14"/>
      <c r="J390" s="14"/>
      <c r="K390" s="14"/>
      <c r="L390" s="45"/>
      <c r="P390" s="43"/>
      <c r="Q390" s="14"/>
      <c r="R390" s="14"/>
      <c r="S390" s="14"/>
      <c r="T390" s="14"/>
      <c r="U390" s="14"/>
      <c r="V390" s="14"/>
      <c r="W390" s="14"/>
      <c r="X390" s="14"/>
      <c r="Y390" s="14"/>
      <c r="Z390" s="45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</row>
    <row r="391" spans="1:37">
      <c r="B391" s="43"/>
      <c r="C391" s="29" t="s">
        <v>106</v>
      </c>
      <c r="D391" s="14">
        <f>ROUND(H378/SQRT(C383*H380),4)</f>
        <v>0.90910000000000002</v>
      </c>
      <c r="E391" s="14"/>
      <c r="F391" s="14"/>
      <c r="G391" s="14"/>
      <c r="H391" s="14"/>
      <c r="I391" s="14"/>
      <c r="J391" s="14"/>
      <c r="K391" s="14"/>
      <c r="L391" s="45"/>
      <c r="P391" s="43"/>
      <c r="Q391" s="29" t="s">
        <v>106</v>
      </c>
      <c r="R391" s="14">
        <f>ROUND(V378/SQRT(Q383*V380),4)</f>
        <v>0.90910000000000002</v>
      </c>
      <c r="S391" s="14"/>
      <c r="T391" s="14"/>
      <c r="U391" s="14"/>
      <c r="V391" s="14"/>
      <c r="W391" s="14"/>
      <c r="X391" s="14"/>
      <c r="Y391" s="14"/>
      <c r="Z391" s="45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</row>
    <row r="392" spans="1:37">
      <c r="B392" s="43"/>
      <c r="C392" s="29" t="s">
        <v>107</v>
      </c>
      <c r="D392" s="14">
        <f>ABS(D391)</f>
        <v>0.90910000000000002</v>
      </c>
      <c r="E392" s="14"/>
      <c r="F392" s="14"/>
      <c r="G392" s="14"/>
      <c r="H392" s="14"/>
      <c r="I392" s="14"/>
      <c r="J392" s="14"/>
      <c r="K392" s="14"/>
      <c r="L392" s="45"/>
      <c r="P392" s="43"/>
      <c r="Q392" s="29" t="s">
        <v>107</v>
      </c>
      <c r="R392" s="14">
        <f>ABS(R391)</f>
        <v>0.90910000000000002</v>
      </c>
      <c r="S392" s="14"/>
      <c r="T392" s="14"/>
      <c r="U392" s="14"/>
      <c r="V392" s="14"/>
      <c r="W392" s="14"/>
      <c r="X392" s="14"/>
      <c r="Y392" s="14"/>
      <c r="Z392" s="45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</row>
    <row r="393" spans="1:37" ht="13.5" thickBot="1">
      <c r="B393" s="47" t="str">
        <f>IF(ABS(D391)&gt;ROUND(D387,4), "Como |"&amp;ROUND(D391,2)&amp;"| &gt; "&amp;ROUND(D387,4)&amp;" então rejeita-se H0, logo a um nível de significância de "&amp;D385*100&amp;"% há evidencia estatística suficiente para se concluir que "&amp;G378&amp;" é não nulo","Como |"&amp;ROUND(D391,2)&amp;"|  ≤ "&amp;ROUND(D387,4)&amp;" então não se rejeita H0, logo a um nível de significância de "&amp;D385*100&amp;"% há evidencia estatística suficiente para se concluir que "&amp;G378&amp;" é nulo")</f>
        <v>Como |0,91|  ≤ 1,98 então não se rejeita H0, logo a um nível de significância de 5% há evidencia estatística suficiente para se concluir que β4= é nulo</v>
      </c>
      <c r="C393" s="28"/>
      <c r="D393" s="28"/>
      <c r="E393" s="28"/>
      <c r="F393" s="28"/>
      <c r="G393" s="28"/>
      <c r="H393" s="28"/>
      <c r="I393" s="28"/>
      <c r="J393" s="28"/>
      <c r="K393" s="49"/>
      <c r="L393" s="49"/>
      <c r="P393" s="47" t="str">
        <f>IF(ABS(R391)&gt;ROUND(R387,4), "Como |"&amp;ROUND(R391,2)&amp;"| &gt; "&amp;ROUND(R387,4)&amp;" então rejeita-se H0, logo a um nível de significância de "&amp;R385*100&amp;"% há evidencia estatística suficiente para se concluir que "&amp;U378&amp;" é não nulo","Como |"&amp;ROUND(R391,2)&amp;"|  ≤ "&amp;ROUND(R387,4)&amp;" então não se rejeita H0, logo a um nível de significância de "&amp;R385*100&amp;"% há evidencia estatística suficiente para se concluir que "&amp;U378&amp;" é nulo")</f>
        <v>Como |0,91|  ≤ 2,62 então não se rejeita H0, logo a um nível de significância de 1% há evidencia estatística suficiente para se concluir que β4= é nulo</v>
      </c>
      <c r="Q393" s="28"/>
      <c r="R393" s="28"/>
      <c r="S393" s="28"/>
      <c r="T393" s="28"/>
      <c r="U393" s="28"/>
      <c r="V393" s="28"/>
      <c r="W393" s="28"/>
      <c r="X393" s="28"/>
      <c r="Y393" s="49"/>
      <c r="Z393" s="49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</row>
    <row r="394" spans="1:37" ht="13.5" thickBot="1"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</row>
    <row r="395" spans="1:37">
      <c r="B395" s="39"/>
      <c r="C395" s="41"/>
      <c r="D395" s="41"/>
      <c r="E395" s="41"/>
      <c r="F395" s="41"/>
      <c r="G395" s="41"/>
      <c r="H395" s="41"/>
      <c r="I395" s="41"/>
      <c r="J395" s="41"/>
      <c r="K395" s="41"/>
      <c r="L395" s="42"/>
      <c r="P395" s="39"/>
      <c r="Q395" s="41"/>
      <c r="R395" s="41"/>
      <c r="S395" s="41"/>
      <c r="T395" s="41"/>
      <c r="U395" s="41"/>
      <c r="V395" s="41"/>
      <c r="W395" s="41"/>
      <c r="X395" s="41"/>
      <c r="Y395" s="41"/>
      <c r="Z395" s="42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</row>
    <row r="396" spans="1:37">
      <c r="A396" s="21" t="s">
        <v>103</v>
      </c>
      <c r="B396" s="43"/>
      <c r="C396" s="14"/>
      <c r="D396" s="14"/>
      <c r="E396" s="14"/>
      <c r="F396" s="14"/>
      <c r="G396" s="29" t="str">
        <f>A399&amp;"="</f>
        <v>β5=</v>
      </c>
      <c r="H396" s="14">
        <f>AG145</f>
        <v>884.57985252007461</v>
      </c>
      <c r="I396" s="14"/>
      <c r="J396" s="14"/>
      <c r="K396" s="14"/>
      <c r="L396" s="45"/>
      <c r="P396" s="43"/>
      <c r="Q396" s="14"/>
      <c r="R396" s="14"/>
      <c r="S396" s="14"/>
      <c r="T396" s="14"/>
      <c r="U396" s="29" t="str">
        <f>G396</f>
        <v>β5=</v>
      </c>
      <c r="V396" s="29">
        <f>H396</f>
        <v>884.57985252007461</v>
      </c>
      <c r="W396" s="14"/>
      <c r="X396" s="14"/>
      <c r="Y396" s="14"/>
      <c r="Z396" s="45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</row>
    <row r="397" spans="1:37">
      <c r="A397" s="21" t="s">
        <v>83</v>
      </c>
      <c r="B397" s="43"/>
      <c r="C397" s="14"/>
      <c r="D397" s="14"/>
      <c r="E397" s="14"/>
      <c r="F397" s="14"/>
      <c r="G397" s="14"/>
      <c r="H397" s="14"/>
      <c r="I397" s="14"/>
      <c r="J397" s="14"/>
      <c r="K397" s="14"/>
      <c r="L397" s="45"/>
      <c r="P397" s="43"/>
      <c r="Q397" s="14"/>
      <c r="R397" s="14"/>
      <c r="S397" s="14"/>
      <c r="T397" s="14"/>
      <c r="U397" s="14"/>
      <c r="V397" s="14"/>
      <c r="W397" s="14"/>
      <c r="X397" s="14"/>
      <c r="Y397" s="14"/>
      <c r="Z397" s="45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</row>
    <row r="398" spans="1:37">
      <c r="A398" s="21" t="s">
        <v>104</v>
      </c>
      <c r="B398" s="43"/>
      <c r="C398" s="14"/>
      <c r="D398" s="14"/>
      <c r="E398" s="14"/>
      <c r="F398" s="14"/>
      <c r="G398" s="14"/>
      <c r="H398" s="14">
        <f>S145</f>
        <v>209.57514003671596</v>
      </c>
      <c r="I398" s="14"/>
      <c r="J398" s="14"/>
      <c r="K398" s="14"/>
      <c r="L398" s="45"/>
      <c r="P398" s="43"/>
      <c r="Q398" s="14"/>
      <c r="R398" s="14"/>
      <c r="S398" s="14"/>
      <c r="T398" s="14"/>
      <c r="U398" s="14"/>
      <c r="V398" s="29">
        <f>H398</f>
        <v>209.57514003671596</v>
      </c>
      <c r="W398" s="14"/>
      <c r="X398" s="14"/>
      <c r="Y398" s="14"/>
      <c r="Z398" s="45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</row>
    <row r="399" spans="1:37">
      <c r="A399" s="21" t="s">
        <v>89</v>
      </c>
      <c r="B399" s="43"/>
      <c r="C399" s="14"/>
      <c r="D399" s="14"/>
      <c r="E399" s="14"/>
      <c r="F399" s="14"/>
      <c r="G399" s="14"/>
      <c r="H399" s="14"/>
      <c r="I399" s="14"/>
      <c r="J399" s="14"/>
      <c r="K399" s="14"/>
      <c r="L399" s="45"/>
      <c r="P399" s="43"/>
      <c r="Q399" s="14"/>
      <c r="R399" s="14"/>
      <c r="S399" s="14"/>
      <c r="T399" s="14"/>
      <c r="U399" s="14"/>
      <c r="V399" s="14"/>
      <c r="W399" s="14"/>
      <c r="X399" s="14"/>
      <c r="Y399" s="14"/>
      <c r="Z399" s="45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</row>
    <row r="400" spans="1:37">
      <c r="B400" s="43"/>
      <c r="C400" s="14"/>
      <c r="D400" s="14"/>
      <c r="E400" s="14"/>
      <c r="F400" s="14"/>
      <c r="G400" s="14"/>
      <c r="H400" s="14"/>
      <c r="I400" s="14"/>
      <c r="J400" s="14"/>
      <c r="K400" s="14"/>
      <c r="L400" s="45"/>
      <c r="P400" s="43"/>
      <c r="Q400" s="14"/>
      <c r="R400" s="14"/>
      <c r="S400" s="14"/>
      <c r="T400" s="14"/>
      <c r="U400" s="14"/>
      <c r="V400" s="14"/>
      <c r="W400" s="14"/>
      <c r="X400" s="14"/>
      <c r="Y400" s="14"/>
      <c r="Z400" s="45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</row>
    <row r="401" spans="1:37">
      <c r="B401" s="43"/>
      <c r="C401" s="14">
        <f>D165</f>
        <v>56.35922951576201</v>
      </c>
      <c r="D401" s="14"/>
      <c r="E401" s="14"/>
      <c r="F401" s="14"/>
      <c r="G401" s="14"/>
      <c r="H401" s="14"/>
      <c r="I401" s="14"/>
      <c r="J401" s="14"/>
      <c r="K401" s="14"/>
      <c r="L401" s="45"/>
      <c r="P401" s="43"/>
      <c r="Q401" s="14">
        <f>C401</f>
        <v>56.35922951576201</v>
      </c>
      <c r="R401" s="14"/>
      <c r="S401" s="14"/>
      <c r="T401" s="14"/>
      <c r="U401" s="14"/>
      <c r="V401" s="14"/>
      <c r="W401" s="14"/>
      <c r="X401" s="14"/>
      <c r="Y401" s="14"/>
      <c r="Z401" s="45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</row>
    <row r="402" spans="1:37">
      <c r="B402" s="43"/>
      <c r="C402" s="14"/>
      <c r="D402" s="14"/>
      <c r="E402" s="14"/>
      <c r="F402" s="14"/>
      <c r="G402" s="14"/>
      <c r="H402" s="14"/>
      <c r="I402" s="14"/>
      <c r="J402" s="14"/>
      <c r="K402" s="14"/>
      <c r="L402" s="45"/>
      <c r="P402" s="43"/>
      <c r="Q402" s="14"/>
      <c r="R402" s="14"/>
      <c r="S402" s="14"/>
      <c r="T402" s="14"/>
      <c r="U402" s="14"/>
      <c r="V402" s="14"/>
      <c r="W402" s="14"/>
      <c r="X402" s="14"/>
      <c r="Y402" s="14"/>
      <c r="Z402" s="45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</row>
    <row r="403" spans="1:37">
      <c r="B403" s="43"/>
      <c r="C403" s="44" t="s">
        <v>105</v>
      </c>
      <c r="D403" s="14">
        <v>0.05</v>
      </c>
      <c r="E403" s="14"/>
      <c r="F403" s="14"/>
      <c r="G403" s="29" t="s">
        <v>108</v>
      </c>
      <c r="H403" s="14" t="str">
        <f>"]-∞;-"&amp;ROUND(D405,4)&amp;"[ U ]"&amp;ROUND(D405,4)&amp;";+∞["</f>
        <v>]-∞;-1,98[ U ]1,98;+∞[</v>
      </c>
      <c r="I403" s="14"/>
      <c r="J403" s="14"/>
      <c r="K403" s="14"/>
      <c r="L403" s="45"/>
      <c r="P403" s="43"/>
      <c r="Q403" s="44" t="s">
        <v>105</v>
      </c>
      <c r="R403" s="14">
        <v>0.01</v>
      </c>
      <c r="S403" s="14"/>
      <c r="T403" s="14"/>
      <c r="U403" s="29" t="s">
        <v>108</v>
      </c>
      <c r="V403" s="14" t="str">
        <f>"]-∞;-"&amp;ROUND(R405,4)&amp;"[ U ]"&amp;ROUND(R405,4)&amp;";+∞["</f>
        <v>]-∞;-2,62[ U ]2,62;+∞[</v>
      </c>
      <c r="W403" s="14"/>
      <c r="X403" s="14"/>
      <c r="Y403" s="14"/>
      <c r="Z403" s="45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</row>
    <row r="404" spans="1:37">
      <c r="B404" s="43"/>
      <c r="C404" s="44"/>
      <c r="D404" s="14"/>
      <c r="E404" s="14"/>
      <c r="F404" s="14"/>
      <c r="G404" s="14"/>
      <c r="H404" s="14"/>
      <c r="I404" s="14"/>
      <c r="J404" s="14"/>
      <c r="K404" s="14"/>
      <c r="L404" s="45"/>
      <c r="P404" s="43"/>
      <c r="Q404" s="44"/>
      <c r="R404" s="14"/>
      <c r="S404" s="14"/>
      <c r="T404" s="14"/>
      <c r="U404" s="14"/>
      <c r="V404" s="14"/>
      <c r="W404" s="14"/>
      <c r="X404" s="14"/>
      <c r="Y404" s="14"/>
      <c r="Z404" s="45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</row>
    <row r="405" spans="1:37">
      <c r="B405" s="43"/>
      <c r="C405" s="14"/>
      <c r="D405" s="14">
        <f>ROUND(_xlfn.T.INV(1-D403/2,120-(6+1)),2)</f>
        <v>1.98</v>
      </c>
      <c r="E405" s="14"/>
      <c r="F405" s="14"/>
      <c r="G405" s="14"/>
      <c r="H405" s="14"/>
      <c r="I405" s="14"/>
      <c r="J405" s="14"/>
      <c r="K405" s="14"/>
      <c r="L405" s="45"/>
      <c r="P405" s="43"/>
      <c r="Q405" s="14"/>
      <c r="R405" s="14">
        <f>ROUND(_xlfn.T.INV(1-R403/2,120-(6+1)),2)</f>
        <v>2.62</v>
      </c>
      <c r="S405" s="14"/>
      <c r="T405" s="14"/>
      <c r="U405" s="14"/>
      <c r="V405" s="14"/>
      <c r="W405" s="14"/>
      <c r="X405" s="14"/>
      <c r="Y405" s="14"/>
      <c r="Z405" s="45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</row>
    <row r="406" spans="1:37">
      <c r="B406" s="43"/>
      <c r="C406" s="29"/>
      <c r="D406" s="14"/>
      <c r="E406" s="14"/>
      <c r="F406" s="14"/>
      <c r="G406" s="14"/>
      <c r="H406" s="14"/>
      <c r="I406" s="14"/>
      <c r="J406" s="14"/>
      <c r="K406" s="14"/>
      <c r="L406" s="45"/>
      <c r="P406" s="43"/>
      <c r="Q406" s="29"/>
      <c r="R406" s="14"/>
      <c r="S406" s="14"/>
      <c r="T406" s="14"/>
      <c r="U406" s="14"/>
      <c r="V406" s="14"/>
      <c r="W406" s="14"/>
      <c r="X406" s="14"/>
      <c r="Y406" s="14"/>
      <c r="Z406" s="45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</row>
    <row r="407" spans="1:37">
      <c r="B407" s="43"/>
      <c r="C407" s="14"/>
      <c r="D407" s="14"/>
      <c r="E407" s="14"/>
      <c r="F407" s="14"/>
      <c r="G407" s="14"/>
      <c r="H407" s="14"/>
      <c r="I407" s="14"/>
      <c r="J407" s="14"/>
      <c r="K407" s="14"/>
      <c r="L407" s="45"/>
      <c r="P407" s="43"/>
      <c r="Q407" s="14"/>
      <c r="R407" s="14"/>
      <c r="S407" s="14"/>
      <c r="T407" s="14"/>
      <c r="U407" s="14"/>
      <c r="V407" s="14"/>
      <c r="W407" s="14"/>
      <c r="X407" s="14"/>
      <c r="Y407" s="14"/>
      <c r="Z407" s="45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</row>
    <row r="408" spans="1:37">
      <c r="B408" s="43"/>
      <c r="C408" s="14"/>
      <c r="D408" s="14"/>
      <c r="E408" s="14"/>
      <c r="F408" s="14"/>
      <c r="G408" s="14"/>
      <c r="H408" s="14"/>
      <c r="I408" s="14"/>
      <c r="J408" s="14"/>
      <c r="K408" s="14"/>
      <c r="L408" s="45"/>
      <c r="P408" s="43"/>
      <c r="Q408" s="14"/>
      <c r="R408" s="14"/>
      <c r="S408" s="14"/>
      <c r="T408" s="14"/>
      <c r="U408" s="14"/>
      <c r="V408" s="14"/>
      <c r="W408" s="14"/>
      <c r="X408" s="14"/>
      <c r="Y408" s="14"/>
      <c r="Z408" s="45"/>
      <c r="AA408" s="77"/>
      <c r="AB408" s="77"/>
      <c r="AC408" s="77"/>
      <c r="AD408" s="77"/>
      <c r="AE408" s="77"/>
      <c r="AF408" s="77"/>
      <c r="AG408" s="77"/>
      <c r="AH408" s="77"/>
      <c r="AI408" s="77"/>
      <c r="AJ408" s="77"/>
      <c r="AK408" s="77"/>
    </row>
    <row r="409" spans="1:37">
      <c r="B409" s="43"/>
      <c r="C409" s="29" t="s">
        <v>106</v>
      </c>
      <c r="D409" s="14">
        <f>ROUND(H396/SQRT(C401*H398),4)</f>
        <v>8.1393000000000004</v>
      </c>
      <c r="E409" s="14"/>
      <c r="F409" s="14"/>
      <c r="G409" s="14"/>
      <c r="H409" s="14"/>
      <c r="I409" s="14"/>
      <c r="J409" s="14"/>
      <c r="K409" s="14"/>
      <c r="L409" s="45"/>
      <c r="P409" s="43"/>
      <c r="Q409" s="29" t="s">
        <v>106</v>
      </c>
      <c r="R409" s="14">
        <f>ROUND(V396/SQRT(Q401*V398),4)</f>
        <v>8.1393000000000004</v>
      </c>
      <c r="S409" s="14"/>
      <c r="T409" s="14"/>
      <c r="U409" s="14"/>
      <c r="V409" s="14"/>
      <c r="W409" s="14"/>
      <c r="X409" s="14"/>
      <c r="Y409" s="14"/>
      <c r="Z409" s="45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</row>
    <row r="410" spans="1:37">
      <c r="B410" s="43"/>
      <c r="C410" s="29" t="s">
        <v>107</v>
      </c>
      <c r="D410" s="14">
        <f>ABS(D409)</f>
        <v>8.1393000000000004</v>
      </c>
      <c r="E410" s="14"/>
      <c r="F410" s="14"/>
      <c r="G410" s="14"/>
      <c r="H410" s="14"/>
      <c r="I410" s="14"/>
      <c r="J410" s="14"/>
      <c r="K410" s="14"/>
      <c r="L410" s="45"/>
      <c r="P410" s="43"/>
      <c r="Q410" s="29" t="s">
        <v>107</v>
      </c>
      <c r="R410" s="14">
        <f>ABS(R409)</f>
        <v>8.1393000000000004</v>
      </c>
      <c r="S410" s="14"/>
      <c r="T410" s="14"/>
      <c r="U410" s="14"/>
      <c r="V410" s="14"/>
      <c r="W410" s="14"/>
      <c r="X410" s="14"/>
      <c r="Y410" s="14"/>
      <c r="Z410" s="45"/>
      <c r="AA410" s="77"/>
      <c r="AB410" s="77"/>
      <c r="AC410" s="77"/>
      <c r="AD410" s="77"/>
      <c r="AE410" s="77"/>
      <c r="AF410" s="77"/>
      <c r="AG410" s="77"/>
      <c r="AH410" s="77"/>
      <c r="AI410" s="77"/>
      <c r="AJ410" s="77"/>
      <c r="AK410" s="77"/>
    </row>
    <row r="411" spans="1:37" ht="13.5" thickBot="1">
      <c r="B411" s="47" t="str">
        <f>IF(ABS(D409)&gt;ROUND(D405,4), "Como |"&amp;ROUND(D409,2)&amp;"| &gt; "&amp;ROUND(D405,4)&amp;" então rejeita-se H0, logo a um nível de significância de "&amp;D403*100&amp;"% há evidencia estatística suficiente para se concluir que "&amp;G396&amp;" é não nulo","Como |"&amp;ROUND(D409,2)&amp;"|  ≤ "&amp;ROUND(D405,4)&amp;" então não se rejeita H0, logo a um nível de significância de "&amp;D403*100&amp;"% há evidencia estatística suficiente para se concluir que "&amp;G396&amp;" é nulo")</f>
        <v>Como |8,14| &gt; 1,98 então rejeita-se H0, logo a um nível de significância de 5% há evidencia estatística suficiente para se concluir que β5= é não nulo</v>
      </c>
      <c r="C411" s="28"/>
      <c r="D411" s="28"/>
      <c r="E411" s="28"/>
      <c r="F411" s="28"/>
      <c r="G411" s="28"/>
      <c r="H411" s="28"/>
      <c r="I411" s="28"/>
      <c r="J411" s="28"/>
      <c r="K411" s="49"/>
      <c r="L411" s="49"/>
      <c r="P411" s="47" t="str">
        <f>IF(ABS(R409)&gt;ROUND(R405,4), "Como |"&amp;ROUND(R409,2)&amp;"| &gt; "&amp;ROUND(R405,4)&amp;" então rejeita-se H0, logo a um nível de significância de "&amp;R403*100&amp;"% há evidencia estatística suficiente para se concluir que "&amp;U396&amp;" é não nulo","Como |"&amp;ROUND(R409,2)&amp;"|  ≤ "&amp;ROUND(R405,4)&amp;" então não se rejeita H0, logo a um nível de significância de "&amp;R403*100&amp;"% há evidencia estatística suficiente para se concluir que "&amp;U396&amp;" é nulo")</f>
        <v>Como |8,14| &gt; 2,62 então rejeita-se H0, logo a um nível de significância de 1% há evidencia estatística suficiente para se concluir que β5= é não nulo</v>
      </c>
      <c r="Q411" s="28"/>
      <c r="R411" s="28"/>
      <c r="S411" s="28"/>
      <c r="T411" s="28"/>
      <c r="U411" s="28"/>
      <c r="V411" s="28"/>
      <c r="W411" s="28"/>
      <c r="X411" s="28"/>
      <c r="Y411" s="49"/>
      <c r="Z411" s="49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</row>
    <row r="412" spans="1:37" ht="13.5" thickBot="1"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</row>
    <row r="413" spans="1:37">
      <c r="B413" s="39"/>
      <c r="C413" s="41"/>
      <c r="D413" s="41"/>
      <c r="E413" s="41"/>
      <c r="F413" s="41"/>
      <c r="G413" s="41"/>
      <c r="H413" s="41"/>
      <c r="I413" s="41"/>
      <c r="J413" s="41"/>
      <c r="K413" s="41"/>
      <c r="L413" s="42"/>
      <c r="P413" s="39"/>
      <c r="Q413" s="41"/>
      <c r="R413" s="41"/>
      <c r="S413" s="41"/>
      <c r="T413" s="41"/>
      <c r="U413" s="41"/>
      <c r="V413" s="41"/>
      <c r="W413" s="41"/>
      <c r="X413" s="41"/>
      <c r="Y413" s="41"/>
      <c r="Z413" s="42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</row>
    <row r="414" spans="1:37">
      <c r="A414" s="21" t="s">
        <v>103</v>
      </c>
      <c r="B414" s="43"/>
      <c r="C414" s="14"/>
      <c r="D414" s="14"/>
      <c r="E414" s="14"/>
      <c r="F414" s="14"/>
      <c r="G414" s="29" t="str">
        <f>A417&amp;"="</f>
        <v>β6=</v>
      </c>
      <c r="H414" s="14">
        <f>AG146</f>
        <v>4.018610183343876E-7</v>
      </c>
      <c r="I414" s="14"/>
      <c r="J414" s="14"/>
      <c r="K414" s="14"/>
      <c r="L414" s="45"/>
      <c r="P414" s="43"/>
      <c r="Q414" s="14"/>
      <c r="R414" s="14"/>
      <c r="S414" s="14"/>
      <c r="T414" s="14"/>
      <c r="U414" s="29" t="str">
        <f>G414</f>
        <v>β6=</v>
      </c>
      <c r="V414" s="29">
        <f>H414</f>
        <v>4.018610183343876E-7</v>
      </c>
      <c r="W414" s="14"/>
      <c r="X414" s="14"/>
      <c r="Y414" s="14"/>
      <c r="Z414" s="45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</row>
    <row r="415" spans="1:37">
      <c r="A415" s="21" t="s">
        <v>83</v>
      </c>
      <c r="B415" s="43"/>
      <c r="C415" s="14"/>
      <c r="D415" s="14"/>
      <c r="E415" s="14"/>
      <c r="F415" s="14"/>
      <c r="G415" s="14"/>
      <c r="H415" s="14"/>
      <c r="I415" s="14"/>
      <c r="J415" s="14"/>
      <c r="K415" s="14"/>
      <c r="L415" s="45"/>
      <c r="P415" s="43"/>
      <c r="Q415" s="14"/>
      <c r="R415" s="14"/>
      <c r="S415" s="14"/>
      <c r="T415" s="14"/>
      <c r="U415" s="14"/>
      <c r="V415" s="14"/>
      <c r="W415" s="14"/>
      <c r="X415" s="14"/>
      <c r="Y415" s="14"/>
      <c r="Z415" s="45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</row>
    <row r="416" spans="1:37">
      <c r="A416" s="21" t="s">
        <v>104</v>
      </c>
      <c r="B416" s="43"/>
      <c r="C416" s="14"/>
      <c r="D416" s="14"/>
      <c r="E416" s="14"/>
      <c r="F416" s="14"/>
      <c r="G416" s="14"/>
      <c r="H416" s="14">
        <f>T146</f>
        <v>1.0103437898552161E-13</v>
      </c>
      <c r="I416" s="14"/>
      <c r="J416" s="14"/>
      <c r="K416" s="14"/>
      <c r="L416" s="45"/>
      <c r="P416" s="43"/>
      <c r="Q416" s="14"/>
      <c r="R416" s="14"/>
      <c r="S416" s="14"/>
      <c r="T416" s="14"/>
      <c r="U416" s="14"/>
      <c r="V416" s="29">
        <f>H416</f>
        <v>1.0103437898552161E-13</v>
      </c>
      <c r="W416" s="14"/>
      <c r="X416" s="14"/>
      <c r="Y416" s="14"/>
      <c r="Z416" s="45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</row>
    <row r="417" spans="1:37">
      <c r="A417" s="21" t="s">
        <v>88</v>
      </c>
      <c r="B417" s="43"/>
      <c r="C417" s="14"/>
      <c r="D417" s="14"/>
      <c r="E417" s="14"/>
      <c r="F417" s="14"/>
      <c r="G417" s="14"/>
      <c r="H417" s="14"/>
      <c r="I417" s="14"/>
      <c r="J417" s="14"/>
      <c r="K417" s="14"/>
      <c r="L417" s="45"/>
      <c r="P417" s="43"/>
      <c r="Q417" s="14"/>
      <c r="R417" s="14"/>
      <c r="S417" s="14"/>
      <c r="T417" s="14"/>
      <c r="U417" s="14"/>
      <c r="V417" s="14"/>
      <c r="W417" s="14"/>
      <c r="X417" s="14"/>
      <c r="Y417" s="14"/>
      <c r="Z417" s="45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</row>
    <row r="418" spans="1:37">
      <c r="B418" s="43"/>
      <c r="C418" s="14"/>
      <c r="D418" s="14"/>
      <c r="E418" s="14"/>
      <c r="F418" s="14"/>
      <c r="G418" s="14"/>
      <c r="H418" s="14"/>
      <c r="I418" s="14"/>
      <c r="J418" s="14"/>
      <c r="K418" s="14"/>
      <c r="L418" s="45"/>
      <c r="P418" s="43"/>
      <c r="Q418" s="14"/>
      <c r="R418" s="14"/>
      <c r="S418" s="14"/>
      <c r="T418" s="14"/>
      <c r="U418" s="14"/>
      <c r="V418" s="14"/>
      <c r="W418" s="14"/>
      <c r="X418" s="14"/>
      <c r="Y418" s="14"/>
      <c r="Z418" s="45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</row>
    <row r="419" spans="1:37">
      <c r="B419" s="43"/>
      <c r="C419" s="14">
        <f>D165</f>
        <v>56.35922951576201</v>
      </c>
      <c r="D419" s="14"/>
      <c r="E419" s="14"/>
      <c r="F419" s="14"/>
      <c r="G419" s="14"/>
      <c r="H419" s="14"/>
      <c r="I419" s="14"/>
      <c r="J419" s="14"/>
      <c r="K419" s="14"/>
      <c r="L419" s="45"/>
      <c r="P419" s="43"/>
      <c r="Q419" s="14">
        <f>C419</f>
        <v>56.35922951576201</v>
      </c>
      <c r="R419" s="14"/>
      <c r="S419" s="14"/>
      <c r="T419" s="14"/>
      <c r="U419" s="14"/>
      <c r="V419" s="14"/>
      <c r="W419" s="14"/>
      <c r="X419" s="14"/>
      <c r="Y419" s="14"/>
      <c r="Z419" s="45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</row>
    <row r="420" spans="1:37">
      <c r="B420" s="43"/>
      <c r="C420" s="14"/>
      <c r="D420" s="14"/>
      <c r="E420" s="14"/>
      <c r="F420" s="14"/>
      <c r="G420" s="14"/>
      <c r="H420" s="14"/>
      <c r="I420" s="14"/>
      <c r="J420" s="14"/>
      <c r="K420" s="14"/>
      <c r="L420" s="45"/>
      <c r="P420" s="43"/>
      <c r="Q420" s="14"/>
      <c r="R420" s="14"/>
      <c r="S420" s="14"/>
      <c r="T420" s="14"/>
      <c r="U420" s="14"/>
      <c r="V420" s="14"/>
      <c r="W420" s="14"/>
      <c r="X420" s="14"/>
      <c r="Y420" s="14"/>
      <c r="Z420" s="45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</row>
    <row r="421" spans="1:37">
      <c r="B421" s="43"/>
      <c r="C421" s="44" t="s">
        <v>105</v>
      </c>
      <c r="D421" s="14">
        <v>0.05</v>
      </c>
      <c r="E421" s="14"/>
      <c r="F421" s="14"/>
      <c r="G421" s="29" t="s">
        <v>108</v>
      </c>
      <c r="H421" s="14" t="str">
        <f>"]-∞;-"&amp;ROUND(D423,4)&amp;"[ U ]"&amp;ROUND(D423,4)&amp;";+∞["</f>
        <v>]-∞;-1,98[ U ]1,98;+∞[</v>
      </c>
      <c r="I421" s="14"/>
      <c r="J421" s="14"/>
      <c r="K421" s="14"/>
      <c r="L421" s="45"/>
      <c r="P421" s="43"/>
      <c r="Q421" s="44" t="s">
        <v>105</v>
      </c>
      <c r="R421" s="14">
        <v>0.01</v>
      </c>
      <c r="S421" s="14"/>
      <c r="T421" s="14"/>
      <c r="U421" s="29" t="s">
        <v>108</v>
      </c>
      <c r="V421" s="14" t="str">
        <f>"]-∞;-"&amp;ROUND(R423,4)&amp;"[ U ]"&amp;ROUND(R423,4)&amp;";+∞["</f>
        <v>]-∞;-2,62[ U ]2,62;+∞[</v>
      </c>
      <c r="W421" s="14"/>
      <c r="X421" s="14"/>
      <c r="Y421" s="14"/>
      <c r="Z421" s="45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</row>
    <row r="422" spans="1:37">
      <c r="B422" s="43"/>
      <c r="C422" s="44"/>
      <c r="D422" s="14"/>
      <c r="E422" s="14"/>
      <c r="F422" s="14"/>
      <c r="G422" s="14"/>
      <c r="H422" s="14"/>
      <c r="I422" s="14"/>
      <c r="J422" s="14"/>
      <c r="K422" s="14"/>
      <c r="L422" s="45"/>
      <c r="P422" s="43"/>
      <c r="Q422" s="44"/>
      <c r="R422" s="14"/>
      <c r="S422" s="14"/>
      <c r="T422" s="14"/>
      <c r="U422" s="14"/>
      <c r="V422" s="14"/>
      <c r="W422" s="14"/>
      <c r="X422" s="14"/>
      <c r="Y422" s="14"/>
      <c r="Z422" s="45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</row>
    <row r="423" spans="1:37">
      <c r="B423" s="43"/>
      <c r="C423" s="14"/>
      <c r="D423" s="14">
        <f>ROUND(_xlfn.T.INV(1-D421/2,120-(6+1)),2)</f>
        <v>1.98</v>
      </c>
      <c r="E423" s="14"/>
      <c r="F423" s="14"/>
      <c r="G423" s="14"/>
      <c r="H423" s="14"/>
      <c r="I423" s="14"/>
      <c r="J423" s="14"/>
      <c r="K423" s="14"/>
      <c r="L423" s="45"/>
      <c r="P423" s="43"/>
      <c r="Q423" s="14"/>
      <c r="R423" s="14">
        <f>ROUND(_xlfn.T.INV(1-R421/2,120-(6+1)),2)</f>
        <v>2.62</v>
      </c>
      <c r="S423" s="14"/>
      <c r="T423" s="14"/>
      <c r="U423" s="14"/>
      <c r="V423" s="14"/>
      <c r="W423" s="14"/>
      <c r="X423" s="14"/>
      <c r="Y423" s="14"/>
      <c r="Z423" s="45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</row>
    <row r="424" spans="1:37">
      <c r="B424" s="43"/>
      <c r="C424" s="29"/>
      <c r="D424" s="14"/>
      <c r="E424" s="14"/>
      <c r="F424" s="14"/>
      <c r="G424" s="14"/>
      <c r="H424" s="14"/>
      <c r="I424" s="14"/>
      <c r="J424" s="14"/>
      <c r="K424" s="14"/>
      <c r="L424" s="45"/>
      <c r="P424" s="43"/>
      <c r="Q424" s="29"/>
      <c r="R424" s="14"/>
      <c r="S424" s="14"/>
      <c r="T424" s="14"/>
      <c r="U424" s="14"/>
      <c r="V424" s="14"/>
      <c r="W424" s="14"/>
      <c r="X424" s="14"/>
      <c r="Y424" s="14"/>
      <c r="Z424" s="45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</row>
    <row r="425" spans="1:37">
      <c r="B425" s="43"/>
      <c r="C425" s="14"/>
      <c r="D425" s="14"/>
      <c r="E425" s="14"/>
      <c r="F425" s="14"/>
      <c r="G425" s="14"/>
      <c r="H425" s="14"/>
      <c r="I425" s="14"/>
      <c r="J425" s="14"/>
      <c r="K425" s="14"/>
      <c r="L425" s="45"/>
      <c r="P425" s="43"/>
      <c r="Q425" s="14"/>
      <c r="R425" s="14"/>
      <c r="S425" s="14"/>
      <c r="T425" s="14"/>
      <c r="U425" s="14"/>
      <c r="V425" s="14"/>
      <c r="W425" s="14"/>
      <c r="X425" s="14"/>
      <c r="Y425" s="14"/>
      <c r="Z425" s="45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</row>
    <row r="426" spans="1:37">
      <c r="B426" s="43"/>
      <c r="C426" s="14"/>
      <c r="D426" s="14"/>
      <c r="E426" s="14"/>
      <c r="F426" s="14"/>
      <c r="G426" s="14"/>
      <c r="H426" s="14"/>
      <c r="I426" s="14"/>
      <c r="J426" s="14"/>
      <c r="K426" s="14"/>
      <c r="L426" s="45"/>
      <c r="P426" s="43"/>
      <c r="Q426" s="14"/>
      <c r="R426" s="14"/>
      <c r="S426" s="14"/>
      <c r="T426" s="14"/>
      <c r="U426" s="14"/>
      <c r="V426" s="14"/>
      <c r="W426" s="14"/>
      <c r="X426" s="14"/>
      <c r="Y426" s="14"/>
      <c r="Z426" s="45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</row>
    <row r="427" spans="1:37">
      <c r="B427" s="43"/>
      <c r="C427" s="29" t="s">
        <v>106</v>
      </c>
      <c r="D427" s="14">
        <f>ROUND(H414/SQRT(C419*H416),4)</f>
        <v>0.16839999999999999</v>
      </c>
      <c r="E427" s="14"/>
      <c r="F427" s="14"/>
      <c r="G427" s="14"/>
      <c r="H427" s="14"/>
      <c r="I427" s="14"/>
      <c r="J427" s="14"/>
      <c r="K427" s="14"/>
      <c r="L427" s="45"/>
      <c r="P427" s="43"/>
      <c r="Q427" s="29" t="s">
        <v>106</v>
      </c>
      <c r="R427" s="14">
        <f>ROUND(V414/SQRT(Q419*V416),4)</f>
        <v>0.16839999999999999</v>
      </c>
      <c r="S427" s="14"/>
      <c r="T427" s="14"/>
      <c r="U427" s="14"/>
      <c r="V427" s="14"/>
      <c r="W427" s="14"/>
      <c r="X427" s="14"/>
      <c r="Y427" s="14"/>
      <c r="Z427" s="45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</row>
    <row r="428" spans="1:37">
      <c r="B428" s="43"/>
      <c r="C428" s="29" t="s">
        <v>107</v>
      </c>
      <c r="D428" s="14">
        <f>ABS(D427)</f>
        <v>0.16839999999999999</v>
      </c>
      <c r="E428" s="14"/>
      <c r="F428" s="14"/>
      <c r="G428" s="14"/>
      <c r="H428" s="14"/>
      <c r="I428" s="14"/>
      <c r="J428" s="14"/>
      <c r="K428" s="14"/>
      <c r="L428" s="45"/>
      <c r="P428" s="43"/>
      <c r="Q428" s="29" t="s">
        <v>107</v>
      </c>
      <c r="R428" s="14">
        <f>ABS(R427)</f>
        <v>0.16839999999999999</v>
      </c>
      <c r="S428" s="14"/>
      <c r="T428" s="14"/>
      <c r="U428" s="14"/>
      <c r="V428" s="14"/>
      <c r="W428" s="14"/>
      <c r="X428" s="14"/>
      <c r="Y428" s="14"/>
      <c r="Z428" s="45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</row>
    <row r="429" spans="1:37" ht="13.5" thickBot="1">
      <c r="B429" s="47" t="str">
        <f>IF(ABS(D427)&gt;ROUND(D423,4), "Como |"&amp;ROUND(D427,2)&amp;"| &gt; "&amp;ROUND(D423,4)&amp;" então rejeita-se H0, logo a um nível de significância de "&amp;D421*100&amp;"% há evidencia estatística suficiente para se concluir que "&amp;G414&amp;" é não nulo","Como |"&amp;ROUND(D427,2)&amp;"|  ≤ "&amp;ROUND(D423,4)&amp;" então não se rejeita H0, logo a um nível de significância de "&amp;D421*100&amp;"% há evidencia estatística suficiente para se concluir que "&amp;G414&amp;" é nulo")</f>
        <v>Como |0,17|  ≤ 1,98 então não se rejeita H0, logo a um nível de significância de 5% há evidencia estatística suficiente para se concluir que β6= é nulo</v>
      </c>
      <c r="C429" s="28"/>
      <c r="D429" s="28"/>
      <c r="E429" s="28"/>
      <c r="F429" s="28"/>
      <c r="G429" s="28"/>
      <c r="H429" s="28"/>
      <c r="I429" s="28"/>
      <c r="J429" s="28"/>
      <c r="K429" s="49"/>
      <c r="L429" s="49"/>
      <c r="P429" s="47" t="str">
        <f>IF(ABS(R427)&gt;ROUND(R423,4), "Como |"&amp;ROUND(R427,2)&amp;"| &gt; "&amp;ROUND(R423,4)&amp;" então rejeita-se H0, logo a um nível de significância de "&amp;R421*100&amp;"% há evidencia estatística suficiente para se concluir que "&amp;U414&amp;" é não nulo","Como |"&amp;ROUND(R427,2)&amp;"|  ≤ "&amp;ROUND(R423,4)&amp;" então não se rejeita H0, logo a um nível de significância de "&amp;R421*100&amp;"% há evidencia estatística suficiente para se concluir que "&amp;U414&amp;" é nulo")</f>
        <v>Como |0,17|  ≤ 2,62 então não se rejeita H0, logo a um nível de significância de 1% há evidencia estatística suficiente para se concluir que β6= é nulo</v>
      </c>
      <c r="Q429" s="28"/>
      <c r="R429" s="28"/>
      <c r="S429" s="28"/>
      <c r="T429" s="28"/>
      <c r="U429" s="28"/>
      <c r="V429" s="28"/>
      <c r="W429" s="28"/>
      <c r="X429" s="28"/>
      <c r="Y429" s="49"/>
      <c r="Z429" s="49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</row>
  </sheetData>
  <mergeCells count="1">
    <mergeCell ref="B152:O15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3AF5-B59A-4DBF-BE08-15BD18D2CF76}">
  <dimension ref="A2:AM319"/>
  <sheetViews>
    <sheetView topLeftCell="A75" zoomScale="70" zoomScaleNormal="70" workbookViewId="0">
      <selection activeCell="O95" sqref="O95"/>
    </sheetView>
  </sheetViews>
  <sheetFormatPr defaultRowHeight="12.75"/>
  <cols>
    <col min="2" max="2" width="11.42578125" customWidth="1"/>
    <col min="3" max="3" width="15.5703125" customWidth="1"/>
    <col min="4" max="4" width="14.140625" customWidth="1"/>
    <col min="5" max="5" width="12.7109375" customWidth="1"/>
    <col min="6" max="6" width="12" customWidth="1"/>
    <col min="7" max="7" width="12.85546875" customWidth="1"/>
    <col min="8" max="8" width="20" customWidth="1"/>
    <col min="9" max="9" width="9.28515625" bestFit="1" customWidth="1"/>
    <col min="10" max="10" width="11.42578125" bestFit="1" customWidth="1"/>
    <col min="15" max="16" width="9.28515625" bestFit="1" customWidth="1"/>
    <col min="17" max="17" width="11" bestFit="1" customWidth="1"/>
    <col min="18" max="18" width="9.28515625" bestFit="1" customWidth="1"/>
    <col min="19" max="19" width="12.42578125" bestFit="1" customWidth="1"/>
    <col min="20" max="20" width="9.28515625" bestFit="1" customWidth="1"/>
    <col min="21" max="21" width="13.140625" bestFit="1" customWidth="1"/>
    <col min="26" max="26" width="12" bestFit="1" customWidth="1"/>
  </cols>
  <sheetData>
    <row r="2" spans="2:39">
      <c r="B2" s="2" t="s">
        <v>10</v>
      </c>
      <c r="C2" s="2" t="s">
        <v>33</v>
      </c>
      <c r="D2" s="2" t="s">
        <v>34</v>
      </c>
      <c r="E2" s="2" t="s">
        <v>35</v>
      </c>
      <c r="F2" s="2" t="s">
        <v>36</v>
      </c>
      <c r="G2" s="2" t="s">
        <v>37</v>
      </c>
      <c r="H2" s="2" t="s">
        <v>38</v>
      </c>
      <c r="I2" s="4"/>
    </row>
    <row r="3" spans="2:39">
      <c r="B3" s="4" t="s">
        <v>1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/>
    </row>
    <row r="4" spans="2:39">
      <c r="B4" s="4">
        <v>44898</v>
      </c>
      <c r="C4" s="4">
        <v>0.68710000000000004</v>
      </c>
      <c r="D4" s="4">
        <v>6117</v>
      </c>
      <c r="E4" s="4">
        <v>45642</v>
      </c>
      <c r="F4" s="4">
        <v>304215</v>
      </c>
      <c r="G4" s="4">
        <v>0.17910000000000001</v>
      </c>
      <c r="H4" s="4">
        <v>116262</v>
      </c>
      <c r="I4" s="4">
        <f>ROUND($AI$30,4)+ROUND($AI$31,4)*C4+ROUND($AI$32,4)*D4+ROUND($AI$33,4)*E4+ROUND($AI$34,4)*F4+ROUND($AI$35,4)*G4+ROUND($AI$36,4)*H4</f>
        <v>43405.706792510005</v>
      </c>
    </row>
    <row r="5" spans="2:39">
      <c r="B5" s="4">
        <v>20342</v>
      </c>
      <c r="C5" s="4">
        <v>0.50429999999999997</v>
      </c>
      <c r="D5" s="4">
        <v>5872</v>
      </c>
      <c r="E5" s="4">
        <v>38719</v>
      </c>
      <c r="F5" s="4">
        <v>220920</v>
      </c>
      <c r="G5" s="4">
        <v>0.1197</v>
      </c>
      <c r="H5" s="4">
        <v>208089</v>
      </c>
      <c r="I5" s="4">
        <f t="shared" ref="I5:I20" si="0">ROUND($AI$30,4)+ROUND($AI$31,4)*C5+ROUND($AI$32,4)*D5+ROUND($AI$33,4)*E5+ROUND($AI$34,4)*F5+ROUND($AI$35,4)*G5+ROUND($AI$36,4)*H5</f>
        <v>22990.016928870005</v>
      </c>
    </row>
    <row r="6" spans="2:39">
      <c r="B6" s="4">
        <v>11769</v>
      </c>
      <c r="C6" s="4">
        <v>0.47710000000000002</v>
      </c>
      <c r="D6" s="4">
        <v>4906</v>
      </c>
      <c r="E6" s="4">
        <v>27454</v>
      </c>
      <c r="F6" s="4">
        <v>200146</v>
      </c>
      <c r="G6" s="4">
        <v>7.2300000000000003E-2</v>
      </c>
      <c r="H6" s="4">
        <v>266858</v>
      </c>
      <c r="I6" s="4">
        <f t="shared" si="0"/>
        <v>11128.86944463</v>
      </c>
    </row>
    <row r="7" spans="2:39">
      <c r="B7" s="4">
        <v>7037</v>
      </c>
      <c r="C7" s="4">
        <v>0.50860000000000005</v>
      </c>
      <c r="D7" s="4">
        <v>3825</v>
      </c>
      <c r="E7" s="4">
        <v>18463</v>
      </c>
      <c r="F7" s="4">
        <v>189811</v>
      </c>
      <c r="G7" s="4">
        <v>4.6300000000000001E-2</v>
      </c>
      <c r="H7" s="4">
        <v>286470</v>
      </c>
      <c r="I7" s="4">
        <f t="shared" si="0"/>
        <v>6066.7065797799987</v>
      </c>
    </row>
    <row r="8" spans="2:39">
      <c r="B8" s="4">
        <v>5532</v>
      </c>
      <c r="C8" s="4">
        <v>0.61429999999999996</v>
      </c>
      <c r="D8" s="4">
        <v>2829</v>
      </c>
      <c r="E8" s="4">
        <v>12112</v>
      </c>
      <c r="F8" s="4">
        <v>171766</v>
      </c>
      <c r="G8" s="4">
        <v>3.3500000000000002E-2</v>
      </c>
      <c r="H8" s="4">
        <v>317254</v>
      </c>
      <c r="I8" s="4">
        <f t="shared" si="0"/>
        <v>4612.7762479499988</v>
      </c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</row>
    <row r="9" spans="2:39">
      <c r="B9" s="4">
        <v>4163</v>
      </c>
      <c r="C9" s="4">
        <v>0.66710000000000003</v>
      </c>
      <c r="D9" s="4">
        <v>1971</v>
      </c>
      <c r="E9" s="4">
        <v>7986</v>
      </c>
      <c r="F9" s="4">
        <v>158762</v>
      </c>
      <c r="G9" s="4">
        <v>3.0800000000000001E-2</v>
      </c>
      <c r="H9" s="4">
        <v>371084</v>
      </c>
      <c r="I9" s="4">
        <f t="shared" si="0"/>
        <v>5252.6775982300005</v>
      </c>
      <c r="L9">
        <v>1</v>
      </c>
      <c r="M9">
        <f>C4</f>
        <v>0.68710000000000004</v>
      </c>
      <c r="N9" s="69">
        <f t="shared" ref="N9:R9" si="1">D4</f>
        <v>6117</v>
      </c>
      <c r="O9" s="69">
        <f t="shared" si="1"/>
        <v>45642</v>
      </c>
      <c r="P9" s="69">
        <f t="shared" si="1"/>
        <v>304215</v>
      </c>
      <c r="Q9" s="69">
        <f t="shared" si="1"/>
        <v>0.17910000000000001</v>
      </c>
      <c r="R9" s="69">
        <f t="shared" si="1"/>
        <v>116262</v>
      </c>
      <c r="V9">
        <f t="array" ref="V9:AL15">TRANSPOSE(L9:R25)</f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</row>
    <row r="10" spans="2:39">
      <c r="B10" s="4">
        <v>2565</v>
      </c>
      <c r="C10" s="4">
        <v>0.67600000000000005</v>
      </c>
      <c r="D10" s="4">
        <v>1265</v>
      </c>
      <c r="E10" s="4">
        <v>5100</v>
      </c>
      <c r="F10" s="4">
        <v>108746</v>
      </c>
      <c r="G10" s="4">
        <v>2.8299999999999999E-2</v>
      </c>
      <c r="H10" s="4">
        <v>377464</v>
      </c>
      <c r="I10" s="4">
        <f t="shared" si="0"/>
        <v>4523.3961542799989</v>
      </c>
      <c r="L10">
        <v>1</v>
      </c>
      <c r="M10" s="69">
        <f t="shared" ref="M10:R10" si="2">C5</f>
        <v>0.50429999999999997</v>
      </c>
      <c r="N10" s="69">
        <f t="shared" si="2"/>
        <v>5872</v>
      </c>
      <c r="O10" s="69">
        <f t="shared" si="2"/>
        <v>38719</v>
      </c>
      <c r="P10" s="69">
        <f t="shared" si="2"/>
        <v>220920</v>
      </c>
      <c r="Q10" s="69">
        <f t="shared" si="2"/>
        <v>0.1197</v>
      </c>
      <c r="R10" s="69">
        <f t="shared" si="2"/>
        <v>208089</v>
      </c>
      <c r="V10">
        <v>0.68710000000000004</v>
      </c>
      <c r="W10">
        <v>0.50429999999999997</v>
      </c>
      <c r="X10">
        <v>0.47710000000000002</v>
      </c>
      <c r="Y10">
        <v>0.50860000000000005</v>
      </c>
      <c r="Z10">
        <v>0.61429999999999996</v>
      </c>
      <c r="AA10">
        <v>0.66710000000000003</v>
      </c>
      <c r="AB10">
        <v>0.67600000000000005</v>
      </c>
      <c r="AC10">
        <v>0.8357</v>
      </c>
      <c r="AD10">
        <v>0.9657</v>
      </c>
      <c r="AE10">
        <v>1.1086</v>
      </c>
      <c r="AF10">
        <v>1.0071000000000001</v>
      </c>
      <c r="AG10">
        <v>0.96430000000000005</v>
      </c>
      <c r="AH10">
        <v>0.89</v>
      </c>
      <c r="AI10">
        <v>0.88</v>
      </c>
      <c r="AJ10">
        <v>1.0128999999999999</v>
      </c>
      <c r="AK10">
        <v>1.1000000000000001</v>
      </c>
      <c r="AL10">
        <v>1.1399999999999999</v>
      </c>
    </row>
    <row r="11" spans="2:39">
      <c r="B11" s="4">
        <v>2877</v>
      </c>
      <c r="C11" s="4">
        <v>0.8357</v>
      </c>
      <c r="D11" s="4">
        <v>1078</v>
      </c>
      <c r="E11" s="4">
        <v>4841</v>
      </c>
      <c r="F11" s="4">
        <v>181367</v>
      </c>
      <c r="G11" s="4">
        <v>1.4500000000000001E-2</v>
      </c>
      <c r="H11" s="4">
        <v>510025</v>
      </c>
      <c r="I11" s="4">
        <f t="shared" si="0"/>
        <v>1007.1784738500003</v>
      </c>
      <c r="L11">
        <v>1</v>
      </c>
      <c r="M11" s="69">
        <f t="shared" ref="M11:R11" si="3">C6</f>
        <v>0.47710000000000002</v>
      </c>
      <c r="N11" s="69">
        <f t="shared" si="3"/>
        <v>4906</v>
      </c>
      <c r="O11" s="69">
        <f t="shared" si="3"/>
        <v>27454</v>
      </c>
      <c r="P11" s="69">
        <f t="shared" si="3"/>
        <v>200146</v>
      </c>
      <c r="Q11" s="69">
        <f t="shared" si="3"/>
        <v>7.2300000000000003E-2</v>
      </c>
      <c r="R11" s="69">
        <f t="shared" si="3"/>
        <v>266858</v>
      </c>
      <c r="V11">
        <v>6117</v>
      </c>
      <c r="W11">
        <v>5872</v>
      </c>
      <c r="X11">
        <v>4906</v>
      </c>
      <c r="Y11">
        <v>3825</v>
      </c>
      <c r="Z11">
        <v>2829</v>
      </c>
      <c r="AA11">
        <v>1971</v>
      </c>
      <c r="AB11">
        <v>1265</v>
      </c>
      <c r="AC11">
        <v>1078</v>
      </c>
      <c r="AD11">
        <v>895</v>
      </c>
      <c r="AE11">
        <v>823</v>
      </c>
      <c r="AF11">
        <v>775</v>
      </c>
      <c r="AG11">
        <v>733</v>
      </c>
      <c r="AH11">
        <v>612</v>
      </c>
      <c r="AI11">
        <v>560</v>
      </c>
      <c r="AJ11">
        <v>504</v>
      </c>
      <c r="AK11">
        <v>424</v>
      </c>
      <c r="AL11">
        <v>370</v>
      </c>
      <c r="AM11" s="69"/>
    </row>
    <row r="12" spans="2:39">
      <c r="B12" s="4">
        <v>2928</v>
      </c>
      <c r="C12" s="4">
        <v>0.9657</v>
      </c>
      <c r="D12" s="4">
        <v>895</v>
      </c>
      <c r="E12" s="4">
        <v>3845</v>
      </c>
      <c r="F12" s="4">
        <v>167518</v>
      </c>
      <c r="G12" s="4">
        <v>1.7299999999999999E-2</v>
      </c>
      <c r="H12" s="4">
        <v>592953</v>
      </c>
      <c r="I12" s="4">
        <f t="shared" si="0"/>
        <v>3234.0303353299992</v>
      </c>
      <c r="L12">
        <v>1</v>
      </c>
      <c r="M12" s="69">
        <f t="shared" ref="M12:R12" si="4">C7</f>
        <v>0.50860000000000005</v>
      </c>
      <c r="N12" s="69">
        <f t="shared" si="4"/>
        <v>3825</v>
      </c>
      <c r="O12" s="69">
        <f t="shared" si="4"/>
        <v>18463</v>
      </c>
      <c r="P12" s="69">
        <f t="shared" si="4"/>
        <v>189811</v>
      </c>
      <c r="Q12" s="69">
        <f t="shared" si="4"/>
        <v>4.6300000000000001E-2</v>
      </c>
      <c r="R12" s="69">
        <f t="shared" si="4"/>
        <v>286470</v>
      </c>
      <c r="V12">
        <v>45642</v>
      </c>
      <c r="W12">
        <v>38719</v>
      </c>
      <c r="X12">
        <v>27454</v>
      </c>
      <c r="Y12">
        <v>18463</v>
      </c>
      <c r="Z12">
        <v>12112</v>
      </c>
      <c r="AA12">
        <v>7986</v>
      </c>
      <c r="AB12">
        <v>5100</v>
      </c>
      <c r="AC12">
        <v>4841</v>
      </c>
      <c r="AD12">
        <v>3845</v>
      </c>
      <c r="AE12">
        <v>3441</v>
      </c>
      <c r="AF12">
        <v>3080</v>
      </c>
      <c r="AG12">
        <v>2749</v>
      </c>
      <c r="AH12">
        <v>2304</v>
      </c>
      <c r="AI12">
        <v>2006</v>
      </c>
      <c r="AJ12">
        <v>1730</v>
      </c>
      <c r="AK12">
        <v>1535</v>
      </c>
      <c r="AL12">
        <v>1703</v>
      </c>
      <c r="AM12" s="69"/>
    </row>
    <row r="13" spans="2:39">
      <c r="B13" s="4">
        <v>4159</v>
      </c>
      <c r="C13" s="4">
        <v>1.1086</v>
      </c>
      <c r="D13" s="4">
        <v>823</v>
      </c>
      <c r="E13" s="4">
        <v>3441</v>
      </c>
      <c r="F13" s="4">
        <v>349353</v>
      </c>
      <c r="G13" s="4">
        <v>1.21E-2</v>
      </c>
      <c r="H13" s="4">
        <v>645818</v>
      </c>
      <c r="I13" s="4">
        <f t="shared" si="0"/>
        <v>4726.0338670600004</v>
      </c>
      <c r="L13">
        <v>1</v>
      </c>
      <c r="M13" s="69">
        <f t="shared" ref="M13:R13" si="5">C8</f>
        <v>0.61429999999999996</v>
      </c>
      <c r="N13" s="69">
        <f t="shared" si="5"/>
        <v>2829</v>
      </c>
      <c r="O13" s="69">
        <f t="shared" si="5"/>
        <v>12112</v>
      </c>
      <c r="P13" s="69">
        <f t="shared" si="5"/>
        <v>171766</v>
      </c>
      <c r="Q13" s="69">
        <f t="shared" si="5"/>
        <v>3.3500000000000002E-2</v>
      </c>
      <c r="R13" s="69">
        <f t="shared" si="5"/>
        <v>317254</v>
      </c>
      <c r="V13">
        <v>304215</v>
      </c>
      <c r="W13">
        <v>220920</v>
      </c>
      <c r="X13">
        <v>200146</v>
      </c>
      <c r="Y13">
        <v>189811</v>
      </c>
      <c r="Z13">
        <v>171766</v>
      </c>
      <c r="AA13">
        <v>158762</v>
      </c>
      <c r="AB13">
        <v>108746</v>
      </c>
      <c r="AC13">
        <v>181367</v>
      </c>
      <c r="AD13">
        <v>167518</v>
      </c>
      <c r="AE13">
        <v>349353</v>
      </c>
      <c r="AF13">
        <v>256937</v>
      </c>
      <c r="AG13">
        <v>516874</v>
      </c>
      <c r="AH13">
        <v>331125</v>
      </c>
      <c r="AI13">
        <v>297696</v>
      </c>
      <c r="AJ13">
        <v>258409</v>
      </c>
      <c r="AK13">
        <v>268829</v>
      </c>
      <c r="AL13">
        <v>313589</v>
      </c>
      <c r="AM13" s="69"/>
    </row>
    <row r="14" spans="2:39">
      <c r="B14" s="4">
        <v>3507</v>
      </c>
      <c r="C14" s="4">
        <v>1.0071000000000001</v>
      </c>
      <c r="D14" s="4">
        <v>775</v>
      </c>
      <c r="E14" s="4">
        <v>3080</v>
      </c>
      <c r="F14" s="4">
        <v>256937</v>
      </c>
      <c r="G14" s="4">
        <v>1.35E-2</v>
      </c>
      <c r="H14" s="4">
        <v>701102</v>
      </c>
      <c r="I14" s="4">
        <f t="shared" si="0"/>
        <v>3520.0874235500009</v>
      </c>
      <c r="L14">
        <v>1</v>
      </c>
      <c r="M14" s="69">
        <f t="shared" ref="M14:R14" si="6">C9</f>
        <v>0.66710000000000003</v>
      </c>
      <c r="N14" s="69">
        <f t="shared" si="6"/>
        <v>1971</v>
      </c>
      <c r="O14" s="69">
        <f t="shared" si="6"/>
        <v>7986</v>
      </c>
      <c r="P14" s="69">
        <f t="shared" si="6"/>
        <v>158762</v>
      </c>
      <c r="Q14" s="69">
        <f t="shared" si="6"/>
        <v>3.0800000000000001E-2</v>
      </c>
      <c r="R14" s="69">
        <f t="shared" si="6"/>
        <v>371084</v>
      </c>
      <c r="V14">
        <v>0.17910000000000001</v>
      </c>
      <c r="W14">
        <v>0.1197</v>
      </c>
      <c r="X14">
        <v>7.2300000000000003E-2</v>
      </c>
      <c r="Y14">
        <v>4.6300000000000001E-2</v>
      </c>
      <c r="Z14">
        <v>3.3500000000000002E-2</v>
      </c>
      <c r="AA14">
        <v>3.0800000000000001E-2</v>
      </c>
      <c r="AB14">
        <v>2.8299999999999999E-2</v>
      </c>
      <c r="AC14">
        <v>1.4500000000000001E-2</v>
      </c>
      <c r="AD14">
        <v>1.7299999999999999E-2</v>
      </c>
      <c r="AE14">
        <v>1.21E-2</v>
      </c>
      <c r="AF14">
        <v>1.35E-2</v>
      </c>
      <c r="AG14">
        <v>8.2000000000000007E-3</v>
      </c>
      <c r="AH14">
        <v>8.3000000000000001E-3</v>
      </c>
      <c r="AI14">
        <v>8.0000000000000002E-3</v>
      </c>
      <c r="AJ14">
        <v>9.1999999999999998E-3</v>
      </c>
      <c r="AK14">
        <v>1.0699999999999999E-2</v>
      </c>
      <c r="AL14">
        <v>1.1299999999999999E-2</v>
      </c>
      <c r="AM14" s="69"/>
    </row>
    <row r="15" spans="2:39">
      <c r="B15" s="4">
        <v>3441</v>
      </c>
      <c r="C15" s="4">
        <v>0.96430000000000005</v>
      </c>
      <c r="D15" s="4">
        <v>733</v>
      </c>
      <c r="E15" s="4">
        <v>2749</v>
      </c>
      <c r="F15" s="4">
        <v>516874</v>
      </c>
      <c r="G15" s="4">
        <v>8.2000000000000007E-3</v>
      </c>
      <c r="H15" s="4">
        <v>840420</v>
      </c>
      <c r="I15" s="4">
        <f t="shared" si="0"/>
        <v>4603.0235854700022</v>
      </c>
      <c r="L15">
        <v>1</v>
      </c>
      <c r="M15" s="69">
        <f t="shared" ref="M15:R15" si="7">C10</f>
        <v>0.67600000000000005</v>
      </c>
      <c r="N15" s="69">
        <f t="shared" si="7"/>
        <v>1265</v>
      </c>
      <c r="O15" s="69">
        <f t="shared" si="7"/>
        <v>5100</v>
      </c>
      <c r="P15" s="69">
        <f t="shared" si="7"/>
        <v>108746</v>
      </c>
      <c r="Q15" s="69">
        <f t="shared" si="7"/>
        <v>2.8299999999999999E-2</v>
      </c>
      <c r="R15" s="69">
        <f t="shared" si="7"/>
        <v>377464</v>
      </c>
      <c r="V15">
        <v>116262</v>
      </c>
      <c r="W15">
        <v>208089</v>
      </c>
      <c r="X15">
        <v>266858</v>
      </c>
      <c r="Y15">
        <v>286470</v>
      </c>
      <c r="Z15">
        <v>317254</v>
      </c>
      <c r="AA15">
        <v>371084</v>
      </c>
      <c r="AB15">
        <v>377464</v>
      </c>
      <c r="AC15">
        <v>510025</v>
      </c>
      <c r="AD15">
        <v>592953</v>
      </c>
      <c r="AE15">
        <v>645818</v>
      </c>
      <c r="AF15">
        <v>701102</v>
      </c>
      <c r="AG15">
        <v>840420</v>
      </c>
      <c r="AH15">
        <v>930042</v>
      </c>
      <c r="AI15">
        <v>1134005</v>
      </c>
      <c r="AJ15">
        <v>1411270</v>
      </c>
      <c r="AK15">
        <v>1638859</v>
      </c>
      <c r="AL15">
        <v>1949349</v>
      </c>
      <c r="AM15" s="69"/>
    </row>
    <row r="16" spans="2:39">
      <c r="B16" s="4">
        <v>2835</v>
      </c>
      <c r="C16" s="4">
        <v>0.89</v>
      </c>
      <c r="D16" s="4">
        <v>612</v>
      </c>
      <c r="E16" s="4">
        <v>2304</v>
      </c>
      <c r="F16" s="4">
        <v>331125</v>
      </c>
      <c r="G16" s="4">
        <v>8.3000000000000001E-3</v>
      </c>
      <c r="H16" s="4">
        <v>930042</v>
      </c>
      <c r="I16" s="4">
        <f t="shared" si="0"/>
        <v>1792.4457852800012</v>
      </c>
      <c r="L16">
        <v>1</v>
      </c>
      <c r="M16" s="69">
        <f t="shared" ref="M16:R16" si="8">C11</f>
        <v>0.8357</v>
      </c>
      <c r="N16" s="69">
        <f t="shared" si="8"/>
        <v>1078</v>
      </c>
      <c r="O16" s="69">
        <f t="shared" si="8"/>
        <v>4841</v>
      </c>
      <c r="P16" s="69">
        <f t="shared" si="8"/>
        <v>181367</v>
      </c>
      <c r="Q16" s="69">
        <f t="shared" si="8"/>
        <v>1.4500000000000001E-2</v>
      </c>
      <c r="R16" s="69">
        <f t="shared" si="8"/>
        <v>510025</v>
      </c>
      <c r="AM16" s="69"/>
    </row>
    <row r="17" spans="2:39">
      <c r="B17" s="4">
        <v>2305</v>
      </c>
      <c r="C17" s="4">
        <v>0.88</v>
      </c>
      <c r="D17" s="4">
        <v>560</v>
      </c>
      <c r="E17" s="4">
        <v>2006</v>
      </c>
      <c r="F17" s="4">
        <v>297696</v>
      </c>
      <c r="G17" s="4">
        <v>8.0000000000000002E-3</v>
      </c>
      <c r="H17" s="4">
        <v>1134005</v>
      </c>
      <c r="I17" s="4">
        <f t="shared" si="0"/>
        <v>1223.5792928000008</v>
      </c>
      <c r="L17">
        <v>1</v>
      </c>
      <c r="M17" s="69">
        <f t="shared" ref="M17:R17" si="9">C12</f>
        <v>0.9657</v>
      </c>
      <c r="N17" s="69">
        <f t="shared" si="9"/>
        <v>895</v>
      </c>
      <c r="O17" s="69">
        <f t="shared" si="9"/>
        <v>3845</v>
      </c>
      <c r="P17" s="69">
        <f t="shared" si="9"/>
        <v>167518</v>
      </c>
      <c r="Q17" s="69">
        <f t="shared" si="9"/>
        <v>1.7299999999999999E-2</v>
      </c>
      <c r="R17" s="69">
        <f t="shared" si="9"/>
        <v>592953</v>
      </c>
      <c r="AM17" s="69"/>
    </row>
    <row r="18" spans="2:39">
      <c r="B18" s="4">
        <v>2600</v>
      </c>
      <c r="C18" s="4">
        <v>1.0128999999999999</v>
      </c>
      <c r="D18" s="4">
        <v>504</v>
      </c>
      <c r="E18" s="4">
        <v>1730</v>
      </c>
      <c r="F18" s="4">
        <v>258409</v>
      </c>
      <c r="G18" s="4">
        <v>9.1999999999999998E-3</v>
      </c>
      <c r="H18" s="4">
        <v>1411270</v>
      </c>
      <c r="I18" s="4">
        <f t="shared" si="0"/>
        <v>2137.8306257699996</v>
      </c>
      <c r="L18">
        <v>1</v>
      </c>
      <c r="M18" s="69">
        <f t="shared" ref="M18:R18" si="10">C13</f>
        <v>1.1086</v>
      </c>
      <c r="N18" s="69">
        <f t="shared" si="10"/>
        <v>823</v>
      </c>
      <c r="O18" s="69">
        <f t="shared" si="10"/>
        <v>3441</v>
      </c>
      <c r="P18" s="69">
        <f t="shared" si="10"/>
        <v>349353</v>
      </c>
      <c r="Q18" s="69">
        <f t="shared" si="10"/>
        <v>1.21E-2</v>
      </c>
      <c r="R18" s="69">
        <f t="shared" si="10"/>
        <v>645818</v>
      </c>
      <c r="AM18" s="69"/>
    </row>
    <row r="19" spans="2:39">
      <c r="B19" s="4">
        <v>3042</v>
      </c>
      <c r="C19" s="4">
        <v>1.1000000000000001</v>
      </c>
      <c r="D19" s="4">
        <v>424</v>
      </c>
      <c r="E19" s="4">
        <v>1535</v>
      </c>
      <c r="F19" s="4">
        <v>268829</v>
      </c>
      <c r="G19" s="4">
        <v>1.0699999999999999E-2</v>
      </c>
      <c r="H19" s="4">
        <v>1638859</v>
      </c>
      <c r="I19" s="4">
        <f t="shared" si="0"/>
        <v>3377.4629101200021</v>
      </c>
      <c r="L19">
        <v>1</v>
      </c>
      <c r="M19" s="69">
        <f t="shared" ref="M19:R19" si="11">C14</f>
        <v>1.0071000000000001</v>
      </c>
      <c r="N19" s="69">
        <f t="shared" si="11"/>
        <v>775</v>
      </c>
      <c r="O19" s="69">
        <f t="shared" si="11"/>
        <v>3080</v>
      </c>
      <c r="P19" s="69">
        <f t="shared" si="11"/>
        <v>256937</v>
      </c>
      <c r="Q19" s="69">
        <f t="shared" si="11"/>
        <v>1.35E-2</v>
      </c>
      <c r="R19" s="69">
        <f t="shared" si="11"/>
        <v>701102</v>
      </c>
      <c r="AM19" s="69"/>
    </row>
    <row r="20" spans="2:39">
      <c r="B20" s="4">
        <v>3434</v>
      </c>
      <c r="C20" s="4">
        <v>1.1399999999999999</v>
      </c>
      <c r="D20" s="4">
        <v>370</v>
      </c>
      <c r="E20" s="4">
        <v>1703</v>
      </c>
      <c r="F20" s="4">
        <v>313589</v>
      </c>
      <c r="G20" s="4">
        <v>1.1299999999999999E-2</v>
      </c>
      <c r="H20" s="4">
        <v>1949349</v>
      </c>
      <c r="I20" s="4">
        <f t="shared" si="0"/>
        <v>4097.1001850800012</v>
      </c>
      <c r="L20">
        <v>1</v>
      </c>
      <c r="M20" s="69">
        <f t="shared" ref="M20:R20" si="12">C15</f>
        <v>0.96430000000000005</v>
      </c>
      <c r="N20" s="69">
        <f t="shared" si="12"/>
        <v>733</v>
      </c>
      <c r="O20" s="69">
        <f t="shared" si="12"/>
        <v>2749</v>
      </c>
      <c r="P20" s="69">
        <f t="shared" si="12"/>
        <v>516874</v>
      </c>
      <c r="Q20" s="69">
        <f t="shared" si="12"/>
        <v>8.2000000000000007E-3</v>
      </c>
      <c r="R20" s="69">
        <f t="shared" si="12"/>
        <v>840420</v>
      </c>
      <c r="AM20" s="69"/>
    </row>
    <row r="21" spans="2:39">
      <c r="L21">
        <v>1</v>
      </c>
      <c r="M21" s="69">
        <f t="shared" ref="M21:R21" si="13">C16</f>
        <v>0.89</v>
      </c>
      <c r="N21" s="69">
        <f t="shared" si="13"/>
        <v>612</v>
      </c>
      <c r="O21" s="69">
        <f t="shared" si="13"/>
        <v>2304</v>
      </c>
      <c r="P21" s="69">
        <f t="shared" si="13"/>
        <v>331125</v>
      </c>
      <c r="Q21" s="69">
        <f t="shared" si="13"/>
        <v>8.3000000000000001E-3</v>
      </c>
      <c r="R21" s="69">
        <f t="shared" si="13"/>
        <v>930042</v>
      </c>
      <c r="AM21" s="69"/>
    </row>
    <row r="22" spans="2:39">
      <c r="L22">
        <v>1</v>
      </c>
      <c r="M22" s="69">
        <f t="shared" ref="M22:R25" si="14">C17</f>
        <v>0.88</v>
      </c>
      <c r="N22" s="69">
        <f t="shared" si="14"/>
        <v>560</v>
      </c>
      <c r="O22" s="69">
        <f t="shared" si="14"/>
        <v>2006</v>
      </c>
      <c r="P22" s="69">
        <f t="shared" si="14"/>
        <v>297696</v>
      </c>
      <c r="Q22" s="69">
        <f t="shared" si="14"/>
        <v>8.0000000000000002E-3</v>
      </c>
      <c r="R22" s="69">
        <f t="shared" si="14"/>
        <v>1134005</v>
      </c>
      <c r="V22">
        <f t="array" ref="V22:AL22">TRANSPOSE(B4:B20)</f>
        <v>44898</v>
      </c>
      <c r="W22">
        <v>20342</v>
      </c>
      <c r="X22">
        <v>11769</v>
      </c>
      <c r="Y22">
        <v>7037</v>
      </c>
      <c r="Z22">
        <v>5532</v>
      </c>
      <c r="AA22">
        <v>4163</v>
      </c>
      <c r="AB22">
        <v>2565</v>
      </c>
      <c r="AC22">
        <v>2877</v>
      </c>
      <c r="AD22">
        <v>2928</v>
      </c>
      <c r="AE22">
        <v>4159</v>
      </c>
      <c r="AF22">
        <v>3507</v>
      </c>
      <c r="AG22">
        <v>3441</v>
      </c>
      <c r="AH22">
        <v>2835</v>
      </c>
      <c r="AI22">
        <v>2305</v>
      </c>
      <c r="AJ22">
        <v>2600</v>
      </c>
      <c r="AK22">
        <v>3042</v>
      </c>
      <c r="AL22">
        <v>3434</v>
      </c>
    </row>
    <row r="23" spans="2:39">
      <c r="L23" s="69">
        <v>1</v>
      </c>
      <c r="M23" s="69">
        <f t="shared" si="14"/>
        <v>1.0128999999999999</v>
      </c>
      <c r="N23" s="69">
        <f t="shared" ref="N23:N25" si="15">D18</f>
        <v>504</v>
      </c>
      <c r="O23" s="69">
        <f t="shared" ref="O23:O25" si="16">E18</f>
        <v>1730</v>
      </c>
      <c r="P23" s="69">
        <f t="shared" ref="P23:P25" si="17">F18</f>
        <v>258409</v>
      </c>
      <c r="Q23" s="69">
        <f t="shared" ref="Q23:Q25" si="18">G18</f>
        <v>9.1999999999999998E-3</v>
      </c>
      <c r="R23" s="69">
        <f t="shared" ref="R23:R25" si="19">H18</f>
        <v>1411270</v>
      </c>
    </row>
    <row r="24" spans="2:39">
      <c r="L24" s="69">
        <v>1</v>
      </c>
      <c r="M24" s="69">
        <f t="shared" si="14"/>
        <v>1.1000000000000001</v>
      </c>
      <c r="N24" s="69">
        <f t="shared" si="15"/>
        <v>424</v>
      </c>
      <c r="O24" s="69">
        <f t="shared" si="16"/>
        <v>1535</v>
      </c>
      <c r="P24" s="69">
        <f t="shared" si="17"/>
        <v>268829</v>
      </c>
      <c r="Q24" s="69">
        <f t="shared" si="18"/>
        <v>1.0699999999999999E-2</v>
      </c>
      <c r="R24" s="69">
        <f t="shared" si="19"/>
        <v>1638859</v>
      </c>
    </row>
    <row r="25" spans="2:39">
      <c r="L25" s="69">
        <v>1</v>
      </c>
      <c r="M25" s="69">
        <f t="shared" si="14"/>
        <v>1.1399999999999999</v>
      </c>
      <c r="N25" s="69">
        <f t="shared" si="15"/>
        <v>370</v>
      </c>
      <c r="O25" s="69">
        <f t="shared" si="16"/>
        <v>1703</v>
      </c>
      <c r="P25" s="69">
        <f t="shared" si="17"/>
        <v>313589</v>
      </c>
      <c r="Q25" s="69">
        <f t="shared" si="18"/>
        <v>1.1299999999999999E-2</v>
      </c>
      <c r="R25" s="69">
        <f t="shared" si="19"/>
        <v>1949349</v>
      </c>
    </row>
    <row r="26" spans="2:39">
      <c r="M26" s="69"/>
    </row>
    <row r="30" spans="2:39">
      <c r="D30">
        <f t="array" ref="D30:J36">MMULT(V9:AL15,L9:R25)</f>
        <v>17</v>
      </c>
      <c r="E30">
        <v>14.038800000000002</v>
      </c>
      <c r="F30">
        <v>33559</v>
      </c>
      <c r="G30">
        <v>182710</v>
      </c>
      <c r="H30">
        <v>4296063</v>
      </c>
      <c r="I30">
        <v>0.62309999999999988</v>
      </c>
      <c r="J30">
        <v>12297324</v>
      </c>
      <c r="O30">
        <f t="array" ref="O30:U36">MINVERSE(D30:J36)</f>
        <v>13.255687925542237</v>
      </c>
      <c r="P30">
        <v>-11.04377121934116</v>
      </c>
      <c r="Q30">
        <v>-5.3485901470286621E-3</v>
      </c>
      <c r="R30">
        <v>8.3012899254212885E-4</v>
      </c>
      <c r="S30">
        <v>-9.3062067579062994E-7</v>
      </c>
      <c r="T30">
        <v>-61.611349637558519</v>
      </c>
      <c r="U30">
        <v>7.3439244838328557E-8</v>
      </c>
      <c r="Z30">
        <f t="array" ref="Z30:Z36">MMULT(V9:AL15,B4:B20)</f>
        <v>127434</v>
      </c>
      <c r="AI30">
        <f t="array" ref="AI30:AI36">MMULT(O30:U36,Z30:Z36)</f>
        <v>-11168.918770045879</v>
      </c>
    </row>
    <row r="31" spans="2:39">
      <c r="D31">
        <v>14.038800000000002</v>
      </c>
      <c r="E31">
        <v>12.398242420000003</v>
      </c>
      <c r="F31">
        <v>21959.216599999996</v>
      </c>
      <c r="G31">
        <v>116114.8958</v>
      </c>
      <c r="H31">
        <v>3726837.5809999998</v>
      </c>
      <c r="I31">
        <v>0.41386247000000004</v>
      </c>
      <c r="J31">
        <v>11666877.621900002</v>
      </c>
      <c r="O31">
        <v>-11.043771219341178</v>
      </c>
      <c r="P31">
        <v>11.912496155592113</v>
      </c>
      <c r="Q31">
        <v>3.3723981581846429E-3</v>
      </c>
      <c r="R31">
        <v>-3.9483252957555796E-4</v>
      </c>
      <c r="S31">
        <v>-3.3513977182818585E-6</v>
      </c>
      <c r="T31">
        <v>8.7789981517158502</v>
      </c>
      <c r="U31">
        <v>-9.4328462229938914E-7</v>
      </c>
      <c r="Z31">
        <v>89349.931299999982</v>
      </c>
      <c r="AI31">
        <v>7219.0545373433852</v>
      </c>
    </row>
    <row r="32" spans="2:39">
      <c r="D32">
        <v>33559</v>
      </c>
      <c r="E32">
        <v>21959.216599999996</v>
      </c>
      <c r="F32">
        <v>129123029</v>
      </c>
      <c r="G32">
        <v>788897246</v>
      </c>
      <c r="H32">
        <v>7743040746</v>
      </c>
      <c r="I32">
        <v>2601.9722999999999</v>
      </c>
      <c r="J32">
        <v>12547470389</v>
      </c>
      <c r="O32">
        <v>-5.3485901470286257E-3</v>
      </c>
      <c r="P32">
        <v>3.3723981581846086E-3</v>
      </c>
      <c r="Q32">
        <v>3.0936003535666344E-6</v>
      </c>
      <c r="R32">
        <v>-5.7997402677874956E-7</v>
      </c>
      <c r="S32">
        <v>1.5594717767423333E-9</v>
      </c>
      <c r="T32">
        <v>5.7279615550864617E-2</v>
      </c>
      <c r="U32">
        <v>2.7160477795142018E-10</v>
      </c>
      <c r="Z32">
        <v>527126164</v>
      </c>
      <c r="AI32">
        <v>2.134621617811387</v>
      </c>
    </row>
    <row r="33" spans="1:35">
      <c r="D33">
        <v>182710</v>
      </c>
      <c r="E33">
        <v>116114.8958</v>
      </c>
      <c r="F33">
        <v>788897246</v>
      </c>
      <c r="G33">
        <v>4998129324</v>
      </c>
      <c r="H33">
        <v>43031291955</v>
      </c>
      <c r="I33">
        <v>16774.184900000007</v>
      </c>
      <c r="J33">
        <v>58845388607</v>
      </c>
      <c r="O33">
        <v>8.3012899254212224E-4</v>
      </c>
      <c r="P33">
        <v>-3.9483252957555254E-4</v>
      </c>
      <c r="Q33">
        <v>-5.7997402677874797E-7</v>
      </c>
      <c r="R33">
        <v>1.2343825290264708E-7</v>
      </c>
      <c r="S33">
        <v>-4.320128894513481E-10</v>
      </c>
      <c r="T33">
        <v>-1.4409719536499445E-2</v>
      </c>
      <c r="U33">
        <v>-6.7057023714887399E-11</v>
      </c>
      <c r="Z33">
        <v>3489146420</v>
      </c>
      <c r="AI33">
        <v>-0.80607828293527328</v>
      </c>
    </row>
    <row r="34" spans="1:35">
      <c r="D34">
        <v>4296063</v>
      </c>
      <c r="E34">
        <v>3726837.5809999998</v>
      </c>
      <c r="F34">
        <v>7743040746</v>
      </c>
      <c r="G34">
        <v>43031291955</v>
      </c>
      <c r="H34">
        <v>1235801792529</v>
      </c>
      <c r="I34">
        <v>149298.74280000001</v>
      </c>
      <c r="J34">
        <v>3437662334433</v>
      </c>
      <c r="O34">
        <v>-9.3062067579054227E-7</v>
      </c>
      <c r="P34">
        <v>-3.3513977182819144E-6</v>
      </c>
      <c r="Q34">
        <v>1.5594717767422857E-9</v>
      </c>
      <c r="R34">
        <v>-4.3201288945133952E-10</v>
      </c>
      <c r="S34">
        <v>1.2003820364872178E-11</v>
      </c>
      <c r="T34">
        <v>5.7297433957434451E-5</v>
      </c>
      <c r="U34">
        <v>1.787149647162289E-13</v>
      </c>
      <c r="Z34">
        <v>33070207881</v>
      </c>
      <c r="AI34">
        <v>1.2848747945417297E-2</v>
      </c>
    </row>
    <row r="35" spans="1:35">
      <c r="D35">
        <v>0.62309999999999988</v>
      </c>
      <c r="E35">
        <v>0.41386247000000004</v>
      </c>
      <c r="F35">
        <v>2601.9722999999999</v>
      </c>
      <c r="G35">
        <v>16774.184900000007</v>
      </c>
      <c r="H35">
        <v>149298.74280000001</v>
      </c>
      <c r="I35">
        <v>5.8012810000000019E-2</v>
      </c>
      <c r="J35">
        <v>222190.47510000001</v>
      </c>
      <c r="O35">
        <v>-61.611349637557367</v>
      </c>
      <c r="P35">
        <v>8.7789981517149638</v>
      </c>
      <c r="Q35">
        <v>5.7279615550864235E-2</v>
      </c>
      <c r="R35">
        <v>-1.4409719536499409E-2</v>
      </c>
      <c r="S35">
        <v>5.7297433957435284E-5</v>
      </c>
      <c r="T35">
        <v>2027.2929127316982</v>
      </c>
      <c r="U35">
        <v>1.0192459992591337E-5</v>
      </c>
      <c r="Z35">
        <v>12394.512500000001</v>
      </c>
      <c r="AI35">
        <v>388060.49155980058</v>
      </c>
    </row>
    <row r="36" spans="1:35">
      <c r="D36">
        <v>12297324</v>
      </c>
      <c r="E36">
        <v>11666877.621900002</v>
      </c>
      <c r="F36">
        <v>12547470389</v>
      </c>
      <c r="G36">
        <v>58845388607</v>
      </c>
      <c r="H36">
        <v>3437662334433</v>
      </c>
      <c r="I36">
        <v>222190.47510000001</v>
      </c>
      <c r="J36">
        <v>13446026905630</v>
      </c>
      <c r="O36">
        <v>7.3439244838319862E-8</v>
      </c>
      <c r="P36">
        <v>-9.432846222993849E-7</v>
      </c>
      <c r="Q36">
        <v>2.7160477795142566E-10</v>
      </c>
      <c r="R36">
        <v>-6.7057023714888731E-11</v>
      </c>
      <c r="S36">
        <v>1.787149647162368E-13</v>
      </c>
      <c r="T36">
        <v>1.0192459992591518E-5</v>
      </c>
      <c r="U36">
        <v>6.5157496737608073E-13</v>
      </c>
      <c r="Z36">
        <v>50716927330</v>
      </c>
      <c r="AI36">
        <v>-4.3895488812552286E-4</v>
      </c>
    </row>
    <row r="39" spans="1:35" ht="20.25">
      <c r="B39" s="83" t="str">
        <f>"𝑦 ̂="&amp;ROUND(AI30,4)&amp;"+"&amp;ROUND(AI31,4)&amp;"X1"&amp;"+"&amp;ROUND(AI32,4)&amp;"X2"&amp;"+"&amp;ROUND(AI33,4)&amp;"X3"&amp;"+"&amp;ROUND(AI34,4)&amp;"X4"&amp;"+"&amp;ROUND(AI35,4)&amp;"X5"&amp;"+"&amp;ROUND(AI36,4)&amp;"X6"</f>
        <v>𝑦 ̂=-11168,9188+7219,0545X1+2,1346X2+-0,8061X3+0,0128X4+388060,4916X5+-0,0004X6</v>
      </c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</row>
    <row r="42" spans="1:35" ht="13.5" thickBot="1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</row>
    <row r="43" spans="1:35">
      <c r="A43" s="39" t="s">
        <v>81</v>
      </c>
      <c r="B43" s="41"/>
      <c r="C43" s="41"/>
      <c r="D43" s="41"/>
      <c r="E43" s="41"/>
      <c r="F43" s="42"/>
      <c r="G43" s="69"/>
      <c r="H43" s="69"/>
      <c r="I43" s="69"/>
      <c r="J43" s="69"/>
      <c r="K43" s="69"/>
      <c r="L43" s="69"/>
      <c r="M43" s="69"/>
      <c r="N43" s="3"/>
      <c r="O43" s="14"/>
      <c r="P43" s="29"/>
      <c r="Q43" s="14"/>
      <c r="R43" s="14"/>
      <c r="S43" s="14"/>
      <c r="T43" s="14"/>
      <c r="U43" s="14"/>
      <c r="V43" s="14"/>
      <c r="W43" s="14"/>
      <c r="X43" s="14"/>
    </row>
    <row r="44" spans="1:35">
      <c r="A44" s="43"/>
      <c r="B44" s="14"/>
      <c r="C44" s="14"/>
      <c r="D44" s="14">
        <f>Q46-(Q49*T46^2)</f>
        <v>1816352153.7647059</v>
      </c>
      <c r="E44" s="14"/>
      <c r="F44" s="45"/>
      <c r="G44" s="69"/>
      <c r="H44" s="69"/>
      <c r="I44" s="69"/>
      <c r="J44" s="69"/>
      <c r="K44" s="69"/>
      <c r="L44" s="69"/>
      <c r="M44" s="69"/>
      <c r="N44" s="14"/>
      <c r="O44" s="69"/>
      <c r="P44" s="69"/>
      <c r="Q44" s="69"/>
      <c r="R44" s="69"/>
      <c r="S44" s="69"/>
      <c r="T44" s="69"/>
      <c r="U44" s="69"/>
      <c r="V44" s="69"/>
      <c r="W44" s="69"/>
    </row>
    <row r="45" spans="1:35">
      <c r="A45" s="43"/>
      <c r="B45" s="14"/>
      <c r="C45" s="14"/>
      <c r="D45" s="14"/>
      <c r="E45" s="14"/>
      <c r="F45" s="45"/>
      <c r="G45" s="69"/>
      <c r="H45" s="69"/>
      <c r="I45" s="69"/>
      <c r="J45" s="69"/>
      <c r="K45" s="69"/>
      <c r="L45" s="69"/>
      <c r="M45" s="69"/>
      <c r="N45" s="14"/>
      <c r="O45" s="69"/>
      <c r="P45" s="69"/>
      <c r="Q45" s="69"/>
      <c r="R45" s="69"/>
      <c r="S45" s="69"/>
      <c r="T45" s="69"/>
      <c r="U45" s="69"/>
      <c r="V45" s="69"/>
      <c r="W45" s="69"/>
    </row>
    <row r="46" spans="1:35" ht="18">
      <c r="A46" s="43"/>
      <c r="B46" s="14"/>
      <c r="C46" s="14"/>
      <c r="D46" s="14">
        <f>Q53-(Q49*T46^2)</f>
        <v>1791620461.8277023</v>
      </c>
      <c r="E46" s="14"/>
      <c r="F46" s="45"/>
      <c r="G46" s="69"/>
      <c r="H46" s="69"/>
      <c r="I46" s="69"/>
      <c r="J46" s="69"/>
      <c r="K46" s="69"/>
      <c r="L46" s="69"/>
      <c r="M46" s="69"/>
      <c r="N46" s="14"/>
      <c r="O46" s="69"/>
      <c r="P46" s="71" t="s">
        <v>73</v>
      </c>
      <c r="Q46" s="69">
        <f>MMULT(V22:AL22,B4:B20)</f>
        <v>2771612410</v>
      </c>
      <c r="R46" s="69"/>
      <c r="S46" s="69" t="s">
        <v>74</v>
      </c>
      <c r="T46" s="69">
        <f>AVERAGE(B4:B20)</f>
        <v>7496.1176470588234</v>
      </c>
      <c r="U46" s="69"/>
      <c r="V46" s="69"/>
      <c r="W46" s="69"/>
    </row>
    <row r="47" spans="1:35">
      <c r="A47" s="43"/>
      <c r="B47" s="14"/>
      <c r="C47" s="14"/>
      <c r="D47" s="14"/>
      <c r="E47" s="14"/>
      <c r="F47" s="45"/>
      <c r="G47" s="69"/>
      <c r="H47" s="69"/>
      <c r="I47" s="69"/>
      <c r="J47" s="69"/>
      <c r="K47" s="69"/>
      <c r="L47" s="69"/>
      <c r="M47" s="69"/>
      <c r="N47" s="14"/>
      <c r="O47" s="69"/>
      <c r="P47" s="69"/>
      <c r="Q47" s="69"/>
      <c r="R47" s="69"/>
      <c r="S47" s="69"/>
      <c r="T47" s="69"/>
      <c r="U47" s="69"/>
      <c r="V47" s="69"/>
      <c r="W47" s="69"/>
    </row>
    <row r="48" spans="1:35">
      <c r="A48" s="43"/>
      <c r="B48" s="14"/>
      <c r="C48" s="14"/>
      <c r="D48" s="14">
        <f>Q46-Q53</f>
        <v>24731691.937003613</v>
      </c>
      <c r="E48" s="14"/>
      <c r="F48" s="45"/>
      <c r="G48" s="69"/>
      <c r="H48" s="69"/>
      <c r="I48" s="69"/>
      <c r="J48" s="69"/>
      <c r="K48" s="69"/>
      <c r="L48" s="69"/>
      <c r="M48" s="69"/>
      <c r="N48" s="14"/>
      <c r="O48" s="69"/>
      <c r="P48" s="69"/>
      <c r="Q48" s="69"/>
      <c r="R48" s="69"/>
      <c r="S48" s="69"/>
      <c r="T48" s="69"/>
      <c r="U48" s="69"/>
      <c r="V48" s="69"/>
      <c r="W48" s="69"/>
    </row>
    <row r="49" spans="1:23">
      <c r="A49" s="43"/>
      <c r="B49" s="14"/>
      <c r="C49" s="14"/>
      <c r="D49" s="14"/>
      <c r="E49" s="14"/>
      <c r="F49" s="45"/>
      <c r="G49" s="69"/>
      <c r="H49" s="69"/>
      <c r="I49" s="69"/>
      <c r="J49" s="69"/>
      <c r="K49" s="69"/>
      <c r="L49" s="69"/>
      <c r="M49" s="69"/>
      <c r="N49" s="14"/>
      <c r="O49" s="69"/>
      <c r="P49" s="71" t="s">
        <v>19</v>
      </c>
      <c r="Q49" s="69">
        <v>17</v>
      </c>
      <c r="R49" s="69"/>
      <c r="S49" s="69"/>
      <c r="T49" s="69"/>
      <c r="U49" s="69"/>
      <c r="V49" s="69"/>
      <c r="W49" s="69"/>
    </row>
    <row r="50" spans="1:23">
      <c r="A50" s="43"/>
      <c r="B50" s="14"/>
      <c r="C50" s="14"/>
      <c r="D50" s="14"/>
      <c r="E50" s="14"/>
      <c r="F50" s="45"/>
      <c r="G50" s="69"/>
      <c r="H50" s="69"/>
      <c r="I50" s="69"/>
      <c r="J50" s="69"/>
      <c r="K50" s="69"/>
      <c r="L50" s="69"/>
      <c r="M50" s="69"/>
      <c r="N50" s="14"/>
      <c r="O50" s="69"/>
      <c r="P50" s="69"/>
      <c r="Q50" s="69"/>
      <c r="R50" s="69"/>
      <c r="S50" s="69"/>
      <c r="T50" s="69"/>
      <c r="U50" s="69"/>
      <c r="V50" s="69"/>
      <c r="W50" s="69"/>
    </row>
    <row r="51" spans="1:23">
      <c r="A51" s="43"/>
      <c r="B51" s="14"/>
      <c r="C51" s="14"/>
      <c r="D51" s="14">
        <f>D46/6</f>
        <v>298603410.30461705</v>
      </c>
      <c r="E51" s="14"/>
      <c r="F51" s="45"/>
      <c r="G51" s="69"/>
      <c r="H51" s="69"/>
      <c r="I51" s="69"/>
      <c r="J51" s="69"/>
      <c r="K51" s="69"/>
      <c r="L51" s="69"/>
      <c r="M51" s="69"/>
      <c r="N51" s="14"/>
      <c r="O51" s="69"/>
      <c r="P51" s="69"/>
      <c r="Q51" s="69">
        <f t="array" ref="Q51:W51">TRANSPOSE(AI30:AI36)</f>
        <v>-11168.918770045879</v>
      </c>
      <c r="R51" s="69">
        <v>7219.0545373433852</v>
      </c>
      <c r="S51" s="69">
        <v>2.134621617811387</v>
      </c>
      <c r="T51" s="69">
        <v>-0.80607828293527328</v>
      </c>
      <c r="U51" s="69">
        <v>1.2848747945417297E-2</v>
      </c>
      <c r="V51" s="69">
        <v>388060.49155980058</v>
      </c>
      <c r="W51" s="69">
        <v>-4.3895488812552286E-4</v>
      </c>
    </row>
    <row r="52" spans="1:23">
      <c r="A52" s="43"/>
      <c r="B52" s="14"/>
      <c r="C52" s="14"/>
      <c r="D52" s="14"/>
      <c r="E52" s="14"/>
      <c r="F52" s="45"/>
      <c r="G52" s="69"/>
      <c r="H52" s="69"/>
      <c r="I52" s="69"/>
      <c r="J52" s="69"/>
      <c r="K52" s="69"/>
      <c r="L52" s="69"/>
      <c r="M52" s="69"/>
      <c r="N52" s="14"/>
      <c r="O52" s="69"/>
      <c r="P52" s="69"/>
      <c r="Q52" s="69"/>
      <c r="R52" s="69"/>
      <c r="S52" s="69"/>
      <c r="T52" s="69"/>
      <c r="U52" s="69"/>
      <c r="V52" s="69"/>
      <c r="W52" s="69"/>
    </row>
    <row r="53" spans="1:23">
      <c r="A53" s="43"/>
      <c r="B53" s="14"/>
      <c r="C53" s="14"/>
      <c r="D53" s="14"/>
      <c r="E53" s="14"/>
      <c r="F53" s="45"/>
      <c r="G53" s="69"/>
      <c r="H53" s="69"/>
      <c r="I53" s="69"/>
      <c r="J53" s="69"/>
      <c r="K53" s="69"/>
      <c r="L53" s="69"/>
      <c r="M53" s="69"/>
      <c r="N53" s="14"/>
      <c r="O53" s="69"/>
      <c r="P53" s="69"/>
      <c r="Q53" s="69">
        <f>MMULT(Q51:W51,Z30:Z36)</f>
        <v>2746880718.0629964</v>
      </c>
      <c r="R53" s="69"/>
      <c r="S53" s="69"/>
      <c r="T53" s="69"/>
      <c r="U53" s="69"/>
      <c r="V53" s="69"/>
      <c r="W53" s="69"/>
    </row>
    <row r="54" spans="1:23">
      <c r="A54" s="43"/>
      <c r="B54" s="14"/>
      <c r="C54" s="14"/>
      <c r="D54" s="14">
        <f>D48/(Q49-(B63+1))</f>
        <v>2473169.1937003611</v>
      </c>
      <c r="E54" s="14"/>
      <c r="F54" s="45"/>
      <c r="G54" s="69"/>
      <c r="H54" s="69"/>
      <c r="I54" s="69"/>
      <c r="J54" s="69"/>
      <c r="K54" s="69"/>
      <c r="L54" s="69"/>
      <c r="M54" s="69"/>
      <c r="N54" s="14"/>
      <c r="O54" s="69"/>
      <c r="P54" s="69"/>
      <c r="Q54" s="69"/>
      <c r="R54" s="69"/>
      <c r="S54" s="69"/>
      <c r="T54" s="69"/>
      <c r="U54" s="69"/>
      <c r="V54" s="69"/>
      <c r="W54" s="69"/>
    </row>
    <row r="55" spans="1:23">
      <c r="A55" s="43"/>
      <c r="B55" s="14"/>
      <c r="C55" s="14"/>
      <c r="D55" s="14"/>
      <c r="E55" s="14"/>
      <c r="F55" s="45"/>
      <c r="G55" s="69"/>
      <c r="H55" s="69"/>
      <c r="I55" s="69"/>
      <c r="J55" s="69"/>
      <c r="K55" s="69"/>
      <c r="L55" s="69"/>
      <c r="M55" s="69"/>
      <c r="N55" s="14"/>
      <c r="O55" s="69"/>
      <c r="P55" s="69"/>
      <c r="Q55" s="69"/>
      <c r="R55" s="69"/>
      <c r="S55" s="69"/>
      <c r="T55" s="69"/>
      <c r="U55" s="69"/>
      <c r="V55" s="69"/>
      <c r="W55" s="69"/>
    </row>
    <row r="56" spans="1:23">
      <c r="A56" s="43"/>
      <c r="B56" s="14"/>
      <c r="C56" s="14"/>
      <c r="D56" s="14"/>
      <c r="E56" s="14"/>
      <c r="F56" s="45"/>
      <c r="G56" s="69"/>
      <c r="H56" s="69"/>
      <c r="I56" s="69"/>
      <c r="J56" s="69"/>
      <c r="K56" s="69"/>
      <c r="L56" s="69"/>
      <c r="M56" s="69"/>
      <c r="N56" s="14"/>
      <c r="O56" s="69"/>
      <c r="P56" s="69"/>
      <c r="Q56" s="69"/>
      <c r="R56" s="69"/>
      <c r="S56" s="69"/>
      <c r="T56" s="69"/>
      <c r="U56" s="69"/>
      <c r="V56" s="69"/>
      <c r="W56" s="69"/>
    </row>
    <row r="57" spans="1:23">
      <c r="A57" s="43"/>
      <c r="B57" s="14"/>
      <c r="C57" s="14"/>
      <c r="D57" s="14">
        <f>D51/D54</f>
        <v>120.73715420085999</v>
      </c>
      <c r="E57" s="14"/>
      <c r="F57" s="45"/>
      <c r="G57" s="69"/>
      <c r="H57" s="69"/>
      <c r="I57" s="69"/>
      <c r="J57" s="69"/>
      <c r="K57" s="69"/>
      <c r="L57" s="69"/>
      <c r="M57" s="69"/>
      <c r="N57" s="14"/>
      <c r="O57" s="69"/>
      <c r="P57" s="69"/>
      <c r="Q57" s="69"/>
      <c r="R57" s="69"/>
      <c r="S57" s="69"/>
      <c r="T57" s="69"/>
      <c r="U57" s="69"/>
      <c r="V57" s="69"/>
      <c r="W57" s="69"/>
    </row>
    <row r="58" spans="1:23">
      <c r="A58" s="43"/>
      <c r="B58" s="14"/>
      <c r="C58" s="14"/>
      <c r="D58" s="14"/>
      <c r="E58" s="14"/>
      <c r="F58" s="45"/>
      <c r="G58" s="69"/>
      <c r="H58" s="69"/>
      <c r="I58" s="69"/>
      <c r="J58" s="69"/>
      <c r="K58" s="69"/>
      <c r="L58" s="69"/>
      <c r="M58" s="69"/>
      <c r="N58" s="14"/>
      <c r="O58" s="69"/>
      <c r="P58" s="69"/>
      <c r="Q58" s="69"/>
      <c r="R58" s="69"/>
      <c r="S58" s="69"/>
      <c r="T58" s="69"/>
      <c r="U58" s="69"/>
      <c r="V58" s="69"/>
      <c r="W58" s="69"/>
    </row>
    <row r="59" spans="1:23">
      <c r="A59" s="43"/>
      <c r="B59" s="14"/>
      <c r="C59" s="14"/>
      <c r="D59" s="14"/>
      <c r="E59" s="14"/>
      <c r="F59" s="45"/>
      <c r="G59" s="69"/>
      <c r="H59" s="69"/>
      <c r="I59" s="69"/>
      <c r="J59" s="69"/>
      <c r="K59" s="69"/>
      <c r="L59" s="69"/>
      <c r="M59" s="69"/>
      <c r="N59" s="14"/>
      <c r="O59" s="69"/>
      <c r="P59" s="69"/>
      <c r="Q59" s="69"/>
      <c r="R59" s="69"/>
      <c r="S59" s="69"/>
      <c r="T59" s="69"/>
      <c r="U59" s="69"/>
      <c r="V59" s="69"/>
      <c r="W59" s="69"/>
    </row>
    <row r="60" spans="1:23">
      <c r="A60" s="43"/>
      <c r="B60" s="14"/>
      <c r="C60" s="14"/>
      <c r="D60" s="14"/>
      <c r="E60" s="14"/>
      <c r="F60" s="45"/>
      <c r="G60" s="69"/>
      <c r="H60" s="69"/>
      <c r="I60" s="69"/>
      <c r="J60" s="69"/>
      <c r="K60" s="69"/>
      <c r="L60" s="69"/>
      <c r="M60" s="69"/>
      <c r="N60" s="14"/>
      <c r="O60" s="69"/>
      <c r="P60" s="69"/>
      <c r="Q60" s="69"/>
      <c r="R60" s="69"/>
      <c r="S60" s="69"/>
      <c r="T60" s="69"/>
      <c r="U60" s="69"/>
      <c r="V60" s="69"/>
      <c r="W60" s="69"/>
    </row>
    <row r="61" spans="1:23" ht="13.5" thickBot="1">
      <c r="A61" s="43" t="s">
        <v>44</v>
      </c>
      <c r="B61" s="14"/>
      <c r="C61" s="14"/>
      <c r="D61" s="14"/>
      <c r="E61" s="14"/>
      <c r="F61" s="45"/>
      <c r="G61" s="69"/>
      <c r="H61" s="69"/>
      <c r="I61" s="69"/>
      <c r="J61" s="69"/>
      <c r="K61" s="69"/>
      <c r="L61" s="69"/>
      <c r="M61" s="69"/>
      <c r="N61" s="14"/>
      <c r="O61" s="69"/>
      <c r="P61" s="69"/>
      <c r="Q61" s="69"/>
      <c r="R61" s="69"/>
      <c r="S61" s="69"/>
      <c r="T61" s="69"/>
      <c r="U61" s="69"/>
      <c r="V61" s="69"/>
      <c r="W61" s="69"/>
    </row>
    <row r="62" spans="1:23">
      <c r="A62" s="56"/>
      <c r="B62" s="20" t="s">
        <v>48</v>
      </c>
      <c r="C62" s="20" t="s">
        <v>49</v>
      </c>
      <c r="D62" s="20" t="s">
        <v>50</v>
      </c>
      <c r="E62" s="20" t="s">
        <v>51</v>
      </c>
      <c r="F62" s="57"/>
      <c r="G62" s="69"/>
      <c r="H62" s="69"/>
      <c r="I62" s="69"/>
      <c r="J62" s="69"/>
      <c r="K62" s="69"/>
      <c r="L62" s="69"/>
      <c r="M62" s="69"/>
      <c r="N62" s="14"/>
      <c r="O62" s="69"/>
      <c r="P62" s="69"/>
      <c r="Q62" s="69"/>
      <c r="R62" s="69"/>
      <c r="S62" s="69"/>
      <c r="T62" s="69"/>
      <c r="U62" s="69"/>
      <c r="V62" s="69"/>
      <c r="W62" s="69"/>
    </row>
    <row r="63" spans="1:23">
      <c r="A63" s="58" t="s">
        <v>45</v>
      </c>
      <c r="B63" s="69">
        <v>6</v>
      </c>
      <c r="C63" s="18">
        <f>D46</f>
        <v>1791620461.8277023</v>
      </c>
      <c r="D63" s="18">
        <f>D51</f>
        <v>298603410.30461705</v>
      </c>
      <c r="E63" s="18">
        <f>D63/D64</f>
        <v>120.73715420085999</v>
      </c>
      <c r="F63" s="59"/>
      <c r="G63" s="69"/>
      <c r="H63" s="69"/>
      <c r="I63" s="69"/>
      <c r="J63" s="69"/>
      <c r="K63" s="69"/>
      <c r="L63" s="69"/>
      <c r="M63" s="69"/>
      <c r="N63" s="14"/>
      <c r="O63" s="69"/>
      <c r="P63" s="69"/>
      <c r="Q63" s="69"/>
      <c r="R63" s="69"/>
      <c r="S63" s="69"/>
      <c r="T63" s="69"/>
      <c r="U63" s="69"/>
      <c r="V63" s="69"/>
      <c r="W63" s="69"/>
    </row>
    <row r="64" spans="1:23">
      <c r="A64" s="58" t="s">
        <v>46</v>
      </c>
      <c r="B64" s="69">
        <v>10</v>
      </c>
      <c r="C64" s="18">
        <f>D48</f>
        <v>24731691.937003613</v>
      </c>
      <c r="D64" s="18">
        <f>D54</f>
        <v>2473169.1937003611</v>
      </c>
      <c r="E64" s="18"/>
      <c r="F64" s="59"/>
      <c r="G64" s="69"/>
      <c r="H64" s="69"/>
      <c r="I64" s="69"/>
      <c r="J64" s="69"/>
      <c r="K64" s="69"/>
      <c r="L64" s="69"/>
      <c r="M64" s="69"/>
      <c r="N64" s="14"/>
      <c r="O64" s="69"/>
      <c r="P64" s="69"/>
      <c r="Q64" s="69"/>
      <c r="R64" s="69"/>
      <c r="S64" s="69"/>
      <c r="T64" s="69"/>
      <c r="U64" s="69"/>
      <c r="V64" s="69"/>
      <c r="W64" s="69"/>
    </row>
    <row r="65" spans="1:23" ht="13.5" thickBot="1">
      <c r="A65" s="60" t="s">
        <v>47</v>
      </c>
      <c r="B65" s="28">
        <v>16</v>
      </c>
      <c r="C65" s="19">
        <f>D44</f>
        <v>1816352153.7647059</v>
      </c>
      <c r="D65" s="19"/>
      <c r="E65" s="19"/>
      <c r="F65" s="59"/>
      <c r="G65" s="69"/>
      <c r="H65" s="69"/>
      <c r="I65" s="69"/>
      <c r="J65" s="69"/>
      <c r="K65" s="69"/>
      <c r="L65" s="69"/>
      <c r="M65" s="69"/>
      <c r="N65" s="14"/>
      <c r="O65" s="69"/>
      <c r="P65" s="69"/>
      <c r="Q65" s="69"/>
      <c r="R65" s="69"/>
      <c r="S65" s="69"/>
      <c r="T65" s="69"/>
      <c r="U65" s="69"/>
      <c r="V65" s="69"/>
      <c r="W65" s="69"/>
    </row>
    <row r="66" spans="1:23" ht="13.5" thickBot="1">
      <c r="A66" s="47"/>
      <c r="B66" s="28"/>
      <c r="C66" s="28"/>
      <c r="D66" s="28"/>
      <c r="E66" s="28"/>
      <c r="F66" s="49"/>
      <c r="G66" s="69"/>
      <c r="H66" s="69"/>
      <c r="I66" s="69"/>
      <c r="J66" s="69"/>
      <c r="K66" s="69"/>
      <c r="L66" s="69"/>
      <c r="M66" s="69"/>
      <c r="N66" s="14"/>
      <c r="O66" s="69"/>
      <c r="P66" s="69"/>
      <c r="Q66" s="69"/>
      <c r="R66" s="69"/>
      <c r="S66" s="69"/>
      <c r="T66" s="69"/>
      <c r="U66" s="69"/>
      <c r="V66" s="69"/>
      <c r="W66" s="69"/>
    </row>
    <row r="67" spans="1:23" ht="13.5" thickBot="1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14"/>
      <c r="O67" s="69"/>
      <c r="P67" s="69"/>
      <c r="Q67" s="69"/>
      <c r="R67" s="69"/>
      <c r="S67" s="69"/>
      <c r="T67" s="69"/>
      <c r="U67" s="69"/>
      <c r="V67" s="69"/>
      <c r="W67" s="69"/>
    </row>
    <row r="68" spans="1:23">
      <c r="A68" s="39" t="s">
        <v>75</v>
      </c>
      <c r="B68" s="41"/>
      <c r="C68" s="41"/>
      <c r="D68" s="41"/>
      <c r="E68" s="41"/>
      <c r="F68" s="42"/>
      <c r="G68" s="69"/>
      <c r="H68" s="69"/>
      <c r="I68" s="69"/>
      <c r="J68" s="69"/>
      <c r="K68" s="69"/>
      <c r="L68" s="69"/>
      <c r="M68" s="69"/>
      <c r="N68" s="14"/>
      <c r="O68" s="69"/>
      <c r="P68" s="69"/>
      <c r="Q68" s="69"/>
      <c r="R68" s="69"/>
      <c r="S68" s="69"/>
      <c r="T68" s="69"/>
      <c r="U68" s="69"/>
      <c r="V68" s="69"/>
      <c r="W68" s="69"/>
    </row>
    <row r="69" spans="1:23">
      <c r="A69" s="43"/>
      <c r="B69" s="14"/>
      <c r="C69" s="14"/>
      <c r="D69" s="14"/>
      <c r="E69" s="14"/>
      <c r="F69" s="45"/>
      <c r="G69" s="69"/>
      <c r="H69" s="69"/>
      <c r="I69" s="69"/>
      <c r="J69" s="69"/>
      <c r="K69" s="69"/>
      <c r="L69" s="69"/>
      <c r="M69" s="69"/>
      <c r="N69" s="14"/>
      <c r="O69" s="69"/>
      <c r="P69" s="69"/>
      <c r="Q69" s="69"/>
      <c r="R69" s="69"/>
      <c r="S69" s="69"/>
      <c r="T69" s="69"/>
      <c r="U69" s="69"/>
      <c r="V69" s="69"/>
      <c r="W69" s="69"/>
    </row>
    <row r="70" spans="1:23">
      <c r="A70" s="43"/>
      <c r="B70" s="14"/>
      <c r="C70" s="14"/>
      <c r="D70" s="14"/>
      <c r="E70" s="14"/>
      <c r="F70" s="45"/>
      <c r="G70" s="69"/>
      <c r="H70" s="69"/>
      <c r="I70" s="69"/>
      <c r="J70" s="69"/>
      <c r="K70" s="69"/>
      <c r="L70" s="69"/>
      <c r="M70" s="69"/>
      <c r="N70" s="14"/>
      <c r="O70" s="69"/>
      <c r="P70" s="69"/>
      <c r="Q70" s="69"/>
      <c r="R70" s="69"/>
      <c r="S70" s="69"/>
      <c r="T70" s="69"/>
      <c r="U70" s="69"/>
      <c r="V70" s="69"/>
      <c r="W70" s="69"/>
    </row>
    <row r="71" spans="1:23">
      <c r="A71" s="43"/>
      <c r="B71" s="14"/>
      <c r="C71" s="14"/>
      <c r="D71" s="14"/>
      <c r="E71" s="14"/>
      <c r="F71" s="45"/>
      <c r="G71" s="69"/>
      <c r="H71" s="69"/>
      <c r="I71" s="69"/>
      <c r="J71" s="69"/>
      <c r="K71" s="69"/>
      <c r="L71" s="69"/>
      <c r="M71" s="69"/>
      <c r="N71" s="14"/>
      <c r="O71" s="69"/>
      <c r="P71" s="69"/>
      <c r="Q71" s="69"/>
      <c r="R71" s="69"/>
      <c r="S71" s="69"/>
      <c r="T71" s="69"/>
      <c r="U71" s="69"/>
      <c r="V71" s="69"/>
      <c r="W71" s="69"/>
    </row>
    <row r="72" spans="1:23">
      <c r="A72" s="43"/>
      <c r="B72" s="14"/>
      <c r="C72" s="14"/>
      <c r="D72" s="14"/>
      <c r="E72" s="14"/>
      <c r="F72" s="45"/>
      <c r="G72" s="69"/>
      <c r="H72" s="69"/>
      <c r="I72" s="69"/>
      <c r="J72" s="69"/>
      <c r="K72" s="69"/>
      <c r="L72" s="69"/>
      <c r="M72" s="69"/>
      <c r="N72" s="14"/>
      <c r="O72" s="69"/>
      <c r="P72" s="69"/>
      <c r="Q72" s="69"/>
      <c r="R72" s="69"/>
      <c r="S72" s="69"/>
      <c r="T72" s="69"/>
      <c r="U72" s="69"/>
      <c r="V72" s="69"/>
      <c r="W72" s="69"/>
    </row>
    <row r="73" spans="1:23">
      <c r="A73" s="43"/>
      <c r="B73" s="14"/>
      <c r="C73" s="14"/>
      <c r="D73" s="14"/>
      <c r="E73" s="14"/>
      <c r="F73" s="45"/>
      <c r="G73" s="69"/>
      <c r="H73" s="69"/>
      <c r="I73" s="69"/>
      <c r="J73" s="69"/>
      <c r="K73" s="69"/>
      <c r="L73" s="69"/>
      <c r="M73" s="69"/>
      <c r="N73" s="14"/>
      <c r="O73" s="69"/>
      <c r="P73" s="69"/>
      <c r="Q73" s="69"/>
      <c r="R73" s="69"/>
      <c r="S73" s="69"/>
      <c r="T73" s="69"/>
      <c r="U73" s="69"/>
      <c r="V73" s="69"/>
      <c r="W73" s="69"/>
    </row>
    <row r="74" spans="1:23">
      <c r="A74" s="43"/>
      <c r="B74" s="14"/>
      <c r="C74" s="14"/>
      <c r="D74" s="14"/>
      <c r="E74" s="14"/>
      <c r="F74" s="45"/>
      <c r="G74" s="69"/>
      <c r="H74" s="69"/>
      <c r="I74" s="69"/>
      <c r="J74" s="69"/>
      <c r="K74" s="69"/>
      <c r="L74" s="69"/>
      <c r="M74" s="69"/>
      <c r="N74" s="14"/>
      <c r="O74" s="69"/>
      <c r="P74" s="69"/>
      <c r="Q74" s="69"/>
      <c r="R74" s="69"/>
      <c r="S74" s="69"/>
      <c r="T74" s="69"/>
      <c r="U74" s="69"/>
      <c r="V74" s="69"/>
      <c r="W74" s="69"/>
    </row>
    <row r="75" spans="1:23">
      <c r="A75" s="43"/>
      <c r="B75" s="14"/>
      <c r="C75" s="14"/>
      <c r="D75" s="14"/>
      <c r="E75" s="14"/>
      <c r="F75" s="45"/>
      <c r="G75" s="69"/>
      <c r="H75" s="69"/>
      <c r="I75" s="69"/>
      <c r="J75" s="69"/>
      <c r="K75" s="69"/>
      <c r="L75" s="69"/>
      <c r="M75" s="69"/>
      <c r="N75" s="14"/>
      <c r="O75" s="69"/>
      <c r="P75" s="69"/>
      <c r="Q75" s="69"/>
      <c r="R75" s="69"/>
      <c r="S75" s="69"/>
      <c r="T75" s="69"/>
      <c r="U75" s="69"/>
      <c r="V75" s="69"/>
      <c r="W75" s="69"/>
    </row>
    <row r="76" spans="1:23">
      <c r="A76" s="43"/>
      <c r="B76" s="14"/>
      <c r="C76" s="14"/>
      <c r="D76" s="14"/>
      <c r="E76" s="14"/>
      <c r="F76" s="45"/>
      <c r="G76" s="69"/>
      <c r="H76" s="69"/>
      <c r="I76" s="69"/>
      <c r="J76" s="69"/>
      <c r="K76" s="69"/>
      <c r="L76" s="69"/>
      <c r="M76" s="69"/>
      <c r="N76" s="14"/>
      <c r="O76" s="69"/>
      <c r="P76" s="69"/>
      <c r="Q76" s="69"/>
      <c r="R76" s="69"/>
      <c r="S76" s="69"/>
      <c r="T76" s="69"/>
      <c r="U76" s="69"/>
      <c r="V76" s="69"/>
      <c r="W76" s="69"/>
    </row>
    <row r="77" spans="1:23">
      <c r="A77" s="43"/>
      <c r="B77" s="14"/>
      <c r="C77" s="14"/>
      <c r="D77" s="14"/>
      <c r="E77" s="14"/>
      <c r="F77" s="45"/>
      <c r="G77" s="69"/>
      <c r="H77" s="69"/>
      <c r="I77" s="69"/>
      <c r="J77" s="69"/>
      <c r="K77" s="69"/>
      <c r="L77" s="69"/>
      <c r="M77" s="69"/>
      <c r="N77" s="14"/>
      <c r="O77" s="69"/>
      <c r="P77" s="69"/>
      <c r="Q77" s="69"/>
      <c r="R77" s="69"/>
      <c r="S77" s="69"/>
      <c r="T77" s="69"/>
      <c r="U77" s="69"/>
      <c r="V77" s="69"/>
      <c r="W77" s="69"/>
    </row>
    <row r="78" spans="1:23">
      <c r="A78" s="43"/>
      <c r="B78" s="29" t="s">
        <v>76</v>
      </c>
      <c r="C78" s="14">
        <f>D46/D44</f>
        <v>0.98638386731023342</v>
      </c>
      <c r="D78" s="14"/>
      <c r="E78" s="14"/>
      <c r="F78" s="45"/>
      <c r="G78" s="69"/>
      <c r="H78" s="69"/>
      <c r="I78" s="69"/>
      <c r="J78" s="69"/>
      <c r="K78" s="69"/>
      <c r="L78" s="69"/>
      <c r="M78" s="69"/>
      <c r="N78" s="14"/>
      <c r="O78" s="69"/>
      <c r="P78" s="69"/>
      <c r="Q78" s="69"/>
      <c r="R78" s="69"/>
      <c r="S78" s="69"/>
      <c r="T78" s="69"/>
      <c r="U78" s="69"/>
      <c r="V78" s="69"/>
      <c r="W78" s="69"/>
    </row>
    <row r="79" spans="1:23">
      <c r="A79" s="43"/>
      <c r="B79" s="29" t="s">
        <v>77</v>
      </c>
      <c r="C79" s="14">
        <f>1  -         (       (D48/(Q49-B63+1))     /           (D44/(Q49-1))              )</f>
        <v>0.98184515641364456</v>
      </c>
      <c r="D79" s="14"/>
      <c r="E79" s="14"/>
      <c r="F79" s="45"/>
      <c r="G79" s="69"/>
      <c r="H79" s="69"/>
      <c r="I79" s="69"/>
      <c r="J79" s="69"/>
      <c r="K79" s="69"/>
      <c r="L79" s="69"/>
      <c r="M79" s="69"/>
      <c r="N79" s="14"/>
      <c r="O79" s="69"/>
      <c r="P79" s="69"/>
      <c r="Q79" s="69"/>
      <c r="R79" s="69"/>
      <c r="S79" s="69"/>
      <c r="T79" s="69"/>
      <c r="U79" s="69"/>
      <c r="V79" s="69"/>
      <c r="W79" s="69"/>
    </row>
    <row r="80" spans="1:23" ht="13.5" thickBot="1">
      <c r="A80" s="47"/>
      <c r="B80" s="28"/>
      <c r="C80" s="28"/>
      <c r="D80" s="28"/>
      <c r="E80" s="28"/>
      <c r="F80" s="49"/>
      <c r="G80" s="69"/>
      <c r="H80" s="69"/>
      <c r="I80" s="69"/>
      <c r="J80" s="69"/>
      <c r="K80" s="69"/>
      <c r="L80" s="69"/>
      <c r="M80" s="69"/>
      <c r="N80" s="14"/>
      <c r="O80" s="69"/>
      <c r="P80" s="69"/>
      <c r="Q80" s="69"/>
      <c r="R80" s="69"/>
      <c r="S80" s="69"/>
      <c r="T80" s="69"/>
      <c r="U80" s="69"/>
      <c r="V80" s="69"/>
      <c r="W80" s="69"/>
    </row>
    <row r="81" spans="1:23" ht="13.5" thickBot="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14"/>
      <c r="O81" s="69"/>
      <c r="P81" s="69"/>
      <c r="Q81" s="69"/>
      <c r="R81" s="69"/>
      <c r="S81" s="69"/>
      <c r="T81" s="69"/>
      <c r="U81" s="69"/>
      <c r="V81" s="69"/>
      <c r="W81" s="69"/>
    </row>
    <row r="82" spans="1:23">
      <c r="A82" s="39" t="s">
        <v>79</v>
      </c>
      <c r="B82" s="41"/>
      <c r="C82" s="41"/>
      <c r="D82" s="41"/>
      <c r="E82" s="41"/>
      <c r="F82" s="41"/>
      <c r="G82" s="41"/>
      <c r="H82" s="41"/>
      <c r="I82" s="41"/>
      <c r="J82" s="42"/>
      <c r="K82" s="69"/>
      <c r="L82" s="69"/>
      <c r="M82" s="69"/>
      <c r="N82" s="14"/>
      <c r="O82" s="69"/>
      <c r="P82" s="69"/>
      <c r="Q82" s="69"/>
      <c r="R82" s="69"/>
      <c r="S82" s="69"/>
      <c r="T82" s="69"/>
      <c r="U82" s="69"/>
      <c r="V82" s="69"/>
      <c r="W82" s="69"/>
    </row>
    <row r="83" spans="1:23">
      <c r="A83" s="43"/>
      <c r="B83" s="14"/>
      <c r="C83" s="14"/>
      <c r="D83" s="14"/>
      <c r="E83" s="14"/>
      <c r="F83" s="14"/>
      <c r="G83" s="14"/>
      <c r="H83" s="14"/>
      <c r="I83" s="14"/>
      <c r="J83" s="45"/>
      <c r="K83" s="69"/>
      <c r="L83" s="69"/>
      <c r="M83" s="69"/>
      <c r="N83" s="14"/>
      <c r="O83" s="69"/>
      <c r="P83" s="69"/>
      <c r="Q83" s="69"/>
      <c r="R83" s="69"/>
      <c r="S83" s="69"/>
      <c r="T83" s="69"/>
      <c r="U83" s="69"/>
      <c r="V83" s="69"/>
      <c r="W83" s="69"/>
    </row>
    <row r="84" spans="1:23">
      <c r="A84" s="46" t="s">
        <v>80</v>
      </c>
      <c r="B84" s="14">
        <v>0.05</v>
      </c>
      <c r="C84" s="14"/>
      <c r="D84" s="14"/>
      <c r="E84" s="14"/>
      <c r="F84" s="14"/>
      <c r="G84" s="14"/>
      <c r="H84" s="14"/>
      <c r="I84" s="14"/>
      <c r="J84" s="45"/>
      <c r="K84" s="69"/>
      <c r="L84" s="69"/>
      <c r="M84" s="69"/>
      <c r="N84" s="14"/>
      <c r="O84" s="69"/>
      <c r="P84" s="69"/>
      <c r="Q84" s="69"/>
      <c r="R84" s="69"/>
      <c r="S84" s="69"/>
      <c r="T84" s="69"/>
      <c r="U84" s="69"/>
      <c r="V84" s="69"/>
      <c r="W84" s="69"/>
    </row>
    <row r="85" spans="1:23">
      <c r="A85" s="43"/>
      <c r="B85" s="14"/>
      <c r="C85" s="14"/>
      <c r="D85" s="14"/>
      <c r="E85" s="14"/>
      <c r="F85" s="14"/>
      <c r="G85" s="14"/>
      <c r="H85" s="14"/>
      <c r="I85" s="14"/>
      <c r="J85" s="45"/>
      <c r="K85" s="69"/>
      <c r="L85" s="69"/>
      <c r="M85" s="69"/>
      <c r="N85" s="14"/>
      <c r="O85" s="69"/>
      <c r="P85" s="69"/>
      <c r="Q85" s="69"/>
      <c r="R85" s="69"/>
      <c r="S85" s="69"/>
      <c r="T85" s="69"/>
      <c r="U85" s="69"/>
      <c r="V85" s="69"/>
      <c r="W85" s="69"/>
    </row>
    <row r="86" spans="1:23">
      <c r="A86" s="43" t="str">
        <f>"f(0,05);("&amp;B63&amp;","&amp;B64&amp;")="</f>
        <v>f(0,05);(6,10)=</v>
      </c>
      <c r="B86" s="29"/>
      <c r="C86" s="14">
        <f>ROUND(_xlfn.F.INV.RT(B84,B63,B64),4)</f>
        <v>3.2172000000000001</v>
      </c>
      <c r="D86" s="14"/>
      <c r="E86" s="14"/>
      <c r="F86" s="14"/>
      <c r="G86" s="14"/>
      <c r="H86" s="14"/>
      <c r="I86" s="14"/>
      <c r="J86" s="45"/>
      <c r="K86" s="69"/>
      <c r="L86" s="69"/>
      <c r="M86" s="69"/>
      <c r="N86" s="14"/>
      <c r="O86" s="69"/>
      <c r="P86" s="69"/>
      <c r="Q86" s="69"/>
      <c r="R86" s="69"/>
      <c r="S86" s="69"/>
      <c r="T86" s="69"/>
      <c r="U86" s="69"/>
      <c r="V86" s="69"/>
      <c r="W86" s="69"/>
    </row>
    <row r="87" spans="1:23">
      <c r="A87" s="43"/>
      <c r="B87" s="14"/>
      <c r="C87" s="14"/>
      <c r="D87" s="14"/>
      <c r="E87" s="14"/>
      <c r="F87" s="14"/>
      <c r="G87" s="14"/>
      <c r="H87" s="14"/>
      <c r="I87" s="14"/>
      <c r="J87" s="45"/>
      <c r="K87" s="69"/>
      <c r="L87" s="69"/>
      <c r="M87" s="69"/>
      <c r="N87" s="14"/>
      <c r="O87" s="69"/>
      <c r="P87" s="69"/>
      <c r="Q87" s="69"/>
      <c r="R87" s="69"/>
      <c r="S87" s="69"/>
      <c r="T87" s="69"/>
      <c r="U87" s="69"/>
      <c r="V87" s="69"/>
      <c r="W87" s="69"/>
    </row>
    <row r="88" spans="1:23">
      <c r="A88" s="43" t="str">
        <f>IF(C86&lt;=E63, "R: Como  " &amp;ROUND(C86,4) &amp;" &lt; "&amp;ROUND(E63,4)&amp;" o modelo é significativo","R: Como  " &amp;ROUND(C86,4) &amp;" &gt; "&amp;ROUND(E63,4)&amp;" o modelo não é significativo" )</f>
        <v>R: Como  3,2172 &lt; 120,7372 o modelo é significativo</v>
      </c>
      <c r="B88" s="14"/>
      <c r="C88" s="14"/>
      <c r="D88" s="14"/>
      <c r="E88" s="14"/>
      <c r="F88" s="14"/>
      <c r="G88" s="14"/>
      <c r="H88" s="14"/>
      <c r="I88" s="14"/>
      <c r="J88" s="45"/>
      <c r="K88" s="69"/>
      <c r="L88" s="69"/>
      <c r="M88" s="69"/>
      <c r="N88" s="14"/>
      <c r="O88" s="69"/>
      <c r="P88" s="69"/>
      <c r="Q88" s="69"/>
      <c r="R88" s="69"/>
      <c r="S88" s="69"/>
      <c r="T88" s="69"/>
      <c r="U88" s="69"/>
      <c r="V88" s="69"/>
      <c r="W88" s="69"/>
    </row>
    <row r="89" spans="1:23" ht="13.5" thickBot="1">
      <c r="A89" s="47"/>
      <c r="B89" s="28"/>
      <c r="C89" s="28"/>
      <c r="D89" s="28"/>
      <c r="E89" s="28"/>
      <c r="F89" s="28"/>
      <c r="G89" s="28"/>
      <c r="H89" s="28"/>
      <c r="I89" s="28"/>
      <c r="J89" s="49"/>
      <c r="K89" s="69"/>
      <c r="L89" s="69"/>
      <c r="M89" s="69"/>
      <c r="N89" s="14"/>
      <c r="O89" s="69"/>
      <c r="P89" s="69"/>
      <c r="Q89" s="69"/>
      <c r="R89" s="69"/>
      <c r="S89" s="69"/>
      <c r="T89" s="69"/>
      <c r="U89" s="69"/>
      <c r="V89" s="69"/>
      <c r="W89" s="69"/>
    </row>
    <row r="90" spans="1:23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14"/>
      <c r="O90" s="69"/>
      <c r="P90" s="69"/>
      <c r="Q90" s="69"/>
      <c r="R90" s="69"/>
      <c r="S90" s="69"/>
      <c r="T90" s="69"/>
      <c r="U90" s="69"/>
      <c r="V90" s="69"/>
      <c r="W90" s="69"/>
    </row>
    <row r="91" spans="1:23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14"/>
      <c r="O91" s="69"/>
      <c r="P91" s="69"/>
      <c r="Q91" s="69"/>
      <c r="R91" s="69"/>
      <c r="S91" s="69"/>
      <c r="T91" s="69"/>
      <c r="U91" s="69"/>
      <c r="V91" s="69"/>
      <c r="W91" s="69"/>
    </row>
    <row r="92" spans="1:23" ht="13.5" thickBot="1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14"/>
      <c r="O92" s="69"/>
      <c r="P92" s="69"/>
      <c r="Q92" s="69"/>
      <c r="R92" s="69"/>
      <c r="S92" s="69"/>
      <c r="T92" s="69"/>
      <c r="U92" s="69"/>
      <c r="V92" s="69"/>
      <c r="W92" s="69"/>
    </row>
    <row r="93" spans="1:23">
      <c r="A93" s="21" t="s">
        <v>78</v>
      </c>
      <c r="B93" s="39"/>
      <c r="C93" s="40" t="s">
        <v>61</v>
      </c>
      <c r="D93" s="41">
        <v>0.95</v>
      </c>
      <c r="E93" s="41"/>
      <c r="F93" s="41"/>
      <c r="G93" s="41"/>
      <c r="H93" s="41"/>
      <c r="I93" s="41"/>
      <c r="J93" s="41"/>
      <c r="K93" s="42"/>
      <c r="L93" s="69"/>
      <c r="M93" s="69"/>
      <c r="N93" s="39"/>
      <c r="O93" s="40" t="s">
        <v>61</v>
      </c>
      <c r="P93" s="41">
        <v>0.9</v>
      </c>
      <c r="Q93" s="41"/>
      <c r="R93" s="41"/>
      <c r="S93" s="41"/>
      <c r="T93" s="41"/>
      <c r="U93" s="41"/>
      <c r="V93" s="41"/>
      <c r="W93" s="42"/>
    </row>
    <row r="94" spans="1:23">
      <c r="A94" s="69" t="s">
        <v>82</v>
      </c>
      <c r="B94" s="43"/>
      <c r="C94" s="44" t="s">
        <v>62</v>
      </c>
      <c r="D94" s="14">
        <f>1-D93</f>
        <v>5.0000000000000044E-2</v>
      </c>
      <c r="E94" s="14"/>
      <c r="F94" s="14"/>
      <c r="G94" s="29" t="str">
        <f>A97&amp;"="</f>
        <v>β0=</v>
      </c>
      <c r="H94" s="14">
        <f>AI30</f>
        <v>-11168.918770045879</v>
      </c>
      <c r="I94" s="14"/>
      <c r="J94" s="14"/>
      <c r="K94" s="45"/>
      <c r="L94" s="69"/>
      <c r="M94" s="69"/>
      <c r="N94" s="43"/>
      <c r="O94" s="44" t="s">
        <v>62</v>
      </c>
      <c r="P94" s="14">
        <f>1-P93</f>
        <v>9.9999999999999978E-2</v>
      </c>
      <c r="Q94" s="14"/>
      <c r="R94" s="14"/>
      <c r="S94" s="29" t="str">
        <f>G94</f>
        <v>β0=</v>
      </c>
      <c r="T94" s="29">
        <f>H94</f>
        <v>-11168.918770045879</v>
      </c>
      <c r="U94" s="14"/>
      <c r="V94" s="14"/>
      <c r="W94" s="45"/>
    </row>
    <row r="95" spans="1:23">
      <c r="A95" s="21" t="s">
        <v>83</v>
      </c>
      <c r="B95" s="43"/>
      <c r="C95" s="14"/>
      <c r="D95" s="14">
        <f>ROUND(_xlfn.T.INV(1-D94/2,17-(6+1)),2)</f>
        <v>2.23</v>
      </c>
      <c r="E95" s="14"/>
      <c r="F95" s="14"/>
      <c r="G95" s="14"/>
      <c r="H95" s="14"/>
      <c r="I95" s="14"/>
      <c r="J95" s="14"/>
      <c r="K95" s="45"/>
      <c r="L95" s="69"/>
      <c r="M95" s="69"/>
      <c r="N95" s="43"/>
      <c r="O95" s="14"/>
      <c r="P95" s="14">
        <f>ROUND(_xlfn.T.INV(1-P94/2,17-(6+1)),2)</f>
        <v>1.81</v>
      </c>
      <c r="Q95" s="14"/>
      <c r="R95" s="14"/>
      <c r="S95" s="14"/>
      <c r="T95" s="14"/>
      <c r="U95" s="14"/>
      <c r="V95" s="14"/>
      <c r="W95" s="45"/>
    </row>
    <row r="96" spans="1:23">
      <c r="A96" s="69" t="s">
        <v>45</v>
      </c>
      <c r="B96" s="43"/>
      <c r="C96" s="14"/>
      <c r="D96" s="14"/>
      <c r="E96" s="14"/>
      <c r="F96" s="14"/>
      <c r="G96" s="14"/>
      <c r="H96" s="14"/>
      <c r="I96" s="14"/>
      <c r="J96" s="14"/>
      <c r="K96" s="45"/>
      <c r="L96" s="69"/>
      <c r="M96" s="69"/>
      <c r="N96" s="43"/>
      <c r="O96" s="14"/>
      <c r="P96" s="14"/>
      <c r="Q96" s="14"/>
      <c r="R96" s="14"/>
      <c r="S96" s="14"/>
      <c r="T96" s="14"/>
      <c r="U96" s="14"/>
      <c r="V96" s="14"/>
      <c r="W96" s="45"/>
    </row>
    <row r="97" spans="1:23">
      <c r="A97" s="21" t="s">
        <v>84</v>
      </c>
      <c r="B97" s="43"/>
      <c r="C97" s="14"/>
      <c r="D97" s="14">
        <f>D54</f>
        <v>2473169.1937003611</v>
      </c>
      <c r="E97" s="14"/>
      <c r="F97" s="14"/>
      <c r="G97" s="14"/>
      <c r="H97" s="14"/>
      <c r="I97" s="14"/>
      <c r="J97" s="14"/>
      <c r="K97" s="45"/>
      <c r="L97" s="69"/>
      <c r="M97" s="69"/>
      <c r="N97" s="43"/>
      <c r="O97" s="14"/>
      <c r="P97" s="14">
        <f>D97</f>
        <v>2473169.1937003611</v>
      </c>
      <c r="Q97" s="14"/>
      <c r="R97" s="14"/>
      <c r="S97" s="14"/>
      <c r="T97" s="14"/>
      <c r="U97" s="14"/>
      <c r="V97" s="14"/>
      <c r="W97" s="45"/>
    </row>
    <row r="98" spans="1:23">
      <c r="A98" s="69"/>
      <c r="B98" s="43"/>
      <c r="C98" s="14"/>
      <c r="D98" s="14"/>
      <c r="E98" s="14"/>
      <c r="F98" s="14"/>
      <c r="G98" s="14"/>
      <c r="H98" s="14"/>
      <c r="I98" s="14"/>
      <c r="J98" s="14"/>
      <c r="K98" s="45"/>
      <c r="L98" s="69"/>
      <c r="M98" s="69"/>
      <c r="N98" s="43"/>
      <c r="O98" s="14"/>
      <c r="P98" s="14"/>
      <c r="Q98" s="14"/>
      <c r="R98" s="14"/>
      <c r="S98" s="14"/>
      <c r="T98" s="14"/>
      <c r="U98" s="14"/>
      <c r="V98" s="14"/>
      <c r="W98" s="45"/>
    </row>
    <row r="99" spans="1:23">
      <c r="A99" s="69"/>
      <c r="B99" s="43"/>
      <c r="C99" s="14"/>
      <c r="D99" s="14">
        <f>O30</f>
        <v>13.255687925542237</v>
      </c>
      <c r="E99" s="14"/>
      <c r="F99" s="14"/>
      <c r="G99" s="14"/>
      <c r="H99" s="14"/>
      <c r="I99" s="14"/>
      <c r="J99" s="14"/>
      <c r="K99" s="45"/>
      <c r="L99" s="69"/>
      <c r="M99" s="69"/>
      <c r="N99" s="43"/>
      <c r="O99" s="14"/>
      <c r="P99" s="14">
        <f>D99</f>
        <v>13.255687925542237</v>
      </c>
      <c r="Q99" s="14"/>
      <c r="R99" s="14"/>
      <c r="S99" s="14"/>
      <c r="T99" s="14"/>
      <c r="U99" s="14"/>
      <c r="V99" s="14"/>
      <c r="W99" s="45"/>
    </row>
    <row r="100" spans="1:23">
      <c r="A100" s="69"/>
      <c r="B100" s="43"/>
      <c r="C100" s="14"/>
      <c r="D100" s="14"/>
      <c r="E100" s="14"/>
      <c r="F100" s="29" t="s">
        <v>67</v>
      </c>
      <c r="G100" s="14">
        <f>H94-D101</f>
        <v>-23937.21390465082</v>
      </c>
      <c r="H100" s="14"/>
      <c r="I100" s="14"/>
      <c r="J100" s="14"/>
      <c r="K100" s="45"/>
      <c r="L100" s="69"/>
      <c r="M100" s="69"/>
      <c r="N100" s="43"/>
      <c r="O100" s="14"/>
      <c r="P100" s="14"/>
      <c r="Q100" s="14"/>
      <c r="R100" s="29" t="s">
        <v>67</v>
      </c>
      <c r="S100" s="14">
        <f>T94-P101</f>
        <v>-21532.422892752133</v>
      </c>
      <c r="T100" s="14"/>
      <c r="U100" s="14"/>
      <c r="V100" s="14"/>
      <c r="W100" s="45"/>
    </row>
    <row r="101" spans="1:23" ht="13.5" thickBot="1">
      <c r="A101" s="69"/>
      <c r="B101" s="47"/>
      <c r="C101" s="48" t="s">
        <v>60</v>
      </c>
      <c r="D101" s="28">
        <f>D95*SQRT(D97*D99)</f>
        <v>12768.295134604941</v>
      </c>
      <c r="E101" s="28"/>
      <c r="F101" s="48" t="s">
        <v>68</v>
      </c>
      <c r="G101" s="28">
        <f>H94+D101</f>
        <v>1599.3763645590625</v>
      </c>
      <c r="H101" s="28"/>
      <c r="I101" s="28"/>
      <c r="J101" s="28"/>
      <c r="K101" s="49"/>
      <c r="L101" s="69"/>
      <c r="M101" s="69"/>
      <c r="N101" s="47"/>
      <c r="O101" s="48" t="s">
        <v>60</v>
      </c>
      <c r="P101" s="28">
        <f>P95*SQRT(P97*P99)</f>
        <v>10363.504122706252</v>
      </c>
      <c r="Q101" s="28"/>
      <c r="R101" s="48" t="s">
        <v>68</v>
      </c>
      <c r="S101" s="28">
        <f>T94+P101</f>
        <v>-805.41464733962675</v>
      </c>
      <c r="T101" s="28"/>
      <c r="U101" s="28"/>
      <c r="V101" s="28"/>
      <c r="W101" s="49"/>
    </row>
    <row r="102" spans="1:23" ht="13.5" thickBot="1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77"/>
      <c r="O102" s="77"/>
      <c r="P102" s="77"/>
      <c r="Q102" s="77"/>
      <c r="R102" s="77"/>
      <c r="S102" s="77"/>
      <c r="T102" s="77"/>
      <c r="U102" s="77"/>
      <c r="V102" s="77"/>
      <c r="W102" s="77"/>
    </row>
    <row r="103" spans="1:23">
      <c r="A103" s="21" t="s">
        <v>78</v>
      </c>
      <c r="B103" s="39"/>
      <c r="C103" s="40" t="s">
        <v>61</v>
      </c>
      <c r="D103" s="41">
        <v>0.95</v>
      </c>
      <c r="E103" s="41"/>
      <c r="F103" s="41"/>
      <c r="G103" s="41"/>
      <c r="H103" s="41"/>
      <c r="I103" s="41"/>
      <c r="J103" s="41"/>
      <c r="K103" s="42"/>
      <c r="L103" s="69"/>
      <c r="M103" s="69"/>
      <c r="N103" s="39"/>
      <c r="O103" s="40" t="s">
        <v>61</v>
      </c>
      <c r="P103" s="41">
        <v>0.9</v>
      </c>
      <c r="Q103" s="41"/>
      <c r="R103" s="41"/>
      <c r="S103" s="41"/>
      <c r="T103" s="41"/>
      <c r="U103" s="41"/>
      <c r="V103" s="41"/>
      <c r="W103" s="42"/>
    </row>
    <row r="104" spans="1:23">
      <c r="A104" s="69" t="s">
        <v>82</v>
      </c>
      <c r="B104" s="43"/>
      <c r="C104" s="44" t="s">
        <v>62</v>
      </c>
      <c r="D104" s="14">
        <f>1-D103</f>
        <v>5.0000000000000044E-2</v>
      </c>
      <c r="E104" s="14"/>
      <c r="F104" s="14"/>
      <c r="G104" s="29" t="str">
        <f>A107&amp;"="</f>
        <v>β1=</v>
      </c>
      <c r="H104" s="14">
        <f>AI31</f>
        <v>7219.0545373433852</v>
      </c>
      <c r="I104" s="14"/>
      <c r="J104" s="14"/>
      <c r="K104" s="45"/>
      <c r="L104" s="69"/>
      <c r="M104" s="69"/>
      <c r="N104" s="43"/>
      <c r="O104" s="44" t="s">
        <v>62</v>
      </c>
      <c r="P104" s="14">
        <f>1-P103</f>
        <v>9.9999999999999978E-2</v>
      </c>
      <c r="Q104" s="14"/>
      <c r="R104" s="14"/>
      <c r="S104" s="29" t="str">
        <f>G104</f>
        <v>β1=</v>
      </c>
      <c r="T104" s="29">
        <f>H104</f>
        <v>7219.0545373433852</v>
      </c>
      <c r="U104" s="14"/>
      <c r="V104" s="14"/>
      <c r="W104" s="45"/>
    </row>
    <row r="105" spans="1:23">
      <c r="A105" s="21" t="s">
        <v>83</v>
      </c>
      <c r="B105" s="43"/>
      <c r="C105" s="14"/>
      <c r="D105" s="14">
        <f>ROUND(_xlfn.T.INV(1-D104/2,17-(6+1)),2)</f>
        <v>2.23</v>
      </c>
      <c r="E105" s="14"/>
      <c r="F105" s="14"/>
      <c r="G105" s="14"/>
      <c r="H105" s="14"/>
      <c r="I105" s="14"/>
      <c r="J105" s="14"/>
      <c r="K105" s="45"/>
      <c r="L105" s="69"/>
      <c r="M105" s="69"/>
      <c r="N105" s="43"/>
      <c r="O105" s="14"/>
      <c r="P105" s="14">
        <f>ROUND(_xlfn.T.INV(1-P104/2,17-(6+1)),2)</f>
        <v>1.81</v>
      </c>
      <c r="Q105" s="14"/>
      <c r="R105" s="14"/>
      <c r="S105" s="14"/>
      <c r="T105" s="14"/>
      <c r="U105" s="14"/>
      <c r="V105" s="14"/>
      <c r="W105" s="45"/>
    </row>
    <row r="106" spans="1:23">
      <c r="A106" s="69" t="s">
        <v>45</v>
      </c>
      <c r="B106" s="43"/>
      <c r="C106" s="14"/>
      <c r="D106" s="14"/>
      <c r="E106" s="14"/>
      <c r="F106" s="14"/>
      <c r="G106" s="14"/>
      <c r="H106" s="14"/>
      <c r="I106" s="14"/>
      <c r="J106" s="14"/>
      <c r="K106" s="45"/>
      <c r="L106" s="69"/>
      <c r="M106" s="69"/>
      <c r="N106" s="43"/>
      <c r="O106" s="14"/>
      <c r="P106" s="14"/>
      <c r="Q106" s="14"/>
      <c r="R106" s="14"/>
      <c r="S106" s="14"/>
      <c r="T106" s="14"/>
      <c r="U106" s="14"/>
      <c r="V106" s="14"/>
      <c r="W106" s="45"/>
    </row>
    <row r="107" spans="1:23">
      <c r="A107" s="21" t="s">
        <v>85</v>
      </c>
      <c r="B107" s="43"/>
      <c r="C107" s="14"/>
      <c r="D107" s="14">
        <f>D54</f>
        <v>2473169.1937003611</v>
      </c>
      <c r="E107" s="14"/>
      <c r="F107" s="14"/>
      <c r="G107" s="14"/>
      <c r="H107" s="14"/>
      <c r="I107" s="14"/>
      <c r="J107" s="14"/>
      <c r="K107" s="45"/>
      <c r="L107" s="69"/>
      <c r="M107" s="69"/>
      <c r="N107" s="43"/>
      <c r="O107" s="14"/>
      <c r="P107" s="14">
        <f>D107</f>
        <v>2473169.1937003611</v>
      </c>
      <c r="Q107" s="14"/>
      <c r="R107" s="14"/>
      <c r="S107" s="14"/>
      <c r="T107" s="14"/>
      <c r="U107" s="14"/>
      <c r="V107" s="14"/>
      <c r="W107" s="45"/>
    </row>
    <row r="108" spans="1:23">
      <c r="A108" s="69"/>
      <c r="B108" s="43"/>
      <c r="C108" s="14"/>
      <c r="D108" s="14"/>
      <c r="E108" s="14"/>
      <c r="F108" s="14"/>
      <c r="G108" s="14"/>
      <c r="H108" s="14"/>
      <c r="I108" s="14"/>
      <c r="J108" s="14"/>
      <c r="K108" s="45"/>
      <c r="L108" s="69"/>
      <c r="M108" s="69"/>
      <c r="N108" s="43"/>
      <c r="O108" s="14"/>
      <c r="P108" s="14"/>
      <c r="Q108" s="14"/>
      <c r="R108" s="14"/>
      <c r="S108" s="14"/>
      <c r="T108" s="14"/>
      <c r="U108" s="14"/>
      <c r="V108" s="14"/>
      <c r="W108" s="45"/>
    </row>
    <row r="109" spans="1:23">
      <c r="A109" s="69"/>
      <c r="B109" s="43"/>
      <c r="C109" s="14"/>
      <c r="D109" s="14">
        <f>P31</f>
        <v>11.912496155592113</v>
      </c>
      <c r="E109" s="14"/>
      <c r="F109" s="14"/>
      <c r="G109" s="14"/>
      <c r="H109" s="14"/>
      <c r="I109" s="14"/>
      <c r="J109" s="14"/>
      <c r="K109" s="45"/>
      <c r="L109" s="69"/>
      <c r="M109" s="69"/>
      <c r="N109" s="43"/>
      <c r="O109" s="14"/>
      <c r="P109" s="14">
        <f>D109</f>
        <v>11.912496155592113</v>
      </c>
      <c r="Q109" s="14"/>
      <c r="R109" s="14"/>
      <c r="S109" s="14"/>
      <c r="T109" s="14"/>
      <c r="U109" s="14"/>
      <c r="V109" s="14"/>
      <c r="W109" s="45"/>
    </row>
    <row r="110" spans="1:23">
      <c r="A110" s="69"/>
      <c r="B110" s="43"/>
      <c r="C110" s="14"/>
      <c r="D110" s="14"/>
      <c r="E110" s="14"/>
      <c r="F110" s="29" t="s">
        <v>67</v>
      </c>
      <c r="G110" s="14">
        <f>H104-D111</f>
        <v>-4885.0638815562124</v>
      </c>
      <c r="H110" s="14"/>
      <c r="I110" s="14"/>
      <c r="J110" s="14"/>
      <c r="K110" s="45"/>
      <c r="L110" s="69"/>
      <c r="M110" s="69"/>
      <c r="N110" s="43"/>
      <c r="O110" s="14"/>
      <c r="P110" s="14"/>
      <c r="Q110" s="14"/>
      <c r="R110" s="29" t="s">
        <v>67</v>
      </c>
      <c r="S110" s="14">
        <f>T104-P111</f>
        <v>-2605.3644484002343</v>
      </c>
      <c r="T110" s="14"/>
      <c r="U110" s="14"/>
      <c r="V110" s="14"/>
      <c r="W110" s="45"/>
    </row>
    <row r="111" spans="1:23" ht="13.5" thickBot="1">
      <c r="A111" s="69"/>
      <c r="B111" s="47"/>
      <c r="C111" s="48" t="s">
        <v>60</v>
      </c>
      <c r="D111" s="28">
        <f>D105*SQRT(D107*D109)</f>
        <v>12104.118418899598</v>
      </c>
      <c r="E111" s="28"/>
      <c r="F111" s="48" t="s">
        <v>68</v>
      </c>
      <c r="G111" s="28">
        <f>H104+D111</f>
        <v>19323.172956242983</v>
      </c>
      <c r="H111" s="28"/>
      <c r="I111" s="28"/>
      <c r="J111" s="28"/>
      <c r="K111" s="49"/>
      <c r="L111" s="69"/>
      <c r="M111" s="69"/>
      <c r="N111" s="47"/>
      <c r="O111" s="48" t="s">
        <v>60</v>
      </c>
      <c r="P111" s="28">
        <f>P105*SQRT(P107*P109)</f>
        <v>9824.4189857436195</v>
      </c>
      <c r="Q111" s="28"/>
      <c r="R111" s="48" t="s">
        <v>68</v>
      </c>
      <c r="S111" s="28">
        <f>T104+P111</f>
        <v>17043.473523087006</v>
      </c>
      <c r="T111" s="28"/>
      <c r="U111" s="28"/>
      <c r="V111" s="28"/>
      <c r="W111" s="49"/>
    </row>
    <row r="112" spans="1:23" ht="13.5" thickBot="1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77"/>
      <c r="O112" s="77"/>
      <c r="P112" s="77"/>
      <c r="Q112" s="77"/>
      <c r="R112" s="77"/>
      <c r="S112" s="77"/>
      <c r="T112" s="77"/>
      <c r="U112" s="77"/>
      <c r="V112" s="77"/>
      <c r="W112" s="77"/>
    </row>
    <row r="113" spans="1:23">
      <c r="A113" s="21" t="s">
        <v>78</v>
      </c>
      <c r="B113" s="39"/>
      <c r="C113" s="40" t="s">
        <v>61</v>
      </c>
      <c r="D113" s="41">
        <v>0.95</v>
      </c>
      <c r="E113" s="41"/>
      <c r="F113" s="41"/>
      <c r="G113" s="41"/>
      <c r="H113" s="41"/>
      <c r="I113" s="41"/>
      <c r="J113" s="41"/>
      <c r="K113" s="42"/>
      <c r="L113" s="69"/>
      <c r="M113" s="69"/>
      <c r="N113" s="39"/>
      <c r="O113" s="40" t="s">
        <v>61</v>
      </c>
      <c r="P113" s="41">
        <v>0.9</v>
      </c>
      <c r="Q113" s="41"/>
      <c r="R113" s="41"/>
      <c r="S113" s="41"/>
      <c r="T113" s="41"/>
      <c r="U113" s="41"/>
      <c r="V113" s="41"/>
      <c r="W113" s="42"/>
    </row>
    <row r="114" spans="1:23">
      <c r="A114" s="69" t="s">
        <v>82</v>
      </c>
      <c r="B114" s="43"/>
      <c r="C114" s="44" t="s">
        <v>62</v>
      </c>
      <c r="D114" s="14">
        <f>1-D113</f>
        <v>5.0000000000000044E-2</v>
      </c>
      <c r="E114" s="14"/>
      <c r="F114" s="14"/>
      <c r="G114" s="29" t="str">
        <f>A117&amp;"="</f>
        <v>β2=</v>
      </c>
      <c r="H114" s="14">
        <f>AI32</f>
        <v>2.134621617811387</v>
      </c>
      <c r="I114" s="14"/>
      <c r="J114" s="14"/>
      <c r="K114" s="45"/>
      <c r="L114" s="69"/>
      <c r="M114" s="69"/>
      <c r="N114" s="43"/>
      <c r="O114" s="44" t="s">
        <v>62</v>
      </c>
      <c r="P114" s="14">
        <f>1-P113</f>
        <v>9.9999999999999978E-2</v>
      </c>
      <c r="Q114" s="14"/>
      <c r="R114" s="14"/>
      <c r="S114" s="29" t="str">
        <f>G114</f>
        <v>β2=</v>
      </c>
      <c r="T114" s="29">
        <f>H114</f>
        <v>2.134621617811387</v>
      </c>
      <c r="U114" s="14"/>
      <c r="V114" s="14"/>
      <c r="W114" s="45"/>
    </row>
    <row r="115" spans="1:23">
      <c r="A115" s="21" t="s">
        <v>83</v>
      </c>
      <c r="B115" s="43"/>
      <c r="C115" s="14"/>
      <c r="D115" s="14">
        <f>ROUND(_xlfn.T.INV(1-D114/2,17-(6+1)),2)</f>
        <v>2.23</v>
      </c>
      <c r="E115" s="14"/>
      <c r="F115" s="14"/>
      <c r="G115" s="14"/>
      <c r="H115" s="14"/>
      <c r="I115" s="14"/>
      <c r="J115" s="14"/>
      <c r="K115" s="45"/>
      <c r="L115" s="69"/>
      <c r="M115" s="69"/>
      <c r="N115" s="43"/>
      <c r="O115" s="14"/>
      <c r="P115" s="14">
        <f>ROUND(_xlfn.T.INV(1-P114/2,17-(6+1)),2)</f>
        <v>1.81</v>
      </c>
      <c r="Q115" s="14"/>
      <c r="R115" s="14"/>
      <c r="S115" s="14"/>
      <c r="T115" s="14"/>
      <c r="U115" s="14"/>
      <c r="V115" s="14"/>
      <c r="W115" s="45"/>
    </row>
    <row r="116" spans="1:23">
      <c r="A116" s="69" t="s">
        <v>45</v>
      </c>
      <c r="B116" s="43"/>
      <c r="C116" s="14"/>
      <c r="D116" s="14"/>
      <c r="E116" s="14"/>
      <c r="F116" s="14"/>
      <c r="G116" s="14"/>
      <c r="H116" s="14"/>
      <c r="I116" s="14"/>
      <c r="J116" s="14"/>
      <c r="K116" s="45"/>
      <c r="L116" s="69"/>
      <c r="M116" s="69"/>
      <c r="N116" s="43"/>
      <c r="O116" s="14"/>
      <c r="P116" s="14"/>
      <c r="Q116" s="14"/>
      <c r="R116" s="14"/>
      <c r="S116" s="14"/>
      <c r="T116" s="14"/>
      <c r="U116" s="14"/>
      <c r="V116" s="14"/>
      <c r="W116" s="45"/>
    </row>
    <row r="117" spans="1:23">
      <c r="A117" s="21" t="s">
        <v>86</v>
      </c>
      <c r="B117" s="43"/>
      <c r="C117" s="14"/>
      <c r="D117" s="14">
        <f>D54</f>
        <v>2473169.1937003611</v>
      </c>
      <c r="E117" s="14"/>
      <c r="F117" s="14"/>
      <c r="G117" s="14"/>
      <c r="H117" s="14"/>
      <c r="I117" s="14"/>
      <c r="J117" s="14"/>
      <c r="K117" s="45"/>
      <c r="L117" s="69"/>
      <c r="M117" s="69"/>
      <c r="N117" s="43"/>
      <c r="O117" s="14"/>
      <c r="P117" s="14">
        <f>D117</f>
        <v>2473169.1937003611</v>
      </c>
      <c r="Q117" s="14"/>
      <c r="R117" s="14"/>
      <c r="S117" s="14"/>
      <c r="T117" s="14"/>
      <c r="U117" s="14"/>
      <c r="V117" s="14"/>
      <c r="W117" s="45"/>
    </row>
    <row r="118" spans="1:23">
      <c r="A118" s="69"/>
      <c r="B118" s="43"/>
      <c r="C118" s="14"/>
      <c r="D118" s="14"/>
      <c r="E118" s="14"/>
      <c r="F118" s="14"/>
      <c r="G118" s="14"/>
      <c r="H118" s="14"/>
      <c r="I118" s="14"/>
      <c r="J118" s="14"/>
      <c r="K118" s="45"/>
      <c r="L118" s="69"/>
      <c r="M118" s="69"/>
      <c r="N118" s="43"/>
      <c r="O118" s="14"/>
      <c r="P118" s="14"/>
      <c r="Q118" s="14"/>
      <c r="R118" s="14"/>
      <c r="S118" s="14"/>
      <c r="T118" s="14"/>
      <c r="U118" s="14"/>
      <c r="V118" s="14"/>
      <c r="W118" s="45"/>
    </row>
    <row r="119" spans="1:23">
      <c r="A119" s="69"/>
      <c r="B119" s="43"/>
      <c r="C119" s="14"/>
      <c r="D119" s="14">
        <f>Q32</f>
        <v>3.0936003535666344E-6</v>
      </c>
      <c r="E119" s="14"/>
      <c r="F119" s="14"/>
      <c r="G119" s="14"/>
      <c r="H119" s="14"/>
      <c r="I119" s="14"/>
      <c r="J119" s="14"/>
      <c r="K119" s="45"/>
      <c r="L119" s="69"/>
      <c r="M119" s="69"/>
      <c r="N119" s="43"/>
      <c r="O119" s="14"/>
      <c r="P119" s="14">
        <f>D119</f>
        <v>3.0936003535666344E-6</v>
      </c>
      <c r="Q119" s="14"/>
      <c r="R119" s="14"/>
      <c r="S119" s="14"/>
      <c r="T119" s="14"/>
      <c r="U119" s="14"/>
      <c r="V119" s="14"/>
      <c r="W119" s="45"/>
    </row>
    <row r="120" spans="1:23">
      <c r="A120" s="69"/>
      <c r="B120" s="43"/>
      <c r="C120" s="14"/>
      <c r="D120" s="14"/>
      <c r="E120" s="14"/>
      <c r="F120" s="29" t="s">
        <v>67</v>
      </c>
      <c r="G120" s="14">
        <f>H114-D121</f>
        <v>-4.0336555678469281</v>
      </c>
      <c r="H120" s="14"/>
      <c r="I120" s="14"/>
      <c r="J120" s="14"/>
      <c r="K120" s="45"/>
      <c r="L120" s="69"/>
      <c r="M120" s="69"/>
      <c r="N120" s="43"/>
      <c r="O120" s="14"/>
      <c r="P120" s="14"/>
      <c r="Q120" s="14"/>
      <c r="R120" s="29" t="s">
        <v>67</v>
      </c>
      <c r="S120" s="14">
        <f>T114-P121</f>
        <v>-2.8719172638215955</v>
      </c>
      <c r="T120" s="14"/>
      <c r="U120" s="14"/>
      <c r="V120" s="14"/>
      <c r="W120" s="45"/>
    </row>
    <row r="121" spans="1:23" ht="13.5" thickBot="1">
      <c r="A121" s="69"/>
      <c r="B121" s="47"/>
      <c r="C121" s="48" t="s">
        <v>60</v>
      </c>
      <c r="D121" s="28">
        <f>D115*SQRT(D117*D119)</f>
        <v>6.1682771856583152</v>
      </c>
      <c r="E121" s="28"/>
      <c r="F121" s="48" t="s">
        <v>68</v>
      </c>
      <c r="G121" s="28">
        <f>H114+D121</f>
        <v>8.3028988034697022</v>
      </c>
      <c r="H121" s="28"/>
      <c r="I121" s="28"/>
      <c r="J121" s="28"/>
      <c r="K121" s="49"/>
      <c r="L121" s="69"/>
      <c r="M121" s="69"/>
      <c r="N121" s="47"/>
      <c r="O121" s="48" t="s">
        <v>60</v>
      </c>
      <c r="P121" s="28">
        <f>P115*SQRT(P117*P119)</f>
        <v>5.0065388816329826</v>
      </c>
      <c r="Q121" s="28"/>
      <c r="R121" s="48" t="s">
        <v>68</v>
      </c>
      <c r="S121" s="28">
        <f>T114+P121</f>
        <v>7.1411604994443696</v>
      </c>
      <c r="T121" s="28"/>
      <c r="U121" s="28"/>
      <c r="V121" s="28"/>
      <c r="W121" s="49"/>
    </row>
    <row r="122" spans="1:23" ht="13.5" thickBot="1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77"/>
      <c r="O122" s="77"/>
      <c r="P122" s="77"/>
      <c r="Q122" s="77"/>
      <c r="R122" s="77"/>
      <c r="S122" s="77"/>
      <c r="T122" s="77"/>
      <c r="U122" s="77"/>
      <c r="V122" s="77"/>
      <c r="W122" s="77"/>
    </row>
    <row r="123" spans="1:23">
      <c r="A123" s="21" t="s">
        <v>78</v>
      </c>
      <c r="B123" s="39"/>
      <c r="C123" s="40" t="s">
        <v>61</v>
      </c>
      <c r="D123" s="41">
        <v>0.95</v>
      </c>
      <c r="E123" s="41"/>
      <c r="F123" s="41"/>
      <c r="G123" s="41"/>
      <c r="H123" s="41"/>
      <c r="I123" s="41"/>
      <c r="J123" s="41"/>
      <c r="K123" s="42"/>
      <c r="L123" s="69"/>
      <c r="M123" s="69"/>
      <c r="N123" s="39"/>
      <c r="O123" s="40" t="s">
        <v>61</v>
      </c>
      <c r="P123" s="41">
        <v>0.9</v>
      </c>
      <c r="Q123" s="41"/>
      <c r="R123" s="41"/>
      <c r="S123" s="41"/>
      <c r="T123" s="41"/>
      <c r="U123" s="41"/>
      <c r="V123" s="41"/>
      <c r="W123" s="42"/>
    </row>
    <row r="124" spans="1:23">
      <c r="A124" s="69" t="s">
        <v>82</v>
      </c>
      <c r="B124" s="43"/>
      <c r="C124" s="44" t="s">
        <v>62</v>
      </c>
      <c r="D124" s="14">
        <f>1-D123</f>
        <v>5.0000000000000044E-2</v>
      </c>
      <c r="E124" s="14"/>
      <c r="F124" s="14"/>
      <c r="G124" s="29" t="str">
        <f>A127&amp;"="</f>
        <v>β3=</v>
      </c>
      <c r="H124" s="14">
        <f>AI33</f>
        <v>-0.80607828293527328</v>
      </c>
      <c r="I124" s="14"/>
      <c r="J124" s="14"/>
      <c r="K124" s="45"/>
      <c r="L124" s="69"/>
      <c r="M124" s="69"/>
      <c r="N124" s="43"/>
      <c r="O124" s="44" t="s">
        <v>62</v>
      </c>
      <c r="P124" s="14">
        <f>1-P123</f>
        <v>9.9999999999999978E-2</v>
      </c>
      <c r="Q124" s="14"/>
      <c r="R124" s="14"/>
      <c r="S124" s="29" t="str">
        <f>G124</f>
        <v>β3=</v>
      </c>
      <c r="T124" s="29">
        <f>H124</f>
        <v>-0.80607828293527328</v>
      </c>
      <c r="U124" s="14"/>
      <c r="V124" s="14"/>
      <c r="W124" s="45"/>
    </row>
    <row r="125" spans="1:23">
      <c r="A125" s="21" t="s">
        <v>83</v>
      </c>
      <c r="B125" s="43"/>
      <c r="C125" s="14"/>
      <c r="D125" s="14">
        <f>ROUND(_xlfn.T.INV(1-D124/2,17-(6+1)),2)</f>
        <v>2.23</v>
      </c>
      <c r="E125" s="14"/>
      <c r="F125" s="14"/>
      <c r="G125" s="14"/>
      <c r="H125" s="14"/>
      <c r="I125" s="14"/>
      <c r="J125" s="14"/>
      <c r="K125" s="45"/>
      <c r="L125" s="69"/>
      <c r="M125" s="69"/>
      <c r="N125" s="43"/>
      <c r="O125" s="14"/>
      <c r="P125" s="14">
        <f>ROUND(_xlfn.T.INV(1-P124/2,17-(6+1)),2)</f>
        <v>1.81</v>
      </c>
      <c r="Q125" s="14"/>
      <c r="R125" s="14"/>
      <c r="S125" s="14"/>
      <c r="T125" s="14"/>
      <c r="U125" s="14"/>
      <c r="V125" s="14"/>
      <c r="W125" s="45"/>
    </row>
    <row r="126" spans="1:23">
      <c r="A126" s="69" t="s">
        <v>45</v>
      </c>
      <c r="B126" s="43"/>
      <c r="C126" s="14"/>
      <c r="D126" s="14"/>
      <c r="E126" s="14"/>
      <c r="F126" s="14"/>
      <c r="G126" s="14"/>
      <c r="H126" s="14"/>
      <c r="I126" s="14"/>
      <c r="J126" s="14"/>
      <c r="K126" s="45"/>
      <c r="L126" s="69"/>
      <c r="M126" s="69"/>
      <c r="N126" s="43"/>
      <c r="O126" s="14"/>
      <c r="P126" s="14"/>
      <c r="Q126" s="14"/>
      <c r="R126" s="14"/>
      <c r="S126" s="14"/>
      <c r="T126" s="14"/>
      <c r="U126" s="14"/>
      <c r="V126" s="14"/>
      <c r="W126" s="45"/>
    </row>
    <row r="127" spans="1:23">
      <c r="A127" s="21" t="s">
        <v>87</v>
      </c>
      <c r="B127" s="43"/>
      <c r="C127" s="14"/>
      <c r="D127" s="14">
        <f>D54</f>
        <v>2473169.1937003611</v>
      </c>
      <c r="E127" s="14"/>
      <c r="F127" s="14"/>
      <c r="G127" s="14"/>
      <c r="H127" s="14"/>
      <c r="I127" s="14"/>
      <c r="J127" s="14"/>
      <c r="K127" s="45"/>
      <c r="L127" s="69"/>
      <c r="M127" s="69"/>
      <c r="N127" s="43"/>
      <c r="O127" s="14"/>
      <c r="P127" s="14">
        <f>D127</f>
        <v>2473169.1937003611</v>
      </c>
      <c r="Q127" s="14"/>
      <c r="R127" s="14"/>
      <c r="S127" s="14"/>
      <c r="T127" s="14"/>
      <c r="U127" s="14"/>
      <c r="V127" s="14"/>
      <c r="W127" s="45"/>
    </row>
    <row r="128" spans="1:23">
      <c r="A128" s="69"/>
      <c r="B128" s="43"/>
      <c r="C128" s="14"/>
      <c r="D128" s="14"/>
      <c r="E128" s="14"/>
      <c r="F128" s="14"/>
      <c r="G128" s="14"/>
      <c r="H128" s="14"/>
      <c r="I128" s="14"/>
      <c r="J128" s="14"/>
      <c r="K128" s="45"/>
      <c r="L128" s="69"/>
      <c r="M128" s="69"/>
      <c r="N128" s="43"/>
      <c r="O128" s="14"/>
      <c r="P128" s="14"/>
      <c r="Q128" s="14"/>
      <c r="R128" s="14"/>
      <c r="S128" s="14"/>
      <c r="T128" s="14"/>
      <c r="U128" s="14"/>
      <c r="V128" s="14"/>
      <c r="W128" s="45"/>
    </row>
    <row r="129" spans="1:23">
      <c r="A129" s="69"/>
      <c r="B129" s="43"/>
      <c r="C129" s="14"/>
      <c r="D129" s="14">
        <f>R33</f>
        <v>1.2343825290264708E-7</v>
      </c>
      <c r="E129" s="14"/>
      <c r="F129" s="14"/>
      <c r="G129" s="14"/>
      <c r="H129" s="14"/>
      <c r="I129" s="14"/>
      <c r="J129" s="14"/>
      <c r="K129" s="45"/>
      <c r="L129" s="69"/>
      <c r="M129" s="69"/>
      <c r="N129" s="43"/>
      <c r="O129" s="14"/>
      <c r="P129" s="14">
        <f>D129</f>
        <v>1.2343825290264708E-7</v>
      </c>
      <c r="Q129" s="14"/>
      <c r="R129" s="14"/>
      <c r="S129" s="14"/>
      <c r="T129" s="14"/>
      <c r="U129" s="14"/>
      <c r="V129" s="14"/>
      <c r="W129" s="45"/>
    </row>
    <row r="130" spans="1:23">
      <c r="A130" s="69"/>
      <c r="B130" s="43"/>
      <c r="C130" s="14"/>
      <c r="D130" s="14"/>
      <c r="E130" s="14"/>
      <c r="F130" s="29" t="s">
        <v>67</v>
      </c>
      <c r="G130" s="14">
        <f>H124-D131</f>
        <v>-2.0382086470476843</v>
      </c>
      <c r="H130" s="14"/>
      <c r="I130" s="14"/>
      <c r="J130" s="14"/>
      <c r="K130" s="45"/>
      <c r="L130" s="69"/>
      <c r="M130" s="69"/>
      <c r="N130" s="43"/>
      <c r="O130" s="14"/>
      <c r="P130" s="14"/>
      <c r="Q130" s="14"/>
      <c r="R130" s="29" t="s">
        <v>67</v>
      </c>
      <c r="S130" s="14">
        <f>T124-P131</f>
        <v>-1.8061482197260643</v>
      </c>
      <c r="T130" s="14"/>
      <c r="U130" s="14"/>
      <c r="V130" s="14"/>
      <c r="W130" s="45"/>
    </row>
    <row r="131" spans="1:23" ht="13.5" thickBot="1">
      <c r="A131" s="69"/>
      <c r="B131" s="47"/>
      <c r="C131" s="48" t="s">
        <v>60</v>
      </c>
      <c r="D131" s="28">
        <f>D125*SQRT(D127*D129)</f>
        <v>1.2321303641124111</v>
      </c>
      <c r="E131" s="28"/>
      <c r="F131" s="48" t="s">
        <v>68</v>
      </c>
      <c r="G131" s="28">
        <f>H124+D131</f>
        <v>0.42605208117713778</v>
      </c>
      <c r="H131" s="28"/>
      <c r="I131" s="28"/>
      <c r="J131" s="28"/>
      <c r="K131" s="49"/>
      <c r="L131" s="69"/>
      <c r="M131" s="69"/>
      <c r="N131" s="47"/>
      <c r="O131" s="48" t="s">
        <v>60</v>
      </c>
      <c r="P131" s="28">
        <f>P125*SQRT(P127*P129)</f>
        <v>1.000069936790791</v>
      </c>
      <c r="Q131" s="28"/>
      <c r="R131" s="48" t="s">
        <v>68</v>
      </c>
      <c r="S131" s="28">
        <f>T124+P131</f>
        <v>0.19399165385551775</v>
      </c>
      <c r="T131" s="28"/>
      <c r="U131" s="28"/>
      <c r="V131" s="28"/>
      <c r="W131" s="49"/>
    </row>
    <row r="132" spans="1:23" ht="13.5" thickBot="1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77"/>
      <c r="O132" s="77"/>
      <c r="P132" s="77"/>
      <c r="Q132" s="77"/>
      <c r="R132" s="77"/>
      <c r="S132" s="77"/>
      <c r="T132" s="77"/>
      <c r="U132" s="77"/>
      <c r="V132" s="77"/>
      <c r="W132" s="77"/>
    </row>
    <row r="133" spans="1:23">
      <c r="A133" s="21" t="s">
        <v>78</v>
      </c>
      <c r="B133" s="39"/>
      <c r="C133" s="40" t="s">
        <v>61</v>
      </c>
      <c r="D133" s="41">
        <v>0.95</v>
      </c>
      <c r="E133" s="41"/>
      <c r="F133" s="41"/>
      <c r="G133" s="41"/>
      <c r="H133" s="41"/>
      <c r="I133" s="41"/>
      <c r="J133" s="41"/>
      <c r="K133" s="42"/>
      <c r="L133" s="69"/>
      <c r="M133" s="69"/>
      <c r="N133" s="39"/>
      <c r="O133" s="40" t="s">
        <v>61</v>
      </c>
      <c r="P133" s="41">
        <v>0.9</v>
      </c>
      <c r="Q133" s="41"/>
      <c r="R133" s="41"/>
      <c r="S133" s="41"/>
      <c r="T133" s="41"/>
      <c r="U133" s="41"/>
      <c r="V133" s="41"/>
      <c r="W133" s="42"/>
    </row>
    <row r="134" spans="1:23">
      <c r="A134" s="69" t="s">
        <v>82</v>
      </c>
      <c r="B134" s="43"/>
      <c r="C134" s="44" t="s">
        <v>62</v>
      </c>
      <c r="D134" s="14">
        <f>1-D133</f>
        <v>5.0000000000000044E-2</v>
      </c>
      <c r="E134" s="14"/>
      <c r="F134" s="14"/>
      <c r="G134" s="29" t="str">
        <f>A137&amp;"="</f>
        <v>β4=</v>
      </c>
      <c r="H134" s="14">
        <f>AI34</f>
        <v>1.2848747945417297E-2</v>
      </c>
      <c r="I134" s="14"/>
      <c r="J134" s="14"/>
      <c r="K134" s="45"/>
      <c r="L134" s="69"/>
      <c r="M134" s="69"/>
      <c r="N134" s="43"/>
      <c r="O134" s="44" t="s">
        <v>62</v>
      </c>
      <c r="P134" s="14">
        <f>1-P133</f>
        <v>9.9999999999999978E-2</v>
      </c>
      <c r="Q134" s="14"/>
      <c r="R134" s="14"/>
      <c r="S134" s="29" t="str">
        <f>G134</f>
        <v>β4=</v>
      </c>
      <c r="T134" s="29">
        <f>H134</f>
        <v>1.2848747945417297E-2</v>
      </c>
      <c r="U134" s="14"/>
      <c r="V134" s="14"/>
      <c r="W134" s="45"/>
    </row>
    <row r="135" spans="1:23">
      <c r="A135" s="21" t="s">
        <v>83</v>
      </c>
      <c r="B135" s="43"/>
      <c r="C135" s="14"/>
      <c r="D135" s="14">
        <f>ROUND(_xlfn.T.INV(1-D134/2,17-(6+1)),2)</f>
        <v>2.23</v>
      </c>
      <c r="E135" s="14"/>
      <c r="F135" s="14"/>
      <c r="G135" s="14"/>
      <c r="H135" s="14"/>
      <c r="I135" s="14"/>
      <c r="J135" s="14"/>
      <c r="K135" s="45"/>
      <c r="L135" s="69"/>
      <c r="M135" s="69"/>
      <c r="N135" s="43"/>
      <c r="O135" s="14"/>
      <c r="P135" s="14">
        <f>ROUND(_xlfn.T.INV(1-P134/2,17-(6+1)),2)</f>
        <v>1.81</v>
      </c>
      <c r="Q135" s="14"/>
      <c r="R135" s="14"/>
      <c r="S135" s="14"/>
      <c r="T135" s="14"/>
      <c r="U135" s="14"/>
      <c r="V135" s="14"/>
      <c r="W135" s="45"/>
    </row>
    <row r="136" spans="1:23">
      <c r="A136" s="69" t="s">
        <v>45</v>
      </c>
      <c r="B136" s="43"/>
      <c r="C136" s="14"/>
      <c r="D136" s="14"/>
      <c r="E136" s="14"/>
      <c r="F136" s="14"/>
      <c r="G136" s="14"/>
      <c r="H136" s="14"/>
      <c r="I136" s="14"/>
      <c r="J136" s="14"/>
      <c r="K136" s="45"/>
      <c r="L136" s="69"/>
      <c r="M136" s="69"/>
      <c r="N136" s="43"/>
      <c r="O136" s="14"/>
      <c r="P136" s="14"/>
      <c r="Q136" s="14"/>
      <c r="R136" s="14"/>
      <c r="S136" s="14"/>
      <c r="T136" s="14"/>
      <c r="U136" s="14"/>
      <c r="V136" s="14"/>
      <c r="W136" s="45"/>
    </row>
    <row r="137" spans="1:23">
      <c r="A137" s="21" t="s">
        <v>90</v>
      </c>
      <c r="B137" s="43"/>
      <c r="C137" s="14"/>
      <c r="D137" s="14">
        <f>D54</f>
        <v>2473169.1937003611</v>
      </c>
      <c r="E137" s="14"/>
      <c r="F137" s="14"/>
      <c r="G137" s="14"/>
      <c r="H137" s="14"/>
      <c r="I137" s="14"/>
      <c r="J137" s="14"/>
      <c r="K137" s="45"/>
      <c r="L137" s="69"/>
      <c r="M137" s="69"/>
      <c r="N137" s="43"/>
      <c r="O137" s="14"/>
      <c r="P137" s="14">
        <f>D137</f>
        <v>2473169.1937003611</v>
      </c>
      <c r="Q137" s="14"/>
      <c r="R137" s="14"/>
      <c r="S137" s="14"/>
      <c r="T137" s="14"/>
      <c r="U137" s="14"/>
      <c r="V137" s="14"/>
      <c r="W137" s="45"/>
    </row>
    <row r="138" spans="1:23">
      <c r="A138" s="69"/>
      <c r="B138" s="43"/>
      <c r="C138" s="14"/>
      <c r="D138" s="14"/>
      <c r="E138" s="14"/>
      <c r="F138" s="14"/>
      <c r="G138" s="14"/>
      <c r="H138" s="14"/>
      <c r="I138" s="14"/>
      <c r="J138" s="14"/>
      <c r="K138" s="45"/>
      <c r="L138" s="69"/>
      <c r="M138" s="69"/>
      <c r="N138" s="43"/>
      <c r="O138" s="14"/>
      <c r="P138" s="14"/>
      <c r="Q138" s="14"/>
      <c r="R138" s="14"/>
      <c r="S138" s="14"/>
      <c r="T138" s="14"/>
      <c r="U138" s="14"/>
      <c r="V138" s="14"/>
      <c r="W138" s="45"/>
    </row>
    <row r="139" spans="1:23">
      <c r="A139" s="69"/>
      <c r="B139" s="43"/>
      <c r="C139" s="14"/>
      <c r="D139" s="14">
        <f>S34</f>
        <v>1.2003820364872178E-11</v>
      </c>
      <c r="E139" s="14"/>
      <c r="F139" s="14"/>
      <c r="G139" s="14"/>
      <c r="H139" s="14"/>
      <c r="I139" s="14"/>
      <c r="J139" s="14"/>
      <c r="K139" s="45"/>
      <c r="L139" s="69"/>
      <c r="M139" s="69"/>
      <c r="N139" s="43"/>
      <c r="O139" s="14"/>
      <c r="P139" s="14">
        <f>D139</f>
        <v>1.2003820364872178E-11</v>
      </c>
      <c r="Q139" s="14"/>
      <c r="R139" s="14"/>
      <c r="S139" s="14"/>
      <c r="T139" s="14"/>
      <c r="U139" s="14"/>
      <c r="V139" s="14"/>
      <c r="W139" s="45"/>
    </row>
    <row r="140" spans="1:23">
      <c r="A140" s="69"/>
      <c r="B140" s="43"/>
      <c r="C140" s="14"/>
      <c r="D140" s="14"/>
      <c r="E140" s="14"/>
      <c r="F140" s="29" t="s">
        <v>67</v>
      </c>
      <c r="G140" s="14">
        <f>H134-D141</f>
        <v>6.9832149232903172E-4</v>
      </c>
      <c r="H140" s="14"/>
      <c r="I140" s="14"/>
      <c r="J140" s="14"/>
      <c r="K140" s="45"/>
      <c r="L140" s="69"/>
      <c r="M140" s="69"/>
      <c r="N140" s="43"/>
      <c r="O140" s="14"/>
      <c r="P140" s="14"/>
      <c r="Q140" s="14"/>
      <c r="R140" s="29" t="s">
        <v>67</v>
      </c>
      <c r="S140" s="14">
        <f>T134-P141</f>
        <v>2.9867426180227846E-3</v>
      </c>
      <c r="T140" s="14"/>
      <c r="U140" s="14"/>
      <c r="V140" s="14"/>
      <c r="W140" s="45"/>
    </row>
    <row r="141" spans="1:23" ht="13.5" thickBot="1">
      <c r="A141" s="69"/>
      <c r="B141" s="47"/>
      <c r="C141" s="48" t="s">
        <v>60</v>
      </c>
      <c r="D141" s="28">
        <f>D135*SQRT(D137*D139)</f>
        <v>1.2150426453088265E-2</v>
      </c>
      <c r="E141" s="28"/>
      <c r="F141" s="48" t="s">
        <v>68</v>
      </c>
      <c r="G141" s="28">
        <f>H134+D141</f>
        <v>2.4999174398505561E-2</v>
      </c>
      <c r="H141" s="28"/>
      <c r="I141" s="28"/>
      <c r="J141" s="28"/>
      <c r="K141" s="49"/>
      <c r="L141" s="69"/>
      <c r="M141" s="69"/>
      <c r="N141" s="47"/>
      <c r="O141" s="48" t="s">
        <v>60</v>
      </c>
      <c r="P141" s="28">
        <f>P135*SQRT(P137*P139)</f>
        <v>9.8620053273945126E-3</v>
      </c>
      <c r="Q141" s="28"/>
      <c r="R141" s="48" t="s">
        <v>68</v>
      </c>
      <c r="S141" s="28">
        <f>T134+P141</f>
        <v>2.2710753272811808E-2</v>
      </c>
      <c r="T141" s="28"/>
      <c r="U141" s="28"/>
      <c r="V141" s="28"/>
      <c r="W141" s="49"/>
    </row>
    <row r="142" spans="1:23" ht="13.5" thickBot="1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77"/>
      <c r="O142" s="77"/>
      <c r="P142" s="77"/>
      <c r="Q142" s="77"/>
      <c r="R142" s="77"/>
      <c r="S142" s="77"/>
      <c r="T142" s="77"/>
      <c r="U142" s="77"/>
      <c r="V142" s="77"/>
      <c r="W142" s="77"/>
    </row>
    <row r="143" spans="1:23">
      <c r="A143" s="21" t="s">
        <v>78</v>
      </c>
      <c r="B143" s="39"/>
      <c r="C143" s="40" t="s">
        <v>61</v>
      </c>
      <c r="D143" s="41">
        <v>0.95</v>
      </c>
      <c r="E143" s="41"/>
      <c r="F143" s="41"/>
      <c r="G143" s="41"/>
      <c r="H143" s="41"/>
      <c r="I143" s="41"/>
      <c r="J143" s="41"/>
      <c r="K143" s="42"/>
      <c r="L143" s="69"/>
      <c r="M143" s="69"/>
      <c r="N143" s="39"/>
      <c r="O143" s="40" t="s">
        <v>61</v>
      </c>
      <c r="P143" s="41">
        <v>0.9</v>
      </c>
      <c r="Q143" s="41"/>
      <c r="R143" s="41"/>
      <c r="S143" s="41"/>
      <c r="T143" s="41"/>
      <c r="U143" s="41"/>
      <c r="V143" s="41"/>
      <c r="W143" s="42"/>
    </row>
    <row r="144" spans="1:23">
      <c r="A144" s="69" t="s">
        <v>82</v>
      </c>
      <c r="B144" s="43"/>
      <c r="C144" s="44" t="s">
        <v>62</v>
      </c>
      <c r="D144" s="14">
        <f>1-D143</f>
        <v>5.0000000000000044E-2</v>
      </c>
      <c r="E144" s="14"/>
      <c r="F144" s="14"/>
      <c r="G144" s="29" t="str">
        <f>A147&amp;"="</f>
        <v>β5=</v>
      </c>
      <c r="H144" s="14">
        <f>AI35</f>
        <v>388060.49155980058</v>
      </c>
      <c r="I144" s="14"/>
      <c r="J144" s="14"/>
      <c r="K144" s="45"/>
      <c r="L144" s="69"/>
      <c r="M144" s="69"/>
      <c r="N144" s="43"/>
      <c r="O144" s="44" t="s">
        <v>62</v>
      </c>
      <c r="P144" s="14">
        <f>1-P143</f>
        <v>9.9999999999999978E-2</v>
      </c>
      <c r="Q144" s="14"/>
      <c r="R144" s="14"/>
      <c r="S144" s="29" t="str">
        <f>G144</f>
        <v>β5=</v>
      </c>
      <c r="T144" s="29">
        <f>H144</f>
        <v>388060.49155980058</v>
      </c>
      <c r="U144" s="14"/>
      <c r="V144" s="14"/>
      <c r="W144" s="45"/>
    </row>
    <row r="145" spans="1:23">
      <c r="A145" s="21" t="s">
        <v>83</v>
      </c>
      <c r="B145" s="43"/>
      <c r="C145" s="14"/>
      <c r="D145" s="14">
        <f>ROUND(_xlfn.T.INV(1-D144/2,17-(6+1)),2)</f>
        <v>2.23</v>
      </c>
      <c r="E145" s="14"/>
      <c r="F145" s="14"/>
      <c r="G145" s="14"/>
      <c r="H145" s="14"/>
      <c r="I145" s="14"/>
      <c r="J145" s="14"/>
      <c r="K145" s="45"/>
      <c r="L145" s="69"/>
      <c r="M145" s="69"/>
      <c r="N145" s="43"/>
      <c r="O145" s="14"/>
      <c r="P145" s="14">
        <f>ROUND(_xlfn.T.INV(1-P144/2,17-(6+1)),2)</f>
        <v>1.81</v>
      </c>
      <c r="Q145" s="14"/>
      <c r="R145" s="14"/>
      <c r="S145" s="14"/>
      <c r="T145" s="14"/>
      <c r="U145" s="14"/>
      <c r="V145" s="14"/>
      <c r="W145" s="45"/>
    </row>
    <row r="146" spans="1:23">
      <c r="A146" s="69" t="s">
        <v>45</v>
      </c>
      <c r="B146" s="43"/>
      <c r="C146" s="14"/>
      <c r="D146" s="14"/>
      <c r="E146" s="14"/>
      <c r="F146" s="14"/>
      <c r="G146" s="14"/>
      <c r="H146" s="14"/>
      <c r="I146" s="14"/>
      <c r="J146" s="14"/>
      <c r="K146" s="45"/>
      <c r="L146" s="69"/>
      <c r="M146" s="69"/>
      <c r="N146" s="43"/>
      <c r="O146" s="14"/>
      <c r="P146" s="14"/>
      <c r="Q146" s="14"/>
      <c r="R146" s="14"/>
      <c r="S146" s="14"/>
      <c r="T146" s="14"/>
      <c r="U146" s="14"/>
      <c r="V146" s="14"/>
      <c r="W146" s="45"/>
    </row>
    <row r="147" spans="1:23">
      <c r="A147" s="21" t="s">
        <v>89</v>
      </c>
      <c r="B147" s="43"/>
      <c r="C147" s="14"/>
      <c r="D147" s="14">
        <f>D54</f>
        <v>2473169.1937003611</v>
      </c>
      <c r="E147" s="14"/>
      <c r="F147" s="14"/>
      <c r="G147" s="14"/>
      <c r="H147" s="14"/>
      <c r="I147" s="14"/>
      <c r="J147" s="14"/>
      <c r="K147" s="45"/>
      <c r="L147" s="69"/>
      <c r="M147" s="69"/>
      <c r="N147" s="43"/>
      <c r="O147" s="14"/>
      <c r="P147" s="14">
        <f>D147</f>
        <v>2473169.1937003611</v>
      </c>
      <c r="Q147" s="14"/>
      <c r="R147" s="14"/>
      <c r="S147" s="14"/>
      <c r="T147" s="14"/>
      <c r="U147" s="14"/>
      <c r="V147" s="14"/>
      <c r="W147" s="45"/>
    </row>
    <row r="148" spans="1:23">
      <c r="A148" s="69"/>
      <c r="B148" s="43"/>
      <c r="C148" s="14"/>
      <c r="D148" s="14"/>
      <c r="E148" s="14"/>
      <c r="F148" s="14"/>
      <c r="G148" s="14"/>
      <c r="H148" s="14"/>
      <c r="I148" s="14"/>
      <c r="J148" s="14"/>
      <c r="K148" s="45"/>
      <c r="L148" s="69"/>
      <c r="M148" s="69"/>
      <c r="N148" s="43"/>
      <c r="O148" s="14"/>
      <c r="P148" s="14"/>
      <c r="Q148" s="14"/>
      <c r="R148" s="14"/>
      <c r="S148" s="14"/>
      <c r="T148" s="14"/>
      <c r="U148" s="14"/>
      <c r="V148" s="14"/>
      <c r="W148" s="45"/>
    </row>
    <row r="149" spans="1:23">
      <c r="A149" s="69"/>
      <c r="B149" s="43"/>
      <c r="C149" s="14"/>
      <c r="D149" s="14">
        <f>T35</f>
        <v>2027.2929127316982</v>
      </c>
      <c r="E149" s="14"/>
      <c r="F149" s="14"/>
      <c r="G149" s="14"/>
      <c r="H149" s="14"/>
      <c r="I149" s="14"/>
      <c r="J149" s="14"/>
      <c r="K149" s="45"/>
      <c r="L149" s="69"/>
      <c r="M149" s="69"/>
      <c r="N149" s="43"/>
      <c r="O149" s="14"/>
      <c r="P149" s="14">
        <f>D149</f>
        <v>2027.2929127316982</v>
      </c>
      <c r="Q149" s="14"/>
      <c r="R149" s="14"/>
      <c r="S149" s="14"/>
      <c r="T149" s="14"/>
      <c r="U149" s="14"/>
      <c r="V149" s="14"/>
      <c r="W149" s="45"/>
    </row>
    <row r="150" spans="1:23">
      <c r="A150" s="69"/>
      <c r="B150" s="43"/>
      <c r="C150" s="14"/>
      <c r="D150" s="14"/>
      <c r="E150" s="14"/>
      <c r="F150" s="29" t="s">
        <v>67</v>
      </c>
      <c r="G150" s="14">
        <f>H144-D151</f>
        <v>230157.61992086683</v>
      </c>
      <c r="H150" s="14"/>
      <c r="I150" s="14"/>
      <c r="J150" s="14"/>
      <c r="K150" s="45"/>
      <c r="L150" s="69"/>
      <c r="M150" s="69"/>
      <c r="N150" s="43"/>
      <c r="O150" s="14"/>
      <c r="P150" s="14"/>
      <c r="Q150" s="14"/>
      <c r="R150" s="29" t="s">
        <v>67</v>
      </c>
      <c r="S150" s="14">
        <f>T144-P151</f>
        <v>259897.1742205763</v>
      </c>
      <c r="T150" s="14"/>
      <c r="U150" s="14"/>
      <c r="V150" s="14"/>
      <c r="W150" s="45"/>
    </row>
    <row r="151" spans="1:23" ht="13.5" thickBot="1">
      <c r="A151" s="69"/>
      <c r="B151" s="47"/>
      <c r="C151" s="48" t="s">
        <v>60</v>
      </c>
      <c r="D151" s="28">
        <f>D145*SQRT(D147*D149)</f>
        <v>157902.87163893375</v>
      </c>
      <c r="E151" s="28"/>
      <c r="F151" s="48" t="s">
        <v>68</v>
      </c>
      <c r="G151" s="28">
        <f>H144+D151</f>
        <v>545963.36319873435</v>
      </c>
      <c r="H151" s="28"/>
      <c r="I151" s="28"/>
      <c r="J151" s="28"/>
      <c r="K151" s="49"/>
      <c r="L151" s="69"/>
      <c r="M151" s="69"/>
      <c r="N151" s="47"/>
      <c r="O151" s="48" t="s">
        <v>60</v>
      </c>
      <c r="P151" s="28">
        <f>P145*SQRT(P147*P149)</f>
        <v>128163.31733922426</v>
      </c>
      <c r="Q151" s="28"/>
      <c r="R151" s="48" t="s">
        <v>68</v>
      </c>
      <c r="S151" s="28">
        <f>T144+P151</f>
        <v>516223.80889902485</v>
      </c>
      <c r="T151" s="28"/>
      <c r="U151" s="28"/>
      <c r="V151" s="28"/>
      <c r="W151" s="49"/>
    </row>
    <row r="152" spans="1:23" ht="13.5" thickBot="1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77"/>
      <c r="O152" s="77"/>
      <c r="P152" s="77"/>
      <c r="Q152" s="77"/>
      <c r="R152" s="77"/>
      <c r="S152" s="77"/>
      <c r="T152" s="77"/>
      <c r="U152" s="77"/>
      <c r="V152" s="77"/>
      <c r="W152" s="77"/>
    </row>
    <row r="153" spans="1:23">
      <c r="A153" s="21" t="s">
        <v>78</v>
      </c>
      <c r="B153" s="39"/>
      <c r="C153" s="40" t="s">
        <v>61</v>
      </c>
      <c r="D153" s="41">
        <v>0.95</v>
      </c>
      <c r="E153" s="41"/>
      <c r="F153" s="41"/>
      <c r="G153" s="41"/>
      <c r="H153" s="41"/>
      <c r="I153" s="41"/>
      <c r="J153" s="41"/>
      <c r="K153" s="42"/>
      <c r="L153" s="69"/>
      <c r="M153" s="69"/>
      <c r="N153" s="39"/>
      <c r="O153" s="40" t="s">
        <v>61</v>
      </c>
      <c r="P153" s="41">
        <v>0.9</v>
      </c>
      <c r="Q153" s="41"/>
      <c r="R153" s="41"/>
      <c r="S153" s="41"/>
      <c r="T153" s="41"/>
      <c r="U153" s="41"/>
      <c r="V153" s="41"/>
      <c r="W153" s="42"/>
    </row>
    <row r="154" spans="1:23">
      <c r="A154" s="69" t="s">
        <v>82</v>
      </c>
      <c r="B154" s="43"/>
      <c r="C154" s="44" t="s">
        <v>62</v>
      </c>
      <c r="D154" s="14">
        <f>1-D153</f>
        <v>5.0000000000000044E-2</v>
      </c>
      <c r="E154" s="14"/>
      <c r="F154" s="14"/>
      <c r="G154" s="29" t="str">
        <f>A157&amp;"="</f>
        <v>β6=</v>
      </c>
      <c r="H154" s="14">
        <f>AI36</f>
        <v>-4.3895488812552286E-4</v>
      </c>
      <c r="I154" s="14"/>
      <c r="J154" s="14"/>
      <c r="K154" s="45"/>
      <c r="L154" s="69"/>
      <c r="M154" s="69"/>
      <c r="N154" s="43"/>
      <c r="O154" s="44" t="s">
        <v>62</v>
      </c>
      <c r="P154" s="14">
        <f>1-P153</f>
        <v>9.9999999999999978E-2</v>
      </c>
      <c r="Q154" s="14"/>
      <c r="R154" s="14"/>
      <c r="S154" s="29" t="str">
        <f>G154</f>
        <v>β6=</v>
      </c>
      <c r="T154" s="29">
        <f>H154</f>
        <v>-4.3895488812552286E-4</v>
      </c>
      <c r="U154" s="14"/>
      <c r="V154" s="14"/>
      <c r="W154" s="45"/>
    </row>
    <row r="155" spans="1:23">
      <c r="A155" s="21" t="s">
        <v>83</v>
      </c>
      <c r="B155" s="43"/>
      <c r="C155" s="14"/>
      <c r="D155" s="14">
        <f>ROUND(_xlfn.T.INV(1-D154/2,17-(6+1)),2)</f>
        <v>2.23</v>
      </c>
      <c r="E155" s="14"/>
      <c r="F155" s="14"/>
      <c r="G155" s="14"/>
      <c r="H155" s="14"/>
      <c r="I155" s="14"/>
      <c r="J155" s="14"/>
      <c r="K155" s="45"/>
      <c r="L155" s="69"/>
      <c r="M155" s="69"/>
      <c r="N155" s="43"/>
      <c r="O155" s="14"/>
      <c r="P155" s="14">
        <f>ROUND(_xlfn.T.INV(1-P154/2,17-(6+1)),2)</f>
        <v>1.81</v>
      </c>
      <c r="Q155" s="14"/>
      <c r="R155" s="14"/>
      <c r="S155" s="14"/>
      <c r="T155" s="14"/>
      <c r="U155" s="14"/>
      <c r="V155" s="14"/>
      <c r="W155" s="45"/>
    </row>
    <row r="156" spans="1:23">
      <c r="A156" s="69" t="s">
        <v>45</v>
      </c>
      <c r="B156" s="43"/>
      <c r="C156" s="14"/>
      <c r="D156" s="14"/>
      <c r="E156" s="14"/>
      <c r="F156" s="14"/>
      <c r="G156" s="14"/>
      <c r="H156" s="14"/>
      <c r="I156" s="14"/>
      <c r="J156" s="14"/>
      <c r="K156" s="45"/>
      <c r="L156" s="69"/>
      <c r="M156" s="69"/>
      <c r="N156" s="43"/>
      <c r="O156" s="14"/>
      <c r="P156" s="14"/>
      <c r="Q156" s="14"/>
      <c r="R156" s="14"/>
      <c r="S156" s="14"/>
      <c r="T156" s="14"/>
      <c r="U156" s="14"/>
      <c r="V156" s="14"/>
      <c r="W156" s="45"/>
    </row>
    <row r="157" spans="1:23">
      <c r="A157" s="21" t="s">
        <v>88</v>
      </c>
      <c r="B157" s="43"/>
      <c r="C157" s="14"/>
      <c r="D157" s="14">
        <f>D54</f>
        <v>2473169.1937003611</v>
      </c>
      <c r="E157" s="14"/>
      <c r="F157" s="14"/>
      <c r="G157" s="14"/>
      <c r="H157" s="14"/>
      <c r="I157" s="14"/>
      <c r="J157" s="14"/>
      <c r="K157" s="45"/>
      <c r="L157" s="69"/>
      <c r="M157" s="69"/>
      <c r="N157" s="43"/>
      <c r="O157" s="14"/>
      <c r="P157" s="14">
        <f>D157</f>
        <v>2473169.1937003611</v>
      </c>
      <c r="Q157" s="14"/>
      <c r="R157" s="14"/>
      <c r="S157" s="14"/>
      <c r="T157" s="14"/>
      <c r="U157" s="14"/>
      <c r="V157" s="14"/>
      <c r="W157" s="45"/>
    </row>
    <row r="158" spans="1:23">
      <c r="A158" s="69"/>
      <c r="B158" s="43"/>
      <c r="C158" s="14"/>
      <c r="D158" s="14"/>
      <c r="E158" s="14"/>
      <c r="F158" s="14"/>
      <c r="G158" s="14"/>
      <c r="H158" s="14"/>
      <c r="I158" s="14"/>
      <c r="J158" s="14"/>
      <c r="K158" s="45"/>
      <c r="L158" s="69"/>
      <c r="M158" s="69"/>
      <c r="N158" s="43"/>
      <c r="O158" s="14"/>
      <c r="P158" s="14"/>
      <c r="Q158" s="14"/>
      <c r="R158" s="14"/>
      <c r="S158" s="14"/>
      <c r="T158" s="14"/>
      <c r="U158" s="14"/>
      <c r="V158" s="14"/>
      <c r="W158" s="45"/>
    </row>
    <row r="159" spans="1:23">
      <c r="A159" s="69"/>
      <c r="B159" s="43"/>
      <c r="C159" s="14"/>
      <c r="D159" s="14">
        <f>U36</f>
        <v>6.5157496737608073E-13</v>
      </c>
      <c r="E159" s="14"/>
      <c r="F159" s="14"/>
      <c r="G159" s="14"/>
      <c r="H159" s="14"/>
      <c r="I159" s="14"/>
      <c r="J159" s="14"/>
      <c r="K159" s="45"/>
      <c r="L159" s="69"/>
      <c r="M159" s="69"/>
      <c r="N159" s="43"/>
      <c r="O159" s="14"/>
      <c r="P159" s="14">
        <f>D159</f>
        <v>6.5157496737608073E-13</v>
      </c>
      <c r="Q159" s="14"/>
      <c r="R159" s="14"/>
      <c r="S159" s="14"/>
      <c r="T159" s="14"/>
      <c r="U159" s="14"/>
      <c r="V159" s="14"/>
      <c r="W159" s="45"/>
    </row>
    <row r="160" spans="1:23">
      <c r="A160" s="69"/>
      <c r="B160" s="43"/>
      <c r="C160" s="14"/>
      <c r="D160" s="14"/>
      <c r="E160" s="14"/>
      <c r="F160" s="29" t="s">
        <v>67</v>
      </c>
      <c r="G160" s="14">
        <f>H154-D161</f>
        <v>-3.2697860821919601E-3</v>
      </c>
      <c r="H160" s="14"/>
      <c r="I160" s="14"/>
      <c r="J160" s="14"/>
      <c r="K160" s="45"/>
      <c r="L160" s="69"/>
      <c r="M160" s="69"/>
      <c r="N160" s="43"/>
      <c r="O160" s="14"/>
      <c r="P160" s="14"/>
      <c r="Q160" s="14"/>
      <c r="R160" s="29" t="s">
        <v>67</v>
      </c>
      <c r="S160" s="14">
        <f>T154-P161</f>
        <v>-2.7366250501256358E-3</v>
      </c>
      <c r="T160" s="14"/>
      <c r="U160" s="14"/>
      <c r="V160" s="14"/>
      <c r="W160" s="45"/>
    </row>
    <row r="161" spans="1:23" ht="13.5" thickBot="1">
      <c r="A161" s="69"/>
      <c r="B161" s="47"/>
      <c r="C161" s="48" t="s">
        <v>60</v>
      </c>
      <c r="D161" s="28">
        <f>D155*SQRT(D157*D159)</f>
        <v>2.8308311940664372E-3</v>
      </c>
      <c r="E161" s="28"/>
      <c r="F161" s="48" t="s">
        <v>68</v>
      </c>
      <c r="G161" s="28">
        <f>H154+D161</f>
        <v>2.3918763059409143E-3</v>
      </c>
      <c r="H161" s="28"/>
      <c r="I161" s="28"/>
      <c r="J161" s="28"/>
      <c r="K161" s="49"/>
      <c r="L161" s="69"/>
      <c r="M161" s="69"/>
      <c r="N161" s="47"/>
      <c r="O161" s="48" t="s">
        <v>60</v>
      </c>
      <c r="P161" s="28">
        <f>P155*SQRT(P157*P159)</f>
        <v>2.2976701620001129E-3</v>
      </c>
      <c r="Q161" s="28"/>
      <c r="R161" s="48" t="s">
        <v>68</v>
      </c>
      <c r="S161" s="28">
        <f>T154+P161</f>
        <v>1.85871527387459E-3</v>
      </c>
      <c r="T161" s="28"/>
      <c r="U161" s="28"/>
      <c r="V161" s="28"/>
      <c r="W161" s="49"/>
    </row>
    <row r="162" spans="1:23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77"/>
      <c r="O162" s="77"/>
      <c r="P162" s="77"/>
      <c r="Q162" s="77"/>
      <c r="R162" s="77"/>
      <c r="S162" s="77"/>
      <c r="T162" s="77"/>
      <c r="U162" s="77"/>
      <c r="V162" s="77"/>
      <c r="W162" s="77"/>
    </row>
    <row r="163" spans="1:23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77"/>
      <c r="O163" s="77"/>
      <c r="P163" s="77"/>
      <c r="Q163" s="77"/>
      <c r="R163" s="77"/>
      <c r="S163" s="77"/>
      <c r="T163" s="77"/>
      <c r="U163" s="77"/>
      <c r="V163" s="77"/>
      <c r="W163" s="77"/>
    </row>
    <row r="164" spans="1:23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77"/>
      <c r="O164" s="77"/>
      <c r="P164" s="77"/>
      <c r="Q164" s="77"/>
      <c r="R164" s="77"/>
      <c r="S164" s="77"/>
      <c r="T164" s="77"/>
      <c r="U164" s="77"/>
      <c r="V164" s="77"/>
      <c r="W164" s="77"/>
    </row>
    <row r="165" spans="1:23" ht="13.5" thickBot="1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77"/>
      <c r="O165" s="77"/>
      <c r="P165" s="77"/>
      <c r="Q165" s="77"/>
      <c r="R165" s="77"/>
      <c r="S165" s="77"/>
      <c r="T165" s="77"/>
      <c r="U165" s="77"/>
      <c r="V165" s="77"/>
      <c r="W165" s="77"/>
    </row>
    <row r="166" spans="1:23">
      <c r="A166" s="21" t="s">
        <v>78</v>
      </c>
      <c r="B166" s="39"/>
      <c r="C166" s="40" t="s">
        <v>61</v>
      </c>
      <c r="D166" s="41">
        <v>0.95</v>
      </c>
      <c r="E166" s="41"/>
      <c r="F166" s="64" t="s">
        <v>95</v>
      </c>
      <c r="G166" s="41">
        <f>D170</f>
        <v>0.68710000000000004</v>
      </c>
      <c r="H166" s="74" t="s">
        <v>134</v>
      </c>
      <c r="I166" s="41">
        <f>G170</f>
        <v>304215</v>
      </c>
      <c r="J166" s="41"/>
      <c r="K166" s="42">
        <f>D54</f>
        <v>2473169.1937003611</v>
      </c>
      <c r="L166" s="69"/>
      <c r="M166" s="69"/>
      <c r="N166" s="39"/>
      <c r="O166" s="40" t="s">
        <v>61</v>
      </c>
      <c r="P166" s="41">
        <v>0.9</v>
      </c>
      <c r="Q166" s="41"/>
      <c r="R166" s="64" t="s">
        <v>95</v>
      </c>
      <c r="S166" s="41">
        <f>P170</f>
        <v>0.68710000000000004</v>
      </c>
      <c r="T166" s="74" t="s">
        <v>134</v>
      </c>
      <c r="U166" s="41">
        <f>S170</f>
        <v>304215</v>
      </c>
      <c r="V166" s="41"/>
      <c r="W166" s="42">
        <f>P54</f>
        <v>0</v>
      </c>
    </row>
    <row r="167" spans="1:23">
      <c r="A167" s="21" t="s">
        <v>91</v>
      </c>
      <c r="B167" s="43"/>
      <c r="C167" s="44" t="s">
        <v>62</v>
      </c>
      <c r="D167" s="14">
        <f>1-D166</f>
        <v>5.0000000000000044E-2</v>
      </c>
      <c r="E167" s="14"/>
      <c r="F167" s="29" t="s">
        <v>96</v>
      </c>
      <c r="G167" s="14">
        <f>E170</f>
        <v>6117</v>
      </c>
      <c r="H167" s="73" t="s">
        <v>135</v>
      </c>
      <c r="I167" s="14">
        <f>H170</f>
        <v>0.17910000000000001</v>
      </c>
      <c r="J167" s="14"/>
      <c r="K167" s="45"/>
      <c r="L167" s="69"/>
      <c r="M167" s="69"/>
      <c r="N167" s="43"/>
      <c r="O167" s="44" t="s">
        <v>62</v>
      </c>
      <c r="P167" s="14">
        <f>1-P166</f>
        <v>9.9999999999999978E-2</v>
      </c>
      <c r="Q167" s="14"/>
      <c r="R167" s="29" t="s">
        <v>96</v>
      </c>
      <c r="S167" s="14">
        <f>Q170</f>
        <v>6117</v>
      </c>
      <c r="T167" s="73" t="s">
        <v>135</v>
      </c>
      <c r="U167" s="14">
        <f>T170</f>
        <v>0.17910000000000001</v>
      </c>
      <c r="V167" s="14"/>
      <c r="W167" s="45"/>
    </row>
    <row r="168" spans="1:23">
      <c r="A168" s="21" t="s">
        <v>92</v>
      </c>
      <c r="B168" s="43"/>
      <c r="C168" s="14"/>
      <c r="D168" s="14">
        <f>ROUND(_xlfn.T.INV(1-D167/2,17-(6+1)),2)</f>
        <v>2.23</v>
      </c>
      <c r="E168" s="14"/>
      <c r="F168" s="29" t="s">
        <v>97</v>
      </c>
      <c r="G168" s="14">
        <f>F170</f>
        <v>45642</v>
      </c>
      <c r="H168" s="73" t="s">
        <v>136</v>
      </c>
      <c r="I168" s="14">
        <f>I170</f>
        <v>116262</v>
      </c>
      <c r="J168" s="14"/>
      <c r="K168" s="4">
        <f>C170</f>
        <v>1</v>
      </c>
      <c r="L168" s="69"/>
      <c r="M168" s="69"/>
      <c r="N168" s="43"/>
      <c r="O168" s="14"/>
      <c r="P168" s="14">
        <f>ROUND(_xlfn.T.INV(1-P167/2,17-(6+1)),2)</f>
        <v>1.81</v>
      </c>
      <c r="Q168" s="14"/>
      <c r="R168" s="29" t="s">
        <v>97</v>
      </c>
      <c r="S168" s="14">
        <f>R170</f>
        <v>45642</v>
      </c>
      <c r="T168" s="73" t="s">
        <v>136</v>
      </c>
      <c r="U168" s="14">
        <f>U170</f>
        <v>116262</v>
      </c>
      <c r="V168" s="14"/>
      <c r="W168" s="4">
        <f>O170</f>
        <v>1</v>
      </c>
    </row>
    <row r="169" spans="1:23">
      <c r="A169" s="21" t="s">
        <v>93</v>
      </c>
      <c r="B169" s="43"/>
      <c r="C169" s="14"/>
      <c r="D169" s="14"/>
      <c r="E169" s="14"/>
      <c r="F169" s="73"/>
      <c r="G169" s="14"/>
      <c r="H169" s="14"/>
      <c r="I169" s="14"/>
      <c r="J169" s="14"/>
      <c r="K169" s="4">
        <f>D170</f>
        <v>0.68710000000000004</v>
      </c>
      <c r="L169" s="69"/>
      <c r="M169" s="69"/>
      <c r="N169" s="43"/>
      <c r="O169" s="14"/>
      <c r="P169" s="14"/>
      <c r="Q169" s="14"/>
      <c r="R169" s="73"/>
      <c r="S169" s="14"/>
      <c r="T169" s="14"/>
      <c r="U169" s="14"/>
      <c r="V169" s="14"/>
      <c r="W169" s="4">
        <f>P170</f>
        <v>0.68710000000000004</v>
      </c>
    </row>
    <row r="170" spans="1:23">
      <c r="A170" s="21" t="s">
        <v>94</v>
      </c>
      <c r="B170" s="43"/>
      <c r="C170" s="4">
        <v>1</v>
      </c>
      <c r="D170" s="4">
        <f t="shared" ref="D170:I170" si="20">M9</f>
        <v>0.68710000000000004</v>
      </c>
      <c r="E170" s="4">
        <f t="shared" si="20"/>
        <v>6117</v>
      </c>
      <c r="F170" s="4">
        <f t="shared" si="20"/>
        <v>45642</v>
      </c>
      <c r="G170" s="4">
        <f t="shared" si="20"/>
        <v>304215</v>
      </c>
      <c r="H170" s="4">
        <f t="shared" si="20"/>
        <v>0.17910000000000001</v>
      </c>
      <c r="I170" s="4">
        <f t="shared" si="20"/>
        <v>116262</v>
      </c>
      <c r="J170" s="14"/>
      <c r="K170" s="4">
        <f>E170</f>
        <v>6117</v>
      </c>
      <c r="L170" s="69"/>
      <c r="M170" s="69"/>
      <c r="N170" s="43"/>
      <c r="O170" s="4">
        <v>1</v>
      </c>
      <c r="P170" s="4">
        <f>D170</f>
        <v>0.68710000000000004</v>
      </c>
      <c r="Q170" s="4">
        <f t="shared" ref="Q170:U170" si="21">E170</f>
        <v>6117</v>
      </c>
      <c r="R170" s="4">
        <f t="shared" si="21"/>
        <v>45642</v>
      </c>
      <c r="S170" s="4">
        <f t="shared" si="21"/>
        <v>304215</v>
      </c>
      <c r="T170" s="4">
        <f t="shared" si="21"/>
        <v>0.17910000000000001</v>
      </c>
      <c r="U170" s="4">
        <f t="shared" si="21"/>
        <v>116262</v>
      </c>
      <c r="V170" s="14"/>
      <c r="W170" s="4">
        <f>Q170</f>
        <v>6117</v>
      </c>
    </row>
    <row r="171" spans="1:23">
      <c r="A171" s="69"/>
      <c r="B171" s="43"/>
      <c r="C171" s="14"/>
      <c r="D171" s="14"/>
      <c r="E171" s="14"/>
      <c r="F171" s="73"/>
      <c r="G171" s="14"/>
      <c r="H171" s="14"/>
      <c r="I171" s="14"/>
      <c r="J171" s="14"/>
      <c r="K171" s="4">
        <f>F170</f>
        <v>45642</v>
      </c>
      <c r="L171" s="69"/>
      <c r="M171" s="69"/>
      <c r="N171" s="43"/>
      <c r="O171" s="14"/>
      <c r="P171" s="14"/>
      <c r="Q171" s="14"/>
      <c r="R171" s="73"/>
      <c r="S171" s="14"/>
      <c r="T171" s="14"/>
      <c r="U171" s="14"/>
      <c r="V171" s="14"/>
      <c r="W171" s="4">
        <f>R170</f>
        <v>45642</v>
      </c>
    </row>
    <row r="172" spans="1:23">
      <c r="A172" s="69"/>
      <c r="B172" s="43"/>
      <c r="C172" s="14"/>
      <c r="D172" s="14">
        <f>ROUND(MMULT(C184:I184,AI30:AI36),4)</f>
        <v>260428.57870000001</v>
      </c>
      <c r="E172" s="14"/>
      <c r="F172" s="14"/>
      <c r="G172" s="14"/>
      <c r="H172" s="14"/>
      <c r="I172" s="14"/>
      <c r="J172" s="14"/>
      <c r="K172" s="4">
        <f>G170</f>
        <v>304215</v>
      </c>
      <c r="L172" s="69"/>
      <c r="M172" s="69"/>
      <c r="N172" s="43"/>
      <c r="O172" s="14"/>
      <c r="P172" s="14">
        <f>D172</f>
        <v>260428.57870000001</v>
      </c>
      <c r="Q172" s="14"/>
      <c r="R172" s="14"/>
      <c r="S172" s="14"/>
      <c r="T172" s="14"/>
      <c r="U172" s="14"/>
      <c r="V172" s="14"/>
      <c r="W172" s="4">
        <f>S170</f>
        <v>304215</v>
      </c>
    </row>
    <row r="173" spans="1:23">
      <c r="A173" s="69"/>
      <c r="B173" s="43"/>
      <c r="C173" s="14"/>
      <c r="D173" s="14"/>
      <c r="E173" s="14"/>
      <c r="F173" s="14"/>
      <c r="G173" s="14"/>
      <c r="H173" s="14"/>
      <c r="I173" s="14"/>
      <c r="J173" s="14"/>
      <c r="K173" s="4">
        <f>H170</f>
        <v>0.17910000000000001</v>
      </c>
      <c r="L173" s="69"/>
      <c r="M173" s="69"/>
      <c r="N173" s="43"/>
      <c r="O173" s="14"/>
      <c r="P173" s="14"/>
      <c r="Q173" s="14"/>
      <c r="R173" s="14"/>
      <c r="S173" s="14"/>
      <c r="T173" s="14"/>
      <c r="U173" s="14"/>
      <c r="V173" s="14"/>
      <c r="W173" s="4">
        <f>T170</f>
        <v>0.17910000000000001</v>
      </c>
    </row>
    <row r="174" spans="1:23">
      <c r="A174" s="69"/>
      <c r="B174" s="43"/>
      <c r="C174" s="14"/>
      <c r="D174" s="14">
        <f>MMULT(MMULT(C184:I184,O30:U36),K182:K188)</f>
        <v>884.4613482439072</v>
      </c>
      <c r="E174" s="14"/>
      <c r="F174" s="14"/>
      <c r="G174" s="14"/>
      <c r="H174" s="14"/>
      <c r="I174" s="14"/>
      <c r="J174" s="14"/>
      <c r="K174" s="4">
        <f>I170</f>
        <v>116262</v>
      </c>
      <c r="L174" s="69"/>
      <c r="M174" s="69"/>
      <c r="N174" s="43"/>
      <c r="O174" s="14"/>
      <c r="P174" s="14">
        <f>D174</f>
        <v>884.4613482439072</v>
      </c>
      <c r="Q174" s="14"/>
      <c r="R174" s="14"/>
      <c r="S174" s="14"/>
      <c r="T174" s="14"/>
      <c r="U174" s="14"/>
      <c r="V174" s="14"/>
      <c r="W174" s="4">
        <f>U170</f>
        <v>116262</v>
      </c>
    </row>
    <row r="175" spans="1:23">
      <c r="A175" s="69"/>
      <c r="B175" s="43"/>
      <c r="C175" s="14"/>
      <c r="D175" s="14"/>
      <c r="E175" s="14"/>
      <c r="F175" s="14"/>
      <c r="G175" s="14"/>
      <c r="H175" s="14"/>
      <c r="I175" s="14"/>
      <c r="J175" s="14"/>
      <c r="K175" s="45"/>
      <c r="L175" s="69"/>
      <c r="M175" s="69"/>
      <c r="N175" s="43"/>
      <c r="O175" s="14"/>
      <c r="P175" s="14"/>
      <c r="Q175" s="14"/>
      <c r="R175" s="14"/>
      <c r="S175" s="14"/>
      <c r="T175" s="14"/>
      <c r="U175" s="14"/>
      <c r="V175" s="14"/>
      <c r="W175" s="45"/>
    </row>
    <row r="176" spans="1:23">
      <c r="A176" s="69"/>
      <c r="B176" s="43"/>
      <c r="C176" s="14"/>
      <c r="D176" s="14">
        <f>K166*D174</f>
        <v>2187422559.4955182</v>
      </c>
      <c r="E176" s="14"/>
      <c r="F176" s="14"/>
      <c r="G176" s="14"/>
      <c r="H176" s="14"/>
      <c r="I176" s="14"/>
      <c r="J176" s="14"/>
      <c r="K176" s="45"/>
      <c r="L176" s="69"/>
      <c r="M176" s="69"/>
      <c r="N176" s="43"/>
      <c r="O176" s="14"/>
      <c r="P176" s="14">
        <f>D176</f>
        <v>2187422559.4955182</v>
      </c>
      <c r="Q176" s="14"/>
      <c r="R176" s="14"/>
      <c r="S176" s="14"/>
      <c r="T176" s="14"/>
      <c r="U176" s="14"/>
      <c r="V176" s="14"/>
      <c r="W176" s="45"/>
    </row>
    <row r="177" spans="1:23" ht="15.75">
      <c r="A177" s="69"/>
      <c r="B177" s="43"/>
      <c r="C177" s="14"/>
      <c r="D177" s="14"/>
      <c r="E177" s="14"/>
      <c r="F177" s="29" t="s">
        <v>67</v>
      </c>
      <c r="G177" s="14">
        <f>D172-D178</f>
        <v>156131.72520000002</v>
      </c>
      <c r="H177" s="14"/>
      <c r="I177" s="14" t="s">
        <v>98</v>
      </c>
      <c r="J177" s="75" t="str">
        <f>"]"&amp;G177&amp;";"&amp;G178&amp;"["</f>
        <v>]156131,7252;364725,4322[</v>
      </c>
      <c r="K177" s="45"/>
      <c r="L177" s="69"/>
      <c r="M177" s="69"/>
      <c r="N177" s="43"/>
      <c r="O177" s="14"/>
      <c r="P177" s="14"/>
      <c r="Q177" s="14"/>
      <c r="R177" s="29" t="s">
        <v>67</v>
      </c>
      <c r="S177" s="14">
        <f>P172-P178</f>
        <v>175775.07880000002</v>
      </c>
      <c r="T177" s="14"/>
      <c r="U177" s="14" t="s">
        <v>139</v>
      </c>
      <c r="V177" s="75" t="str">
        <f>"]"&amp;S177&amp;";"&amp;S178&amp;"["</f>
        <v>]175775,0788;345082,0786[</v>
      </c>
      <c r="W177" s="45"/>
    </row>
    <row r="178" spans="1:23" ht="13.5" thickBot="1">
      <c r="A178" s="69"/>
      <c r="B178" s="47"/>
      <c r="C178" s="48" t="s">
        <v>60</v>
      </c>
      <c r="D178" s="28">
        <f>ROUND(D168*SQRT(D176),4)</f>
        <v>104296.8535</v>
      </c>
      <c r="E178" s="28"/>
      <c r="F178" s="48" t="s">
        <v>68</v>
      </c>
      <c r="G178" s="28">
        <f>D172+D178</f>
        <v>364725.43220000004</v>
      </c>
      <c r="H178" s="28"/>
      <c r="I178" s="28"/>
      <c r="J178" s="28"/>
      <c r="K178" s="49"/>
      <c r="L178" s="69"/>
      <c r="M178" s="69"/>
      <c r="N178" s="47"/>
      <c r="O178" s="48" t="s">
        <v>60</v>
      </c>
      <c r="P178" s="28">
        <f>ROUND(P168*SQRT(P176),4)</f>
        <v>84653.499899999995</v>
      </c>
      <c r="Q178" s="28"/>
      <c r="R178" s="48" t="s">
        <v>68</v>
      </c>
      <c r="S178" s="28">
        <f>P172+P178</f>
        <v>345082.07860000001</v>
      </c>
      <c r="T178" s="28"/>
      <c r="U178" s="28"/>
      <c r="V178" s="28"/>
      <c r="W178" s="49"/>
    </row>
    <row r="179" spans="1:23" ht="13.5" thickBot="1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77"/>
      <c r="O179" s="77"/>
      <c r="P179" s="77"/>
      <c r="Q179" s="77"/>
      <c r="R179" s="77"/>
      <c r="S179" s="77"/>
      <c r="T179" s="77"/>
      <c r="U179" s="77"/>
      <c r="V179" s="77"/>
      <c r="W179" s="77"/>
    </row>
    <row r="180" spans="1:23">
      <c r="A180" s="21" t="s">
        <v>78</v>
      </c>
      <c r="B180" s="39"/>
      <c r="C180" s="40" t="s">
        <v>61</v>
      </c>
      <c r="D180" s="41">
        <v>0.95</v>
      </c>
      <c r="E180" s="41"/>
      <c r="F180" s="64" t="s">
        <v>95</v>
      </c>
      <c r="G180" s="41">
        <f>G166</f>
        <v>0.68710000000000004</v>
      </c>
      <c r="H180" s="74" t="s">
        <v>134</v>
      </c>
      <c r="I180" s="41">
        <f>I166</f>
        <v>304215</v>
      </c>
      <c r="J180" s="41"/>
      <c r="K180" s="42">
        <f>D54</f>
        <v>2473169.1937003611</v>
      </c>
      <c r="L180" s="69"/>
      <c r="M180" s="69"/>
      <c r="N180" s="39"/>
      <c r="O180" s="40" t="s">
        <v>61</v>
      </c>
      <c r="P180" s="41">
        <v>0.9</v>
      </c>
      <c r="Q180" s="41"/>
      <c r="R180" s="64" t="s">
        <v>95</v>
      </c>
      <c r="S180" s="41">
        <f>S166</f>
        <v>0.68710000000000004</v>
      </c>
      <c r="T180" s="74" t="s">
        <v>134</v>
      </c>
      <c r="U180" s="41">
        <f>U166</f>
        <v>304215</v>
      </c>
      <c r="V180" s="41"/>
      <c r="W180" s="42">
        <f>P54</f>
        <v>0</v>
      </c>
    </row>
    <row r="181" spans="1:23">
      <c r="A181" s="21" t="s">
        <v>99</v>
      </c>
      <c r="B181" s="43"/>
      <c r="C181" s="44" t="s">
        <v>62</v>
      </c>
      <c r="D181" s="14">
        <f>1-D180</f>
        <v>5.0000000000000044E-2</v>
      </c>
      <c r="E181" s="14"/>
      <c r="F181" s="29" t="s">
        <v>96</v>
      </c>
      <c r="G181" s="14">
        <f>G167</f>
        <v>6117</v>
      </c>
      <c r="H181" s="73" t="s">
        <v>135</v>
      </c>
      <c r="I181" s="14">
        <f>I167</f>
        <v>0.17910000000000001</v>
      </c>
      <c r="J181" s="14"/>
      <c r="K181" s="45"/>
      <c r="L181" s="69"/>
      <c r="M181" s="69"/>
      <c r="N181" s="43"/>
      <c r="O181" s="44" t="s">
        <v>62</v>
      </c>
      <c r="P181" s="14">
        <f>1-P180</f>
        <v>9.9999999999999978E-2</v>
      </c>
      <c r="Q181" s="14"/>
      <c r="R181" s="29" t="s">
        <v>96</v>
      </c>
      <c r="S181" s="14">
        <f>S167</f>
        <v>6117</v>
      </c>
      <c r="T181" s="73" t="s">
        <v>135</v>
      </c>
      <c r="U181" s="14">
        <f>U167</f>
        <v>0.17910000000000001</v>
      </c>
      <c r="V181" s="14"/>
      <c r="W181" s="45"/>
    </row>
    <row r="182" spans="1:23">
      <c r="A182" s="21" t="s">
        <v>100</v>
      </c>
      <c r="B182" s="43"/>
      <c r="C182" s="14"/>
      <c r="D182" s="14">
        <f>ROUND(_xlfn.T.INV(1-D181/2,17-(6+1)),2)</f>
        <v>2.23</v>
      </c>
      <c r="E182" s="14"/>
      <c r="F182" s="29" t="s">
        <v>97</v>
      </c>
      <c r="G182" s="14">
        <f>G168</f>
        <v>45642</v>
      </c>
      <c r="H182" s="73" t="s">
        <v>136</v>
      </c>
      <c r="I182" s="14">
        <f>I168</f>
        <v>116262</v>
      </c>
      <c r="J182" s="14"/>
      <c r="K182" s="4">
        <f>C184</f>
        <v>1</v>
      </c>
      <c r="L182" s="69"/>
      <c r="M182" s="69"/>
      <c r="N182" s="43"/>
      <c r="O182" s="14"/>
      <c r="P182" s="14">
        <f>ROUND(_xlfn.T.INV(1-P181/2,17-(6+1)),2)</f>
        <v>1.81</v>
      </c>
      <c r="Q182" s="14"/>
      <c r="R182" s="29" t="s">
        <v>97</v>
      </c>
      <c r="S182" s="14">
        <f>S168</f>
        <v>45642</v>
      </c>
      <c r="T182" s="73" t="s">
        <v>136</v>
      </c>
      <c r="U182" s="14">
        <f>U168</f>
        <v>116262</v>
      </c>
      <c r="V182" s="14"/>
      <c r="W182" s="4">
        <f>O184</f>
        <v>1</v>
      </c>
    </row>
    <row r="183" spans="1:23">
      <c r="A183" s="21" t="s">
        <v>101</v>
      </c>
      <c r="B183" s="43"/>
      <c r="C183" s="14"/>
      <c r="D183" s="14"/>
      <c r="E183" s="14"/>
      <c r="F183" s="73"/>
      <c r="G183" s="14"/>
      <c r="H183" s="14"/>
      <c r="I183" s="14"/>
      <c r="J183" s="14"/>
      <c r="K183" s="4">
        <f>D184</f>
        <v>0.68710000000000004</v>
      </c>
      <c r="L183" s="69"/>
      <c r="M183" s="69"/>
      <c r="N183" s="43"/>
      <c r="O183" s="14"/>
      <c r="P183" s="14"/>
      <c r="Q183" s="14"/>
      <c r="R183" s="73"/>
      <c r="S183" s="14"/>
      <c r="T183" s="14"/>
      <c r="U183" s="14"/>
      <c r="V183" s="14"/>
      <c r="W183" s="4">
        <f>P184</f>
        <v>0.68710000000000004</v>
      </c>
    </row>
    <row r="184" spans="1:23">
      <c r="A184" s="21" t="s">
        <v>102</v>
      </c>
      <c r="B184" s="43"/>
      <c r="C184" s="4">
        <v>1</v>
      </c>
      <c r="D184" s="4">
        <f>M9</f>
        <v>0.68710000000000004</v>
      </c>
      <c r="E184" s="4">
        <f>M9</f>
        <v>0.68710000000000004</v>
      </c>
      <c r="F184" s="4">
        <f>M9</f>
        <v>0.68710000000000004</v>
      </c>
      <c r="G184" s="4">
        <f>M9</f>
        <v>0.68710000000000004</v>
      </c>
      <c r="H184" s="4">
        <f>M9</f>
        <v>0.68710000000000004</v>
      </c>
      <c r="I184" s="4">
        <f>M9</f>
        <v>0.68710000000000004</v>
      </c>
      <c r="J184" s="14"/>
      <c r="K184" s="4">
        <f>E184</f>
        <v>0.68710000000000004</v>
      </c>
      <c r="L184" s="69"/>
      <c r="M184" s="69"/>
      <c r="N184" s="43"/>
      <c r="O184" s="4">
        <v>1</v>
      </c>
      <c r="P184" s="4">
        <f>D184</f>
        <v>0.68710000000000004</v>
      </c>
      <c r="Q184" s="4">
        <f t="shared" ref="Q184:U184" si="22">E184</f>
        <v>0.68710000000000004</v>
      </c>
      <c r="R184" s="4">
        <f t="shared" si="22"/>
        <v>0.68710000000000004</v>
      </c>
      <c r="S184" s="4">
        <f t="shared" si="22"/>
        <v>0.68710000000000004</v>
      </c>
      <c r="T184" s="4">
        <f t="shared" si="22"/>
        <v>0.68710000000000004</v>
      </c>
      <c r="U184" s="4">
        <f t="shared" si="22"/>
        <v>0.68710000000000004</v>
      </c>
      <c r="V184" s="14"/>
      <c r="W184" s="4">
        <f>Q184</f>
        <v>0.68710000000000004</v>
      </c>
    </row>
    <row r="185" spans="1:23">
      <c r="A185" s="21" t="s">
        <v>94</v>
      </c>
      <c r="B185" s="43"/>
      <c r="C185" s="14"/>
      <c r="D185" s="14"/>
      <c r="E185" s="14"/>
      <c r="F185" s="73"/>
      <c r="G185" s="14"/>
      <c r="H185" s="14"/>
      <c r="I185" s="14"/>
      <c r="J185" s="14"/>
      <c r="K185" s="4">
        <f>F184</f>
        <v>0.68710000000000004</v>
      </c>
      <c r="L185" s="69"/>
      <c r="M185" s="69"/>
      <c r="N185" s="43"/>
      <c r="O185" s="14"/>
      <c r="P185" s="14"/>
      <c r="Q185" s="14"/>
      <c r="R185" s="73"/>
      <c r="S185" s="14"/>
      <c r="T185" s="14"/>
      <c r="U185" s="14"/>
      <c r="V185" s="14"/>
      <c r="W185" s="4">
        <f>R184</f>
        <v>0.68710000000000004</v>
      </c>
    </row>
    <row r="186" spans="1:23">
      <c r="A186" s="69"/>
      <c r="B186" s="43"/>
      <c r="C186" s="14"/>
      <c r="D186" s="14">
        <f>ROUND(MMULT(C184:I184,AI30:AI36),4)</f>
        <v>260428.57870000001</v>
      </c>
      <c r="E186" s="14"/>
      <c r="F186" s="14"/>
      <c r="G186" s="14"/>
      <c r="H186" s="14"/>
      <c r="I186" s="14"/>
      <c r="J186" s="14"/>
      <c r="K186" s="4">
        <f>G184</f>
        <v>0.68710000000000004</v>
      </c>
      <c r="L186" s="69"/>
      <c r="M186" s="69"/>
      <c r="N186" s="43"/>
      <c r="O186" s="14"/>
      <c r="P186" s="14">
        <f>D186</f>
        <v>260428.57870000001</v>
      </c>
      <c r="Q186" s="14"/>
      <c r="R186" s="14"/>
      <c r="S186" s="14"/>
      <c r="T186" s="14"/>
      <c r="U186" s="14"/>
      <c r="V186" s="14"/>
      <c r="W186" s="4">
        <f>S184</f>
        <v>0.68710000000000004</v>
      </c>
    </row>
    <row r="187" spans="1:23">
      <c r="A187" s="69"/>
      <c r="B187" s="43"/>
      <c r="C187" s="14"/>
      <c r="D187" s="14"/>
      <c r="E187" s="14"/>
      <c r="F187" s="14"/>
      <c r="G187" s="14"/>
      <c r="H187" s="14"/>
      <c r="I187" s="14"/>
      <c r="J187" s="14"/>
      <c r="K187" s="4">
        <f>H184</f>
        <v>0.68710000000000004</v>
      </c>
      <c r="L187" s="69"/>
      <c r="M187" s="69"/>
      <c r="N187" s="43"/>
      <c r="O187" s="14"/>
      <c r="P187" s="14"/>
      <c r="Q187" s="14"/>
      <c r="R187" s="14"/>
      <c r="S187" s="14"/>
      <c r="T187" s="14"/>
      <c r="U187" s="14"/>
      <c r="V187" s="14"/>
      <c r="W187" s="4">
        <f>T184</f>
        <v>0.68710000000000004</v>
      </c>
    </row>
    <row r="188" spans="1:23">
      <c r="A188" s="69"/>
      <c r="B188" s="43"/>
      <c r="C188" s="14"/>
      <c r="D188" s="14">
        <f>MMULT(MMULT(C184:I184,O30:U36),K182:K188)</f>
        <v>884.4613482439072</v>
      </c>
      <c r="E188" s="14"/>
      <c r="F188" s="14"/>
      <c r="G188" s="14"/>
      <c r="H188" s="14"/>
      <c r="I188" s="14"/>
      <c r="J188" s="14"/>
      <c r="K188" s="4">
        <f>I184</f>
        <v>0.68710000000000004</v>
      </c>
      <c r="L188" s="69"/>
      <c r="M188" s="69"/>
      <c r="N188" s="43"/>
      <c r="O188" s="14"/>
      <c r="P188" s="14">
        <f>D188</f>
        <v>884.4613482439072</v>
      </c>
      <c r="Q188" s="14"/>
      <c r="R188" s="14"/>
      <c r="S188" s="14"/>
      <c r="T188" s="14"/>
      <c r="U188" s="14"/>
      <c r="V188" s="14"/>
      <c r="W188" s="4">
        <f>U184</f>
        <v>0.68710000000000004</v>
      </c>
    </row>
    <row r="189" spans="1:23">
      <c r="A189" s="69"/>
      <c r="B189" s="43"/>
      <c r="C189" s="14"/>
      <c r="D189" s="14"/>
      <c r="E189" s="14"/>
      <c r="F189" s="14"/>
      <c r="G189" s="14"/>
      <c r="H189" s="14"/>
      <c r="I189" s="14"/>
      <c r="J189" s="14"/>
      <c r="K189" s="45"/>
      <c r="L189" s="69"/>
      <c r="M189" s="69"/>
      <c r="N189" s="43"/>
      <c r="O189" s="14"/>
      <c r="P189" s="14"/>
      <c r="Q189" s="14"/>
      <c r="R189" s="14"/>
      <c r="S189" s="14"/>
      <c r="T189" s="14"/>
      <c r="U189" s="14"/>
      <c r="V189" s="14"/>
      <c r="W189" s="45"/>
    </row>
    <row r="190" spans="1:23">
      <c r="A190" s="69"/>
      <c r="B190" s="43"/>
      <c r="C190" s="14"/>
      <c r="D190" s="14">
        <f>K180*(1+D188)</f>
        <v>2189895728.6892185</v>
      </c>
      <c r="E190" s="14"/>
      <c r="F190" s="14"/>
      <c r="G190" s="14"/>
      <c r="H190" s="14"/>
      <c r="I190" s="14"/>
      <c r="J190" s="14"/>
      <c r="K190" s="45"/>
      <c r="L190" s="69"/>
      <c r="M190" s="69"/>
      <c r="N190" s="43"/>
      <c r="O190" s="14"/>
      <c r="P190" s="14">
        <f>D190</f>
        <v>2189895728.6892185</v>
      </c>
      <c r="Q190" s="14"/>
      <c r="R190" s="14"/>
      <c r="S190" s="14"/>
      <c r="T190" s="14"/>
      <c r="U190" s="14"/>
      <c r="V190" s="14"/>
      <c r="W190" s="45"/>
    </row>
    <row r="191" spans="1:23" ht="15.75">
      <c r="A191" s="69"/>
      <c r="B191" s="43"/>
      <c r="C191" s="14"/>
      <c r="D191" s="14"/>
      <c r="E191" s="14"/>
      <c r="F191" s="29" t="s">
        <v>67</v>
      </c>
      <c r="G191" s="14">
        <f>D186-D192</f>
        <v>156072.78120000003</v>
      </c>
      <c r="H191" s="14"/>
      <c r="I191" s="14" t="s">
        <v>98</v>
      </c>
      <c r="J191" s="75" t="str">
        <f>"]"&amp;G191&amp;";"&amp;G192&amp;"["</f>
        <v>]156072,7812;364784,3762[</v>
      </c>
      <c r="K191" s="45"/>
      <c r="L191" s="69"/>
      <c r="M191" s="69"/>
      <c r="N191" s="43"/>
      <c r="O191" s="14"/>
      <c r="P191" s="14"/>
      <c r="Q191" s="14"/>
      <c r="R191" s="29" t="s">
        <v>67</v>
      </c>
      <c r="S191" s="14">
        <f>P186-P192</f>
        <v>175727.23630000002</v>
      </c>
      <c r="T191" s="14"/>
      <c r="U191" s="14" t="s">
        <v>139</v>
      </c>
      <c r="V191" s="75" t="str">
        <f>"]"&amp;S191&amp;";"&amp;S192&amp;"["</f>
        <v>]175727,2363;345129,9211[</v>
      </c>
      <c r="W191" s="45"/>
    </row>
    <row r="192" spans="1:23" ht="13.5" thickBot="1">
      <c r="A192" s="69"/>
      <c r="B192" s="47"/>
      <c r="C192" s="48" t="s">
        <v>60</v>
      </c>
      <c r="D192" s="28">
        <f>ROUND(D182*SQRT(D190),4)</f>
        <v>104355.7975</v>
      </c>
      <c r="E192" s="28"/>
      <c r="F192" s="48" t="s">
        <v>68</v>
      </c>
      <c r="G192" s="28">
        <f>D186+D192</f>
        <v>364784.3762</v>
      </c>
      <c r="H192" s="28"/>
      <c r="I192" s="28"/>
      <c r="J192" s="28"/>
      <c r="K192" s="49"/>
      <c r="L192" s="69"/>
      <c r="M192" s="69"/>
      <c r="N192" s="47"/>
      <c r="O192" s="48" t="s">
        <v>60</v>
      </c>
      <c r="P192" s="28">
        <f>ROUND(P182*SQRT(P190),4)</f>
        <v>84701.342399999994</v>
      </c>
      <c r="Q192" s="28"/>
      <c r="R192" s="48" t="s">
        <v>68</v>
      </c>
      <c r="S192" s="28">
        <f>P186+P192</f>
        <v>345129.92110000004</v>
      </c>
      <c r="T192" s="28"/>
      <c r="U192" s="28"/>
      <c r="V192" s="28"/>
      <c r="W192" s="49"/>
    </row>
    <row r="193" spans="1:24" ht="13.5" thickBo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</row>
    <row r="194" spans="1:24">
      <c r="A194" s="69"/>
      <c r="B194" s="39"/>
      <c r="C194" s="41"/>
      <c r="D194" s="41"/>
      <c r="E194" s="41"/>
      <c r="F194" s="41"/>
      <c r="G194" s="41"/>
      <c r="H194" s="41"/>
      <c r="I194" s="41"/>
      <c r="J194" s="41"/>
      <c r="K194" s="41"/>
      <c r="L194" s="42"/>
      <c r="M194" s="69"/>
      <c r="N194" s="39"/>
      <c r="O194" s="41"/>
      <c r="P194" s="41"/>
      <c r="Q194" s="41"/>
      <c r="R194" s="41"/>
      <c r="S194" s="41"/>
      <c r="T194" s="41"/>
      <c r="U194" s="41"/>
      <c r="V194" s="41"/>
      <c r="W194" s="41"/>
      <c r="X194" s="42"/>
    </row>
    <row r="195" spans="1:24">
      <c r="A195" s="21" t="s">
        <v>103</v>
      </c>
      <c r="B195" s="43"/>
      <c r="C195" s="14"/>
      <c r="D195" s="14"/>
      <c r="E195" s="14"/>
      <c r="F195" s="14"/>
      <c r="G195" s="29" t="str">
        <f>A198&amp;"="</f>
        <v>β0=</v>
      </c>
      <c r="H195" s="14">
        <f>H94</f>
        <v>-11168.918770045879</v>
      </c>
      <c r="I195" s="14"/>
      <c r="J195" s="14"/>
      <c r="K195" s="14"/>
      <c r="L195" s="45"/>
      <c r="M195" s="69"/>
      <c r="N195" s="43"/>
      <c r="O195" s="14"/>
      <c r="P195" s="14"/>
      <c r="Q195" s="14"/>
      <c r="R195" s="14"/>
      <c r="S195" s="29" t="str">
        <f>G195</f>
        <v>β0=</v>
      </c>
      <c r="T195" s="29">
        <f>H195</f>
        <v>-11168.918770045879</v>
      </c>
      <c r="U195" s="14"/>
      <c r="V195" s="14"/>
      <c r="W195" s="14"/>
      <c r="X195" s="45"/>
    </row>
    <row r="196" spans="1:24">
      <c r="A196" s="21" t="s">
        <v>83</v>
      </c>
      <c r="B196" s="43"/>
      <c r="C196" s="14"/>
      <c r="D196" s="14"/>
      <c r="E196" s="14"/>
      <c r="F196" s="14"/>
      <c r="G196" s="14"/>
      <c r="H196" s="14"/>
      <c r="I196" s="14"/>
      <c r="J196" s="14"/>
      <c r="K196" s="14"/>
      <c r="L196" s="45"/>
      <c r="M196" s="69"/>
      <c r="N196" s="43"/>
      <c r="O196" s="14"/>
      <c r="P196" s="14"/>
      <c r="Q196" s="14"/>
      <c r="R196" s="14"/>
      <c r="S196" s="14"/>
      <c r="T196" s="14"/>
      <c r="U196" s="14"/>
      <c r="V196" s="14"/>
      <c r="W196" s="14"/>
      <c r="X196" s="45"/>
    </row>
    <row r="197" spans="1:24">
      <c r="A197" s="21" t="s">
        <v>104</v>
      </c>
      <c r="B197" s="43"/>
      <c r="C197" s="14"/>
      <c r="D197" s="14"/>
      <c r="E197" s="14"/>
      <c r="F197" s="14"/>
      <c r="G197" s="14"/>
      <c r="H197" s="14">
        <f>D99</f>
        <v>13.255687925542237</v>
      </c>
      <c r="I197" s="14"/>
      <c r="J197" s="14"/>
      <c r="K197" s="14"/>
      <c r="L197" s="45"/>
      <c r="M197" s="69"/>
      <c r="N197" s="43"/>
      <c r="O197" s="14"/>
      <c r="P197" s="14"/>
      <c r="Q197" s="14"/>
      <c r="R197" s="14"/>
      <c r="S197" s="14"/>
      <c r="T197" s="29">
        <f>H197</f>
        <v>13.255687925542237</v>
      </c>
      <c r="U197" s="14"/>
      <c r="V197" s="14"/>
      <c r="W197" s="14"/>
      <c r="X197" s="45"/>
    </row>
    <row r="198" spans="1:24">
      <c r="A198" s="21" t="s">
        <v>84</v>
      </c>
      <c r="B198" s="43"/>
      <c r="C198" s="14"/>
      <c r="D198" s="14"/>
      <c r="E198" s="14"/>
      <c r="F198" s="14"/>
      <c r="G198" s="14"/>
      <c r="H198" s="14"/>
      <c r="I198" s="14"/>
      <c r="J198" s="14"/>
      <c r="K198" s="14"/>
      <c r="L198" s="45"/>
      <c r="M198" s="69"/>
      <c r="N198" s="43"/>
      <c r="O198" s="14"/>
      <c r="P198" s="14"/>
      <c r="Q198" s="14"/>
      <c r="R198" s="14"/>
      <c r="S198" s="14"/>
      <c r="T198" s="14"/>
      <c r="U198" s="14"/>
      <c r="V198" s="14"/>
      <c r="W198" s="14"/>
      <c r="X198" s="45"/>
    </row>
    <row r="199" spans="1:24">
      <c r="A199" s="69"/>
      <c r="B199" s="43"/>
      <c r="C199" s="14"/>
      <c r="D199" s="14"/>
      <c r="E199" s="14"/>
      <c r="F199" s="14"/>
      <c r="G199" s="14"/>
      <c r="H199" s="14"/>
      <c r="I199" s="14"/>
      <c r="J199" s="14"/>
      <c r="K199" s="14"/>
      <c r="L199" s="45"/>
      <c r="M199" s="69"/>
      <c r="N199" s="43"/>
      <c r="O199" s="14"/>
      <c r="P199" s="14"/>
      <c r="Q199" s="14"/>
      <c r="R199" s="14"/>
      <c r="S199" s="14"/>
      <c r="T199" s="14"/>
      <c r="U199" s="14"/>
      <c r="V199" s="14"/>
      <c r="W199" s="14"/>
      <c r="X199" s="45"/>
    </row>
    <row r="200" spans="1:24">
      <c r="A200" s="69"/>
      <c r="B200" s="43"/>
      <c r="C200" s="14">
        <f>D54</f>
        <v>2473169.1937003611</v>
      </c>
      <c r="D200" s="14"/>
      <c r="E200" s="14"/>
      <c r="F200" s="14"/>
      <c r="G200" s="14"/>
      <c r="H200" s="14"/>
      <c r="I200" s="14"/>
      <c r="J200" s="14"/>
      <c r="K200" s="14"/>
      <c r="L200" s="45"/>
      <c r="M200" s="69"/>
      <c r="N200" s="43"/>
      <c r="O200" s="29">
        <f>C200</f>
        <v>2473169.1937003611</v>
      </c>
      <c r="P200" s="14"/>
      <c r="Q200" s="14"/>
      <c r="R200" s="14"/>
      <c r="S200" s="14"/>
      <c r="T200" s="14"/>
      <c r="U200" s="14"/>
      <c r="V200" s="14"/>
      <c r="W200" s="14"/>
      <c r="X200" s="45"/>
    </row>
    <row r="201" spans="1:24">
      <c r="A201" s="69"/>
      <c r="B201" s="43"/>
      <c r="C201" s="14"/>
      <c r="D201" s="14"/>
      <c r="E201" s="14"/>
      <c r="F201" s="14"/>
      <c r="G201" s="14"/>
      <c r="H201" s="14"/>
      <c r="I201" s="14"/>
      <c r="J201" s="14"/>
      <c r="K201" s="14"/>
      <c r="L201" s="45"/>
      <c r="M201" s="69"/>
      <c r="N201" s="43"/>
      <c r="O201" s="14"/>
      <c r="P201" s="14"/>
      <c r="Q201" s="14"/>
      <c r="R201" s="14"/>
      <c r="S201" s="14"/>
      <c r="T201" s="14"/>
      <c r="U201" s="14"/>
      <c r="V201" s="14"/>
      <c r="W201" s="14"/>
      <c r="X201" s="45"/>
    </row>
    <row r="202" spans="1:24">
      <c r="A202" s="69"/>
      <c r="B202" s="43"/>
      <c r="C202" s="44" t="s">
        <v>105</v>
      </c>
      <c r="D202" s="14">
        <v>0.05</v>
      </c>
      <c r="E202" s="14"/>
      <c r="F202" s="14"/>
      <c r="G202" s="29" t="s">
        <v>108</v>
      </c>
      <c r="H202" s="14" t="str">
        <f>"]-∞;-"&amp;ROUND(D204,4)&amp;"[ U ]"&amp;ROUND(D204,4)&amp;";+∞["</f>
        <v>]-∞;-2,23[ U ]2,23;+∞[</v>
      </c>
      <c r="I202" s="14"/>
      <c r="J202" s="14"/>
      <c r="K202" s="14"/>
      <c r="L202" s="45"/>
      <c r="M202" s="69"/>
      <c r="N202" s="43"/>
      <c r="O202" s="44" t="s">
        <v>105</v>
      </c>
      <c r="P202" s="14">
        <v>0.01</v>
      </c>
      <c r="Q202" s="14"/>
      <c r="R202" s="14"/>
      <c r="S202" s="29" t="s">
        <v>108</v>
      </c>
      <c r="T202" s="14" t="str">
        <f>"]-∞;-"&amp;ROUND(P204,4)&amp;"[ U ]"&amp;ROUND(P204,4)&amp;";+∞["</f>
        <v>]-∞;-3,17[ U ]3,17;+∞[</v>
      </c>
      <c r="U202" s="14"/>
      <c r="V202" s="14"/>
      <c r="W202" s="14"/>
      <c r="X202" s="45"/>
    </row>
    <row r="203" spans="1:24">
      <c r="A203" s="69"/>
      <c r="B203" s="43"/>
      <c r="C203" s="44"/>
      <c r="D203" s="14"/>
      <c r="E203" s="14"/>
      <c r="F203" s="14"/>
      <c r="G203" s="14"/>
      <c r="H203" s="14"/>
      <c r="I203" s="14"/>
      <c r="J203" s="14"/>
      <c r="K203" s="14"/>
      <c r="L203" s="45"/>
      <c r="M203" s="69"/>
      <c r="N203" s="43"/>
      <c r="O203" s="44"/>
      <c r="P203" s="14"/>
      <c r="Q203" s="14"/>
      <c r="R203" s="14"/>
      <c r="S203" s="14"/>
      <c r="T203" s="14"/>
      <c r="U203" s="14"/>
      <c r="V203" s="14"/>
      <c r="W203" s="14"/>
      <c r="X203" s="45"/>
    </row>
    <row r="204" spans="1:24">
      <c r="A204" s="69"/>
      <c r="B204" s="43"/>
      <c r="C204" s="14"/>
      <c r="D204" s="14">
        <f>ROUND(_xlfn.T.INV(1-D202/2,17-(6+1)),2)</f>
        <v>2.23</v>
      </c>
      <c r="E204" s="14"/>
      <c r="F204" s="14"/>
      <c r="G204" s="14"/>
      <c r="H204" s="14"/>
      <c r="I204" s="14"/>
      <c r="J204" s="14"/>
      <c r="K204" s="14"/>
      <c r="L204" s="45"/>
      <c r="M204" s="69"/>
      <c r="N204" s="43"/>
      <c r="O204" s="14"/>
      <c r="P204" s="14">
        <f>ROUND(_xlfn.T.INV(1-P202/2,17-(6+1)),2)</f>
        <v>3.17</v>
      </c>
      <c r="Q204" s="14"/>
      <c r="R204" s="14"/>
      <c r="S204" s="14"/>
      <c r="T204" s="14"/>
      <c r="U204" s="14"/>
      <c r="V204" s="14"/>
      <c r="W204" s="14"/>
      <c r="X204" s="45"/>
    </row>
    <row r="205" spans="1:24">
      <c r="A205" s="69"/>
      <c r="B205" s="43"/>
      <c r="C205" s="29"/>
      <c r="D205" s="14"/>
      <c r="E205" s="14"/>
      <c r="F205" s="14"/>
      <c r="G205" s="14"/>
      <c r="H205" s="14"/>
      <c r="I205" s="14"/>
      <c r="J205" s="14"/>
      <c r="K205" s="14"/>
      <c r="L205" s="45"/>
      <c r="M205" s="69"/>
      <c r="N205" s="43"/>
      <c r="O205" s="29"/>
      <c r="P205" s="14"/>
      <c r="Q205" s="14"/>
      <c r="R205" s="14"/>
      <c r="S205" s="14"/>
      <c r="T205" s="14"/>
      <c r="U205" s="14"/>
      <c r="V205" s="14"/>
      <c r="W205" s="14"/>
      <c r="X205" s="45"/>
    </row>
    <row r="206" spans="1:24">
      <c r="A206" s="69"/>
      <c r="B206" s="43"/>
      <c r="C206" s="14"/>
      <c r="D206" s="14"/>
      <c r="E206" s="14"/>
      <c r="F206" s="14"/>
      <c r="G206" s="14"/>
      <c r="H206" s="14"/>
      <c r="I206" s="14"/>
      <c r="J206" s="14"/>
      <c r="K206" s="14"/>
      <c r="L206" s="45"/>
      <c r="M206" s="69"/>
      <c r="N206" s="43"/>
      <c r="O206" s="14"/>
      <c r="P206" s="14"/>
      <c r="Q206" s="14"/>
      <c r="R206" s="14"/>
      <c r="S206" s="14"/>
      <c r="T206" s="14"/>
      <c r="U206" s="14"/>
      <c r="V206" s="14"/>
      <c r="W206" s="14"/>
      <c r="X206" s="45"/>
    </row>
    <row r="207" spans="1:24">
      <c r="A207" s="69"/>
      <c r="B207" s="43"/>
      <c r="C207" s="14"/>
      <c r="D207" s="14"/>
      <c r="E207" s="14"/>
      <c r="F207" s="14"/>
      <c r="G207" s="14"/>
      <c r="H207" s="14"/>
      <c r="I207" s="14"/>
      <c r="J207" s="14"/>
      <c r="K207" s="14"/>
      <c r="L207" s="45"/>
      <c r="M207" s="69"/>
      <c r="N207" s="43"/>
      <c r="O207" s="14"/>
      <c r="P207" s="14"/>
      <c r="Q207" s="14"/>
      <c r="R207" s="14"/>
      <c r="S207" s="14"/>
      <c r="T207" s="14"/>
      <c r="U207" s="14"/>
      <c r="V207" s="14"/>
      <c r="W207" s="14"/>
      <c r="X207" s="45"/>
    </row>
    <row r="208" spans="1:24">
      <c r="A208" s="69"/>
      <c r="B208" s="43"/>
      <c r="C208" s="29" t="s">
        <v>106</v>
      </c>
      <c r="D208" s="14">
        <f>ROUND(H195/SQRT(C200*H197),4)</f>
        <v>-1.9507000000000001</v>
      </c>
      <c r="E208" s="14"/>
      <c r="F208" s="14"/>
      <c r="G208" s="14"/>
      <c r="H208" s="14"/>
      <c r="I208" s="14"/>
      <c r="J208" s="14"/>
      <c r="K208" s="14"/>
      <c r="L208" s="45"/>
      <c r="M208" s="69"/>
      <c r="N208" s="43"/>
      <c r="O208" s="29" t="s">
        <v>106</v>
      </c>
      <c r="P208" s="14">
        <f>ROUND(T195/SQRT(O200*T197),4)</f>
        <v>-1.9507000000000001</v>
      </c>
      <c r="Q208" s="14"/>
      <c r="R208" s="14"/>
      <c r="S208" s="14"/>
      <c r="T208" s="14"/>
      <c r="U208" s="14"/>
      <c r="V208" s="14"/>
      <c r="W208" s="14"/>
      <c r="X208" s="45"/>
    </row>
    <row r="209" spans="1:24">
      <c r="A209" s="69"/>
      <c r="B209" s="43"/>
      <c r="C209" s="29" t="s">
        <v>107</v>
      </c>
      <c r="D209" s="14">
        <f>ABS(D208)</f>
        <v>1.9507000000000001</v>
      </c>
      <c r="E209" s="14"/>
      <c r="F209" s="14"/>
      <c r="G209" s="14"/>
      <c r="H209" s="14"/>
      <c r="I209" s="14"/>
      <c r="J209" s="14"/>
      <c r="K209" s="14"/>
      <c r="L209" s="45"/>
      <c r="M209" s="69"/>
      <c r="N209" s="43"/>
      <c r="O209" s="29" t="s">
        <v>107</v>
      </c>
      <c r="P209" s="14">
        <f>ABS(P208)</f>
        <v>1.9507000000000001</v>
      </c>
      <c r="Q209" s="14"/>
      <c r="R209" s="14"/>
      <c r="S209" s="14"/>
      <c r="T209" s="14"/>
      <c r="U209" s="14"/>
      <c r="V209" s="14"/>
      <c r="W209" s="14"/>
      <c r="X209" s="45"/>
    </row>
    <row r="210" spans="1:24" ht="13.5" thickBot="1">
      <c r="A210" s="69"/>
      <c r="B210" s="47" t="str">
        <f>IF(ABS(D208)&gt;ROUND(D204,4), "Como |"&amp;ROUND(D208,2)&amp;"| &gt; "&amp;ROUND(D204,4)&amp;" então rejeita-se H0, logo a um nível de significância de "&amp;D202*100&amp;"% há evidencia estatística suficiente para se concluir que "&amp;G195&amp;" é não nulo","Como |"&amp;ROUND(D208,2)&amp;"|  ≤ "&amp;ROUND(D204,4)&amp;" então não se rejeita H0, logo a um nível de significância de "&amp;D202*100&amp;"% há evidencia estatística suficiente para se concluir que "&amp;G195&amp;" é nulo")</f>
        <v>Como |-1,95|  ≤ 2,23 então não se rejeita H0, logo a um nível de significância de 5% há evidencia estatística suficiente para se concluir que β0= é nulo</v>
      </c>
      <c r="C210" s="28"/>
      <c r="D210" s="28"/>
      <c r="E210" s="28"/>
      <c r="F210" s="28"/>
      <c r="G210" s="28"/>
      <c r="H210" s="28"/>
      <c r="I210" s="28"/>
      <c r="J210" s="28"/>
      <c r="K210" s="49"/>
      <c r="L210" s="49"/>
      <c r="M210" s="69"/>
      <c r="N210" s="47" t="str">
        <f>IF(ABS(P208)&gt;ROUND(P204,4), "Como |"&amp;ROUND(P208,2)&amp;"| &gt; "&amp;ROUND(P204,4)&amp;" então rejeita-se H0, logo a um nível de significância de "&amp;P202*100&amp;"% há evidencia estatística suficiente para se concluir que "&amp;S195&amp;" é não nulo","Como |"&amp;ROUND(P208,2)&amp;"|  ≤ "&amp;ROUND(P204,4)&amp;" então não se rejeita H0, logo a um nível de significância de "&amp;P202*100&amp;"% há evidencia estatística suficiente para se concluir que "&amp;S195&amp;" é nulo")</f>
        <v>Como |-1,95|  ≤ 3,17 então não se rejeita H0, logo a um nível de significância de 1% há evidencia estatística suficiente para se concluir que β0= é nulo</v>
      </c>
      <c r="O210" s="28"/>
      <c r="P210" s="28"/>
      <c r="Q210" s="28"/>
      <c r="R210" s="28"/>
      <c r="S210" s="28"/>
      <c r="T210" s="28"/>
      <c r="U210" s="28"/>
      <c r="V210" s="28"/>
      <c r="W210" s="49"/>
      <c r="X210" s="49"/>
    </row>
    <row r="211" spans="1:24" ht="13.5" thickBot="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</row>
    <row r="212" spans="1:24">
      <c r="A212" s="69"/>
      <c r="B212" s="39"/>
      <c r="C212" s="41"/>
      <c r="D212" s="41"/>
      <c r="E212" s="41"/>
      <c r="F212" s="41"/>
      <c r="G212" s="41"/>
      <c r="H212" s="41"/>
      <c r="I212" s="41"/>
      <c r="J212" s="41"/>
      <c r="K212" s="41"/>
      <c r="L212" s="42"/>
      <c r="M212" s="69"/>
      <c r="N212" s="39"/>
      <c r="O212" s="41"/>
      <c r="P212" s="41"/>
      <c r="Q212" s="41"/>
      <c r="R212" s="41"/>
      <c r="S212" s="41"/>
      <c r="T212" s="41"/>
      <c r="U212" s="41"/>
      <c r="V212" s="41"/>
      <c r="W212" s="41"/>
      <c r="X212" s="42"/>
    </row>
    <row r="213" spans="1:24">
      <c r="A213" s="21" t="s">
        <v>103</v>
      </c>
      <c r="B213" s="43"/>
      <c r="C213" s="14"/>
      <c r="D213" s="14"/>
      <c r="E213" s="14"/>
      <c r="F213" s="14"/>
      <c r="G213" s="29" t="str">
        <f>A216&amp;"="</f>
        <v>β1=</v>
      </c>
      <c r="H213" s="14">
        <f>H104</f>
        <v>7219.0545373433852</v>
      </c>
      <c r="I213" s="14"/>
      <c r="J213" s="14"/>
      <c r="K213" s="14"/>
      <c r="L213" s="45"/>
      <c r="M213" s="69"/>
      <c r="N213" s="43"/>
      <c r="O213" s="14"/>
      <c r="P213" s="14"/>
      <c r="Q213" s="14"/>
      <c r="R213" s="14"/>
      <c r="S213" s="29" t="str">
        <f>G213</f>
        <v>β1=</v>
      </c>
      <c r="T213" s="29">
        <f>H213</f>
        <v>7219.0545373433852</v>
      </c>
      <c r="U213" s="14"/>
      <c r="V213" s="14"/>
      <c r="W213" s="14"/>
      <c r="X213" s="45"/>
    </row>
    <row r="214" spans="1:24">
      <c r="A214" s="21" t="s">
        <v>83</v>
      </c>
      <c r="B214" s="43"/>
      <c r="C214" s="14"/>
      <c r="D214" s="14"/>
      <c r="E214" s="14"/>
      <c r="F214" s="14"/>
      <c r="G214" s="14"/>
      <c r="H214" s="14"/>
      <c r="I214" s="14"/>
      <c r="J214" s="14"/>
      <c r="K214" s="14"/>
      <c r="L214" s="45"/>
      <c r="M214" s="69"/>
      <c r="N214" s="43"/>
      <c r="O214" s="14"/>
      <c r="P214" s="14"/>
      <c r="Q214" s="14"/>
      <c r="R214" s="14"/>
      <c r="S214" s="14"/>
      <c r="T214" s="14"/>
      <c r="U214" s="14"/>
      <c r="V214" s="14"/>
      <c r="W214" s="14"/>
      <c r="X214" s="45"/>
    </row>
    <row r="215" spans="1:24">
      <c r="A215" s="21" t="s">
        <v>104</v>
      </c>
      <c r="B215" s="43"/>
      <c r="C215" s="14"/>
      <c r="D215" s="14"/>
      <c r="E215" s="14"/>
      <c r="F215" s="14"/>
      <c r="G215" s="14"/>
      <c r="H215" s="14">
        <f>D109</f>
        <v>11.912496155592113</v>
      </c>
      <c r="I215" s="14"/>
      <c r="J215" s="14"/>
      <c r="K215" s="14"/>
      <c r="L215" s="45"/>
      <c r="M215" s="69"/>
      <c r="N215" s="43"/>
      <c r="O215" s="14"/>
      <c r="P215" s="14"/>
      <c r="Q215" s="14"/>
      <c r="R215" s="14"/>
      <c r="S215" s="14"/>
      <c r="T215" s="29">
        <f>H215</f>
        <v>11.912496155592113</v>
      </c>
      <c r="U215" s="14"/>
      <c r="V215" s="14"/>
      <c r="W215" s="14"/>
      <c r="X215" s="45"/>
    </row>
    <row r="216" spans="1:24">
      <c r="A216" s="21" t="s">
        <v>85</v>
      </c>
      <c r="B216" s="43"/>
      <c r="C216" s="14"/>
      <c r="D216" s="14"/>
      <c r="E216" s="14"/>
      <c r="F216" s="14"/>
      <c r="G216" s="14"/>
      <c r="H216" s="14"/>
      <c r="I216" s="14"/>
      <c r="J216" s="14"/>
      <c r="K216" s="14"/>
      <c r="L216" s="45"/>
      <c r="M216" s="69"/>
      <c r="N216" s="43"/>
      <c r="O216" s="14"/>
      <c r="P216" s="14"/>
      <c r="Q216" s="14"/>
      <c r="R216" s="14"/>
      <c r="S216" s="14"/>
      <c r="T216" s="14"/>
      <c r="U216" s="14"/>
      <c r="V216" s="14"/>
      <c r="W216" s="14"/>
      <c r="X216" s="45"/>
    </row>
    <row r="217" spans="1:24">
      <c r="A217" s="69"/>
      <c r="B217" s="43"/>
      <c r="C217" s="14"/>
      <c r="D217" s="14"/>
      <c r="E217" s="14"/>
      <c r="F217" s="14"/>
      <c r="G217" s="14"/>
      <c r="H217" s="14"/>
      <c r="I217" s="14"/>
      <c r="J217" s="14"/>
      <c r="K217" s="14"/>
      <c r="L217" s="45"/>
      <c r="M217" s="69"/>
      <c r="N217" s="43"/>
      <c r="O217" s="14"/>
      <c r="P217" s="14"/>
      <c r="Q217" s="14"/>
      <c r="R217" s="14"/>
      <c r="S217" s="14"/>
      <c r="T217" s="14"/>
      <c r="U217" s="14"/>
      <c r="V217" s="14"/>
      <c r="W217" s="14"/>
      <c r="X217" s="45"/>
    </row>
    <row r="218" spans="1:24">
      <c r="A218" s="69"/>
      <c r="B218" s="43"/>
      <c r="C218" s="14">
        <f>D54</f>
        <v>2473169.1937003611</v>
      </c>
      <c r="D218" s="14"/>
      <c r="E218" s="14"/>
      <c r="F218" s="14"/>
      <c r="G218" s="14"/>
      <c r="H218" s="14"/>
      <c r="I218" s="14"/>
      <c r="J218" s="14"/>
      <c r="K218" s="14"/>
      <c r="L218" s="45"/>
      <c r="M218" s="69"/>
      <c r="N218" s="43"/>
      <c r="O218" s="29">
        <f>C218</f>
        <v>2473169.1937003611</v>
      </c>
      <c r="P218" s="14"/>
      <c r="Q218" s="14"/>
      <c r="R218" s="14"/>
      <c r="S218" s="14"/>
      <c r="T218" s="14"/>
      <c r="U218" s="14"/>
      <c r="V218" s="14"/>
      <c r="W218" s="14"/>
      <c r="X218" s="45"/>
    </row>
    <row r="219" spans="1:24">
      <c r="A219" s="69"/>
      <c r="B219" s="43"/>
      <c r="C219" s="14"/>
      <c r="D219" s="14"/>
      <c r="E219" s="14"/>
      <c r="F219" s="14"/>
      <c r="G219" s="14"/>
      <c r="H219" s="14"/>
      <c r="I219" s="14"/>
      <c r="J219" s="14"/>
      <c r="K219" s="14"/>
      <c r="L219" s="45"/>
      <c r="M219" s="69"/>
      <c r="N219" s="43"/>
      <c r="O219" s="14"/>
      <c r="P219" s="14"/>
      <c r="Q219" s="14"/>
      <c r="R219" s="14"/>
      <c r="S219" s="14"/>
      <c r="T219" s="14"/>
      <c r="U219" s="14"/>
      <c r="V219" s="14"/>
      <c r="W219" s="14"/>
      <c r="X219" s="45"/>
    </row>
    <row r="220" spans="1:24">
      <c r="A220" s="69"/>
      <c r="B220" s="43"/>
      <c r="C220" s="44" t="s">
        <v>105</v>
      </c>
      <c r="D220" s="14">
        <v>0.05</v>
      </c>
      <c r="E220" s="14"/>
      <c r="F220" s="14"/>
      <c r="G220" s="29" t="s">
        <v>108</v>
      </c>
      <c r="H220" s="14" t="str">
        <f>"]-∞;-"&amp;ROUND(D222,4)&amp;"[ U ]"&amp;ROUND(D222,4)&amp;";+∞["</f>
        <v>]-∞;-2,23[ U ]2,23;+∞[</v>
      </c>
      <c r="I220" s="14"/>
      <c r="J220" s="14"/>
      <c r="K220" s="14"/>
      <c r="L220" s="45"/>
      <c r="M220" s="69"/>
      <c r="N220" s="43"/>
      <c r="O220" s="44" t="s">
        <v>105</v>
      </c>
      <c r="P220" s="14">
        <v>0.01</v>
      </c>
      <c r="Q220" s="14"/>
      <c r="R220" s="14"/>
      <c r="S220" s="29" t="s">
        <v>108</v>
      </c>
      <c r="T220" s="14" t="str">
        <f>"]-∞;-"&amp;ROUND(P222,4)&amp;"[ U ]"&amp;ROUND(P222,4)&amp;";+∞["</f>
        <v>]-∞;-3,17[ U ]3,17;+∞[</v>
      </c>
      <c r="U220" s="14"/>
      <c r="V220" s="14"/>
      <c r="W220" s="14"/>
      <c r="X220" s="45"/>
    </row>
    <row r="221" spans="1:24">
      <c r="A221" s="69"/>
      <c r="B221" s="43"/>
      <c r="C221" s="44"/>
      <c r="D221" s="14"/>
      <c r="E221" s="14"/>
      <c r="F221" s="14"/>
      <c r="G221" s="14"/>
      <c r="H221" s="14"/>
      <c r="I221" s="14"/>
      <c r="J221" s="14"/>
      <c r="K221" s="14"/>
      <c r="L221" s="45"/>
      <c r="M221" s="69"/>
      <c r="N221" s="43"/>
      <c r="O221" s="44"/>
      <c r="P221" s="14"/>
      <c r="Q221" s="14"/>
      <c r="R221" s="14"/>
      <c r="S221" s="14"/>
      <c r="T221" s="14"/>
      <c r="U221" s="14"/>
      <c r="V221" s="14"/>
      <c r="W221" s="14"/>
      <c r="X221" s="45"/>
    </row>
    <row r="222" spans="1:24">
      <c r="A222" s="69"/>
      <c r="B222" s="43"/>
      <c r="C222" s="14"/>
      <c r="D222" s="14">
        <f>ROUND(_xlfn.T.INV(1-D220/2,17-(6+1)),2)</f>
        <v>2.23</v>
      </c>
      <c r="E222" s="14"/>
      <c r="F222" s="14"/>
      <c r="G222" s="14"/>
      <c r="H222" s="14"/>
      <c r="I222" s="14"/>
      <c r="J222" s="14"/>
      <c r="K222" s="14"/>
      <c r="L222" s="45"/>
      <c r="M222" s="69"/>
      <c r="N222" s="43"/>
      <c r="O222" s="14"/>
      <c r="P222" s="14">
        <f>ROUND(_xlfn.T.INV(1-P220/2,17-(6+1)),2)</f>
        <v>3.17</v>
      </c>
      <c r="Q222" s="14"/>
      <c r="R222" s="14"/>
      <c r="S222" s="14"/>
      <c r="T222" s="14"/>
      <c r="U222" s="14"/>
      <c r="V222" s="14"/>
      <c r="W222" s="14"/>
      <c r="X222" s="45"/>
    </row>
    <row r="223" spans="1:24">
      <c r="A223" s="69"/>
      <c r="B223" s="43"/>
      <c r="C223" s="29"/>
      <c r="D223" s="14"/>
      <c r="E223" s="14"/>
      <c r="F223" s="14"/>
      <c r="G223" s="14"/>
      <c r="H223" s="14"/>
      <c r="I223" s="14"/>
      <c r="J223" s="14"/>
      <c r="K223" s="14"/>
      <c r="L223" s="45"/>
      <c r="M223" s="69"/>
      <c r="N223" s="43"/>
      <c r="O223" s="29"/>
      <c r="P223" s="14"/>
      <c r="Q223" s="14"/>
      <c r="R223" s="14"/>
      <c r="S223" s="14"/>
      <c r="T223" s="14"/>
      <c r="U223" s="14"/>
      <c r="V223" s="14"/>
      <c r="W223" s="14"/>
      <c r="X223" s="45"/>
    </row>
    <row r="224" spans="1:24">
      <c r="A224" s="69"/>
      <c r="B224" s="43"/>
      <c r="C224" s="14"/>
      <c r="D224" s="14"/>
      <c r="E224" s="14"/>
      <c r="F224" s="14"/>
      <c r="G224" s="14"/>
      <c r="H224" s="14"/>
      <c r="I224" s="14"/>
      <c r="J224" s="14"/>
      <c r="K224" s="14"/>
      <c r="L224" s="45"/>
      <c r="M224" s="69"/>
      <c r="N224" s="43"/>
      <c r="O224" s="14"/>
      <c r="P224" s="14"/>
      <c r="Q224" s="14"/>
      <c r="R224" s="14"/>
      <c r="S224" s="14"/>
      <c r="T224" s="14"/>
      <c r="U224" s="14"/>
      <c r="V224" s="14"/>
      <c r="W224" s="14"/>
      <c r="X224" s="45"/>
    </row>
    <row r="225" spans="1:24">
      <c r="A225" s="69"/>
      <c r="B225" s="43"/>
      <c r="C225" s="14"/>
      <c r="D225" s="14"/>
      <c r="E225" s="14"/>
      <c r="F225" s="14"/>
      <c r="G225" s="14"/>
      <c r="H225" s="14"/>
      <c r="I225" s="14"/>
      <c r="J225" s="14"/>
      <c r="K225" s="14"/>
      <c r="L225" s="45"/>
      <c r="M225" s="69"/>
      <c r="N225" s="43"/>
      <c r="O225" s="14"/>
      <c r="P225" s="14"/>
      <c r="Q225" s="14"/>
      <c r="R225" s="14"/>
      <c r="S225" s="14"/>
      <c r="T225" s="14"/>
      <c r="U225" s="14"/>
      <c r="V225" s="14"/>
      <c r="W225" s="14"/>
      <c r="X225" s="45"/>
    </row>
    <row r="226" spans="1:24">
      <c r="A226" s="69"/>
      <c r="B226" s="43"/>
      <c r="C226" s="29" t="s">
        <v>106</v>
      </c>
      <c r="D226" s="14">
        <f>ROUND(H213/SQRT(C218*H215),4)</f>
        <v>1.33</v>
      </c>
      <c r="E226" s="14"/>
      <c r="F226" s="14"/>
      <c r="G226" s="14"/>
      <c r="H226" s="14"/>
      <c r="I226" s="14"/>
      <c r="J226" s="14"/>
      <c r="K226" s="14"/>
      <c r="L226" s="45"/>
      <c r="M226" s="69"/>
      <c r="N226" s="43"/>
      <c r="O226" s="29" t="s">
        <v>106</v>
      </c>
      <c r="P226" s="14">
        <f>ROUND(T213/SQRT(O218*T215),4)</f>
        <v>1.33</v>
      </c>
      <c r="Q226" s="14"/>
      <c r="R226" s="14"/>
      <c r="S226" s="14"/>
      <c r="T226" s="14"/>
      <c r="U226" s="14"/>
      <c r="V226" s="14"/>
      <c r="W226" s="14"/>
      <c r="X226" s="45"/>
    </row>
    <row r="227" spans="1:24">
      <c r="A227" s="69"/>
      <c r="B227" s="43"/>
      <c r="C227" s="29" t="s">
        <v>107</v>
      </c>
      <c r="D227" s="14">
        <f>ABS(D226)</f>
        <v>1.33</v>
      </c>
      <c r="E227" s="14"/>
      <c r="F227" s="14"/>
      <c r="G227" s="14"/>
      <c r="H227" s="14"/>
      <c r="I227" s="14"/>
      <c r="J227" s="14"/>
      <c r="K227" s="14"/>
      <c r="L227" s="45"/>
      <c r="M227" s="69"/>
      <c r="N227" s="43"/>
      <c r="O227" s="29" t="s">
        <v>107</v>
      </c>
      <c r="P227" s="14">
        <f>ABS(P226)</f>
        <v>1.33</v>
      </c>
      <c r="Q227" s="14"/>
      <c r="R227" s="14"/>
      <c r="S227" s="14"/>
      <c r="T227" s="14"/>
      <c r="U227" s="14"/>
      <c r="V227" s="14"/>
      <c r="W227" s="14"/>
      <c r="X227" s="45"/>
    </row>
    <row r="228" spans="1:24" ht="13.5" thickBot="1">
      <c r="A228" s="69"/>
      <c r="B228" s="47" t="str">
        <f>IF(ABS(D226)&gt;ROUND(D222,4), "Como |"&amp;ROUND(D226,2)&amp;"| &gt; "&amp;ROUND(D222,4)&amp;" então rejeita-se H0, logo a um nível de significância de "&amp;D220*100&amp;"% há evidencia estatística suficiente para se concluir que "&amp;G213&amp;" é não nulo","Como |"&amp;ROUND(D226,2)&amp;"|  ≤ "&amp;ROUND(D222,4)&amp;" então não se rejeita H0, logo a um nível de significância de "&amp;D220*100&amp;"% há evidencia estatística suficiente para se concluir que "&amp;G213&amp;" é nulo")</f>
        <v>Como |1,33|  ≤ 2,23 então não se rejeita H0, logo a um nível de significância de 5% há evidencia estatística suficiente para se concluir que β1= é nulo</v>
      </c>
      <c r="C228" s="28"/>
      <c r="D228" s="28"/>
      <c r="E228" s="28"/>
      <c r="F228" s="28"/>
      <c r="G228" s="28"/>
      <c r="H228" s="28"/>
      <c r="I228" s="28"/>
      <c r="J228" s="28"/>
      <c r="K228" s="49"/>
      <c r="L228" s="49"/>
      <c r="M228" s="69"/>
      <c r="N228" s="47" t="str">
        <f>IF(ABS(P226)&gt;ROUND(P222,4), "Como |"&amp;ROUND(P226,2)&amp;"| &gt; "&amp;ROUND(P222,4)&amp;" então rejeita-se H0, logo a um nível de significância de "&amp;P220*100&amp;"% há evidencia estatística suficiente para se concluir que "&amp;S213&amp;" é não nulo","Como |"&amp;ROUND(P226,2)&amp;"|  ≤ "&amp;ROUND(P222,4)&amp;" então não se rejeita H0, logo a um nível de significância de "&amp;P220*100&amp;"% há evidencia estatística suficiente para se concluir que "&amp;S213&amp;" é nulo")</f>
        <v>Como |1,33|  ≤ 3,17 então não se rejeita H0, logo a um nível de significância de 1% há evidencia estatística suficiente para se concluir que β1= é nulo</v>
      </c>
      <c r="O228" s="28"/>
      <c r="P228" s="28"/>
      <c r="Q228" s="28"/>
      <c r="R228" s="28"/>
      <c r="S228" s="28"/>
      <c r="T228" s="28"/>
      <c r="U228" s="28"/>
      <c r="V228" s="28"/>
      <c r="W228" s="49"/>
      <c r="X228" s="49"/>
    </row>
    <row r="229" spans="1:24" ht="13.5" thickBot="1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</row>
    <row r="230" spans="1:24">
      <c r="A230" s="69"/>
      <c r="B230" s="39"/>
      <c r="C230" s="41"/>
      <c r="D230" s="41"/>
      <c r="E230" s="41"/>
      <c r="F230" s="41"/>
      <c r="G230" s="41"/>
      <c r="H230" s="41"/>
      <c r="I230" s="41"/>
      <c r="J230" s="41"/>
      <c r="K230" s="41"/>
      <c r="L230" s="42"/>
      <c r="M230" s="69"/>
      <c r="N230" s="39"/>
      <c r="O230" s="41"/>
      <c r="P230" s="41"/>
      <c r="Q230" s="41"/>
      <c r="R230" s="41"/>
      <c r="S230" s="41"/>
      <c r="T230" s="41"/>
      <c r="U230" s="41"/>
      <c r="V230" s="41"/>
      <c r="W230" s="41"/>
      <c r="X230" s="42"/>
    </row>
    <row r="231" spans="1:24">
      <c r="A231" s="21" t="s">
        <v>103</v>
      </c>
      <c r="B231" s="43"/>
      <c r="C231" s="14"/>
      <c r="D231" s="14"/>
      <c r="E231" s="14"/>
      <c r="F231" s="14"/>
      <c r="G231" s="29" t="str">
        <f>A234&amp;"="</f>
        <v>β2=</v>
      </c>
      <c r="H231" s="14">
        <f>H114</f>
        <v>2.134621617811387</v>
      </c>
      <c r="I231" s="14"/>
      <c r="J231" s="14"/>
      <c r="K231" s="14"/>
      <c r="L231" s="45"/>
      <c r="M231" s="69"/>
      <c r="N231" s="43"/>
      <c r="O231" s="14"/>
      <c r="P231" s="14"/>
      <c r="Q231" s="14"/>
      <c r="R231" s="14"/>
      <c r="S231" s="29" t="str">
        <f>G231</f>
        <v>β2=</v>
      </c>
      <c r="T231" s="29">
        <f>H231</f>
        <v>2.134621617811387</v>
      </c>
      <c r="U231" s="14"/>
      <c r="V231" s="14"/>
      <c r="W231" s="14"/>
      <c r="X231" s="45"/>
    </row>
    <row r="232" spans="1:24">
      <c r="A232" s="21" t="s">
        <v>83</v>
      </c>
      <c r="B232" s="43"/>
      <c r="C232" s="14"/>
      <c r="D232" s="14"/>
      <c r="E232" s="14"/>
      <c r="F232" s="14"/>
      <c r="G232" s="14"/>
      <c r="H232" s="14"/>
      <c r="I232" s="14"/>
      <c r="J232" s="14"/>
      <c r="K232" s="14"/>
      <c r="L232" s="45"/>
      <c r="M232" s="69"/>
      <c r="N232" s="43"/>
      <c r="O232" s="14"/>
      <c r="P232" s="14"/>
      <c r="Q232" s="14"/>
      <c r="R232" s="14"/>
      <c r="S232" s="14"/>
      <c r="T232" s="14"/>
      <c r="U232" s="14"/>
      <c r="V232" s="14"/>
      <c r="W232" s="14"/>
      <c r="X232" s="45"/>
    </row>
    <row r="233" spans="1:24">
      <c r="A233" s="21" t="s">
        <v>104</v>
      </c>
      <c r="B233" s="43"/>
      <c r="C233" s="14"/>
      <c r="D233" s="14"/>
      <c r="E233" s="14"/>
      <c r="F233" s="14"/>
      <c r="G233" s="14"/>
      <c r="H233" s="14">
        <f>D119</f>
        <v>3.0936003535666344E-6</v>
      </c>
      <c r="I233" s="14"/>
      <c r="J233" s="14"/>
      <c r="K233" s="14"/>
      <c r="L233" s="45"/>
      <c r="M233" s="69"/>
      <c r="N233" s="43"/>
      <c r="O233" s="14"/>
      <c r="P233" s="14"/>
      <c r="Q233" s="14"/>
      <c r="R233" s="14"/>
      <c r="S233" s="14"/>
      <c r="T233" s="29">
        <f>H233</f>
        <v>3.0936003535666344E-6</v>
      </c>
      <c r="U233" s="14"/>
      <c r="V233" s="14"/>
      <c r="W233" s="14"/>
      <c r="X233" s="45"/>
    </row>
    <row r="234" spans="1:24">
      <c r="A234" s="21" t="s">
        <v>86</v>
      </c>
      <c r="B234" s="43"/>
      <c r="C234" s="14"/>
      <c r="D234" s="14"/>
      <c r="E234" s="14"/>
      <c r="F234" s="14"/>
      <c r="G234" s="14"/>
      <c r="H234" s="14"/>
      <c r="I234" s="14"/>
      <c r="J234" s="14"/>
      <c r="K234" s="14"/>
      <c r="L234" s="45"/>
      <c r="M234" s="69"/>
      <c r="N234" s="43"/>
      <c r="O234" s="14"/>
      <c r="P234" s="14"/>
      <c r="Q234" s="14"/>
      <c r="R234" s="14"/>
      <c r="S234" s="14"/>
      <c r="T234" s="14"/>
      <c r="U234" s="14"/>
      <c r="V234" s="14"/>
      <c r="W234" s="14"/>
      <c r="X234" s="45"/>
    </row>
    <row r="235" spans="1:24">
      <c r="A235" s="69"/>
      <c r="B235" s="43"/>
      <c r="C235" s="14"/>
      <c r="D235" s="14"/>
      <c r="E235" s="14"/>
      <c r="F235" s="14"/>
      <c r="G235" s="14"/>
      <c r="H235" s="14"/>
      <c r="I235" s="14"/>
      <c r="J235" s="14"/>
      <c r="K235" s="14"/>
      <c r="L235" s="45"/>
      <c r="M235" s="69"/>
      <c r="N235" s="43"/>
      <c r="O235" s="14"/>
      <c r="P235" s="14"/>
      <c r="Q235" s="14"/>
      <c r="R235" s="14"/>
      <c r="S235" s="14"/>
      <c r="T235" s="14"/>
      <c r="U235" s="14"/>
      <c r="V235" s="14"/>
      <c r="W235" s="14"/>
      <c r="X235" s="45"/>
    </row>
    <row r="236" spans="1:24">
      <c r="A236" s="69"/>
      <c r="B236" s="43"/>
      <c r="C236" s="14">
        <f>D54</f>
        <v>2473169.1937003611</v>
      </c>
      <c r="D236" s="14"/>
      <c r="E236" s="14"/>
      <c r="F236" s="14"/>
      <c r="G236" s="14"/>
      <c r="H236" s="14"/>
      <c r="I236" s="14"/>
      <c r="J236" s="14"/>
      <c r="K236" s="14"/>
      <c r="L236" s="45"/>
      <c r="M236" s="69"/>
      <c r="N236" s="43"/>
      <c r="O236" s="29">
        <f>C236</f>
        <v>2473169.1937003611</v>
      </c>
      <c r="P236" s="14"/>
      <c r="Q236" s="14"/>
      <c r="R236" s="14"/>
      <c r="S236" s="14"/>
      <c r="T236" s="14"/>
      <c r="U236" s="14"/>
      <c r="V236" s="14"/>
      <c r="W236" s="14"/>
      <c r="X236" s="45"/>
    </row>
    <row r="237" spans="1:24">
      <c r="A237" s="69"/>
      <c r="B237" s="43"/>
      <c r="C237" s="14"/>
      <c r="D237" s="14"/>
      <c r="E237" s="14"/>
      <c r="F237" s="14"/>
      <c r="G237" s="14"/>
      <c r="H237" s="14"/>
      <c r="I237" s="14"/>
      <c r="J237" s="14"/>
      <c r="K237" s="14"/>
      <c r="L237" s="45"/>
      <c r="M237" s="69"/>
      <c r="N237" s="43"/>
      <c r="O237" s="14"/>
      <c r="P237" s="14"/>
      <c r="Q237" s="14"/>
      <c r="R237" s="14"/>
      <c r="S237" s="14"/>
      <c r="T237" s="14"/>
      <c r="U237" s="14"/>
      <c r="V237" s="14"/>
      <c r="W237" s="14"/>
      <c r="X237" s="45"/>
    </row>
    <row r="238" spans="1:24">
      <c r="A238" s="69"/>
      <c r="B238" s="43"/>
      <c r="C238" s="44" t="s">
        <v>105</v>
      </c>
      <c r="D238" s="14">
        <v>0.05</v>
      </c>
      <c r="E238" s="14"/>
      <c r="F238" s="14"/>
      <c r="G238" s="29" t="s">
        <v>108</v>
      </c>
      <c r="H238" s="14" t="str">
        <f>"]-∞;-"&amp;ROUND(D240,4)&amp;"[ U ]"&amp;ROUND(D240,4)&amp;";+∞["</f>
        <v>]-∞;-2,23[ U ]2,23;+∞[</v>
      </c>
      <c r="I238" s="14"/>
      <c r="J238" s="14"/>
      <c r="K238" s="14"/>
      <c r="L238" s="45"/>
      <c r="M238" s="69"/>
      <c r="N238" s="43"/>
      <c r="O238" s="44" t="s">
        <v>105</v>
      </c>
      <c r="P238" s="14">
        <v>0.01</v>
      </c>
      <c r="Q238" s="14"/>
      <c r="R238" s="14"/>
      <c r="S238" s="29" t="s">
        <v>108</v>
      </c>
      <c r="T238" s="14" t="str">
        <f>"]-∞;-"&amp;ROUND(P240,4)&amp;"[ U ]"&amp;ROUND(P240,4)&amp;";+∞["</f>
        <v>]-∞;-3,17[ U ]3,17;+∞[</v>
      </c>
      <c r="U238" s="14"/>
      <c r="V238" s="14"/>
      <c r="W238" s="14"/>
      <c r="X238" s="45"/>
    </row>
    <row r="239" spans="1:24">
      <c r="A239" s="69"/>
      <c r="B239" s="43"/>
      <c r="C239" s="44"/>
      <c r="D239" s="14"/>
      <c r="E239" s="14"/>
      <c r="F239" s="14"/>
      <c r="G239" s="14"/>
      <c r="H239" s="14"/>
      <c r="I239" s="14"/>
      <c r="J239" s="14"/>
      <c r="K239" s="14"/>
      <c r="L239" s="45"/>
      <c r="M239" s="69"/>
      <c r="N239" s="43"/>
      <c r="O239" s="44"/>
      <c r="P239" s="14"/>
      <c r="Q239" s="14"/>
      <c r="R239" s="14"/>
      <c r="S239" s="14"/>
      <c r="T239" s="14"/>
      <c r="U239" s="14"/>
      <c r="V239" s="14"/>
      <c r="W239" s="14"/>
      <c r="X239" s="45"/>
    </row>
    <row r="240" spans="1:24">
      <c r="A240" s="69"/>
      <c r="B240" s="43"/>
      <c r="C240" s="14"/>
      <c r="D240" s="14">
        <f>ROUND(_xlfn.T.INV(1-D238/2,17-(6+1)),2)</f>
        <v>2.23</v>
      </c>
      <c r="E240" s="14"/>
      <c r="F240" s="14"/>
      <c r="G240" s="14"/>
      <c r="H240" s="14"/>
      <c r="I240" s="14"/>
      <c r="J240" s="14"/>
      <c r="K240" s="14"/>
      <c r="L240" s="45"/>
      <c r="M240" s="69"/>
      <c r="N240" s="43"/>
      <c r="O240" s="14"/>
      <c r="P240" s="14">
        <f>ROUND(_xlfn.T.INV(1-P238/2,17-(6+1)),2)</f>
        <v>3.17</v>
      </c>
      <c r="Q240" s="14"/>
      <c r="R240" s="14"/>
      <c r="S240" s="14"/>
      <c r="T240" s="14"/>
      <c r="U240" s="14"/>
      <c r="V240" s="14"/>
      <c r="W240" s="14"/>
      <c r="X240" s="45"/>
    </row>
    <row r="241" spans="1:24">
      <c r="A241" s="69"/>
      <c r="B241" s="43"/>
      <c r="C241" s="29"/>
      <c r="D241" s="14"/>
      <c r="E241" s="14"/>
      <c r="F241" s="14"/>
      <c r="G241" s="14"/>
      <c r="H241" s="14"/>
      <c r="I241" s="14"/>
      <c r="J241" s="14"/>
      <c r="K241" s="14"/>
      <c r="L241" s="45"/>
      <c r="M241" s="69"/>
      <c r="N241" s="43"/>
      <c r="O241" s="29"/>
      <c r="P241" s="14"/>
      <c r="Q241" s="14"/>
      <c r="R241" s="14"/>
      <c r="S241" s="14"/>
      <c r="T241" s="14"/>
      <c r="U241" s="14"/>
      <c r="V241" s="14"/>
      <c r="W241" s="14"/>
      <c r="X241" s="45"/>
    </row>
    <row r="242" spans="1:24">
      <c r="A242" s="69"/>
      <c r="B242" s="43"/>
      <c r="C242" s="14"/>
      <c r="D242" s="14"/>
      <c r="E242" s="14"/>
      <c r="F242" s="14"/>
      <c r="G242" s="14"/>
      <c r="H242" s="14"/>
      <c r="I242" s="14"/>
      <c r="J242" s="14"/>
      <c r="K242" s="14"/>
      <c r="L242" s="45"/>
      <c r="M242" s="69"/>
      <c r="N242" s="43"/>
      <c r="O242" s="14"/>
      <c r="P242" s="14"/>
      <c r="Q242" s="14"/>
      <c r="R242" s="14"/>
      <c r="S242" s="14"/>
      <c r="T242" s="14"/>
      <c r="U242" s="14"/>
      <c r="V242" s="14"/>
      <c r="W242" s="14"/>
      <c r="X242" s="45"/>
    </row>
    <row r="243" spans="1:24">
      <c r="A243" s="69"/>
      <c r="B243" s="43"/>
      <c r="C243" s="14"/>
      <c r="D243" s="14"/>
      <c r="E243" s="14"/>
      <c r="F243" s="14"/>
      <c r="G243" s="14"/>
      <c r="H243" s="14"/>
      <c r="I243" s="14"/>
      <c r="J243" s="14"/>
      <c r="K243" s="14"/>
      <c r="L243" s="45"/>
      <c r="M243" s="69"/>
      <c r="N243" s="43"/>
      <c r="O243" s="14"/>
      <c r="P243" s="14"/>
      <c r="Q243" s="14"/>
      <c r="R243" s="14"/>
      <c r="S243" s="14"/>
      <c r="T243" s="14"/>
      <c r="U243" s="14"/>
      <c r="V243" s="14"/>
      <c r="W243" s="14"/>
      <c r="X243" s="45"/>
    </row>
    <row r="244" spans="1:24">
      <c r="A244" s="69"/>
      <c r="B244" s="43"/>
      <c r="C244" s="29" t="s">
        <v>106</v>
      </c>
      <c r="D244" s="14">
        <f>ROUND(H231/SQRT(C236*H233),4)</f>
        <v>0.77170000000000005</v>
      </c>
      <c r="E244" s="14"/>
      <c r="F244" s="14"/>
      <c r="G244" s="14"/>
      <c r="H244" s="14"/>
      <c r="I244" s="14"/>
      <c r="J244" s="14"/>
      <c r="K244" s="14"/>
      <c r="L244" s="45"/>
      <c r="M244" s="69"/>
      <c r="N244" s="43"/>
      <c r="O244" s="29" t="s">
        <v>106</v>
      </c>
      <c r="P244" s="14">
        <f>ROUND(T231/SQRT(O236*T233),4)</f>
        <v>0.77170000000000005</v>
      </c>
      <c r="Q244" s="14"/>
      <c r="R244" s="14"/>
      <c r="S244" s="14"/>
      <c r="T244" s="14"/>
      <c r="U244" s="14"/>
      <c r="V244" s="14"/>
      <c r="W244" s="14"/>
      <c r="X244" s="45"/>
    </row>
    <row r="245" spans="1:24">
      <c r="A245" s="69"/>
      <c r="B245" s="43"/>
      <c r="C245" s="29" t="s">
        <v>107</v>
      </c>
      <c r="D245" s="14">
        <f>ABS(D244)</f>
        <v>0.77170000000000005</v>
      </c>
      <c r="E245" s="14"/>
      <c r="F245" s="14"/>
      <c r="G245" s="14"/>
      <c r="H245" s="14"/>
      <c r="I245" s="14"/>
      <c r="J245" s="14"/>
      <c r="K245" s="14"/>
      <c r="L245" s="45"/>
      <c r="M245" s="69"/>
      <c r="N245" s="43"/>
      <c r="O245" s="29" t="s">
        <v>107</v>
      </c>
      <c r="P245" s="14">
        <f>ABS(P244)</f>
        <v>0.77170000000000005</v>
      </c>
      <c r="Q245" s="14"/>
      <c r="R245" s="14"/>
      <c r="S245" s="14"/>
      <c r="T245" s="14"/>
      <c r="U245" s="14"/>
      <c r="V245" s="14"/>
      <c r="W245" s="14"/>
      <c r="X245" s="45"/>
    </row>
    <row r="246" spans="1:24" ht="13.5" thickBot="1">
      <c r="A246" s="69"/>
      <c r="B246" s="47" t="str">
        <f>IF(ABS(D244)&gt;ROUND(D240,4), "Como |"&amp;ROUND(D244,2)&amp;"| &gt; "&amp;ROUND(D240,4)&amp;" então rejeita-se H0, logo a um nível de significância de "&amp;D238*100&amp;"% há evidencia estatística suficiente para se concluir que "&amp;G231&amp;" é não nulo","Como |"&amp;ROUND(D244,2)&amp;"|  ≤ "&amp;ROUND(D240,4)&amp;" então não se rejeita H0, logo a um nível de significância de "&amp;D238*100&amp;"% há evidencia estatística suficiente para se concluir que "&amp;G231&amp;" é nulo")</f>
        <v>Como |0,77|  ≤ 2,23 então não se rejeita H0, logo a um nível de significância de 5% há evidencia estatística suficiente para se concluir que β2= é nulo</v>
      </c>
      <c r="C246" s="28"/>
      <c r="D246" s="28"/>
      <c r="E246" s="28"/>
      <c r="F246" s="28"/>
      <c r="G246" s="28"/>
      <c r="H246" s="28"/>
      <c r="I246" s="28"/>
      <c r="J246" s="28"/>
      <c r="K246" s="49"/>
      <c r="L246" s="49"/>
      <c r="M246" s="69"/>
      <c r="N246" s="47" t="str">
        <f>IF(ABS(P244)&gt;ROUND(P240,4), "Como |"&amp;ROUND(P244,2)&amp;"| &gt; "&amp;ROUND(P240,4)&amp;" então rejeita-se H0, logo a um nível de significância de "&amp;P238*100&amp;"% há evidencia estatística suficiente para se concluir que "&amp;S231&amp;" é não nulo","Como |"&amp;ROUND(P244,2)&amp;"|  ≤ "&amp;ROUND(P240,4)&amp;" então não se rejeita H0, logo a um nível de significância de "&amp;P238*100&amp;"% há evidencia estatística suficiente para se concluir que "&amp;S231&amp;" é nulo")</f>
        <v>Como |0,77|  ≤ 3,17 então não se rejeita H0, logo a um nível de significância de 1% há evidencia estatística suficiente para se concluir que β2= é nulo</v>
      </c>
      <c r="O246" s="28"/>
      <c r="P246" s="28"/>
      <c r="Q246" s="28"/>
      <c r="R246" s="28"/>
      <c r="S246" s="28"/>
      <c r="T246" s="28"/>
      <c r="U246" s="28"/>
      <c r="V246" s="28"/>
      <c r="W246" s="49"/>
      <c r="X246" s="49"/>
    </row>
    <row r="247" spans="1:24" ht="13.5" thickBot="1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</row>
    <row r="248" spans="1:24">
      <c r="A248" s="69"/>
      <c r="B248" s="39"/>
      <c r="C248" s="41"/>
      <c r="D248" s="41"/>
      <c r="E248" s="41"/>
      <c r="F248" s="41"/>
      <c r="G248" s="41"/>
      <c r="H248" s="41"/>
      <c r="I248" s="41"/>
      <c r="J248" s="41"/>
      <c r="K248" s="41"/>
      <c r="L248" s="42"/>
      <c r="M248" s="69"/>
      <c r="N248" s="39"/>
      <c r="O248" s="41"/>
      <c r="P248" s="41"/>
      <c r="Q248" s="41"/>
      <c r="R248" s="41"/>
      <c r="S248" s="41"/>
      <c r="T248" s="41"/>
      <c r="U248" s="41"/>
      <c r="V248" s="41"/>
      <c r="W248" s="41"/>
      <c r="X248" s="42"/>
    </row>
    <row r="249" spans="1:24">
      <c r="A249" s="21" t="s">
        <v>103</v>
      </c>
      <c r="B249" s="43"/>
      <c r="C249" s="14"/>
      <c r="D249" s="14"/>
      <c r="E249" s="14"/>
      <c r="F249" s="14"/>
      <c r="G249" s="29" t="str">
        <f>A252&amp;"="</f>
        <v>β3=</v>
      </c>
      <c r="H249" s="14">
        <f>H124</f>
        <v>-0.80607828293527328</v>
      </c>
      <c r="I249" s="14"/>
      <c r="J249" s="14"/>
      <c r="K249" s="14"/>
      <c r="L249" s="45"/>
      <c r="M249" s="69"/>
      <c r="N249" s="43"/>
      <c r="O249" s="14"/>
      <c r="P249" s="14"/>
      <c r="Q249" s="14"/>
      <c r="R249" s="14"/>
      <c r="S249" s="29" t="str">
        <f>G249</f>
        <v>β3=</v>
      </c>
      <c r="T249" s="29">
        <f>H249</f>
        <v>-0.80607828293527328</v>
      </c>
      <c r="U249" s="14"/>
      <c r="V249" s="14"/>
      <c r="W249" s="14"/>
      <c r="X249" s="45"/>
    </row>
    <row r="250" spans="1:24">
      <c r="A250" s="21" t="s">
        <v>83</v>
      </c>
      <c r="B250" s="43"/>
      <c r="C250" s="14"/>
      <c r="D250" s="14"/>
      <c r="E250" s="14"/>
      <c r="F250" s="14"/>
      <c r="G250" s="14"/>
      <c r="H250" s="14"/>
      <c r="I250" s="14"/>
      <c r="J250" s="14"/>
      <c r="K250" s="14"/>
      <c r="L250" s="45"/>
      <c r="M250" s="69"/>
      <c r="N250" s="43"/>
      <c r="O250" s="14"/>
      <c r="P250" s="14"/>
      <c r="Q250" s="14"/>
      <c r="R250" s="14"/>
      <c r="S250" s="14"/>
      <c r="T250" s="14"/>
      <c r="U250" s="14"/>
      <c r="V250" s="14"/>
      <c r="W250" s="14"/>
      <c r="X250" s="45"/>
    </row>
    <row r="251" spans="1:24">
      <c r="A251" s="21" t="s">
        <v>104</v>
      </c>
      <c r="B251" s="43"/>
      <c r="C251" s="14"/>
      <c r="D251" s="14"/>
      <c r="E251" s="14"/>
      <c r="F251" s="14"/>
      <c r="G251" s="14"/>
      <c r="H251" s="14">
        <f>D129</f>
        <v>1.2343825290264708E-7</v>
      </c>
      <c r="I251" s="14"/>
      <c r="J251" s="14"/>
      <c r="K251" s="14"/>
      <c r="L251" s="45"/>
      <c r="M251" s="69"/>
      <c r="N251" s="43"/>
      <c r="O251" s="14"/>
      <c r="P251" s="14"/>
      <c r="Q251" s="14"/>
      <c r="R251" s="14"/>
      <c r="S251" s="14"/>
      <c r="T251" s="29">
        <f>H251</f>
        <v>1.2343825290264708E-7</v>
      </c>
      <c r="U251" s="14"/>
      <c r="V251" s="14"/>
      <c r="W251" s="14"/>
      <c r="X251" s="45"/>
    </row>
    <row r="252" spans="1:24">
      <c r="A252" s="21" t="s">
        <v>87</v>
      </c>
      <c r="B252" s="43"/>
      <c r="C252" s="14"/>
      <c r="D252" s="14"/>
      <c r="E252" s="14"/>
      <c r="F252" s="14"/>
      <c r="G252" s="14"/>
      <c r="H252" s="14"/>
      <c r="I252" s="14"/>
      <c r="J252" s="14"/>
      <c r="K252" s="14"/>
      <c r="L252" s="45"/>
      <c r="M252" s="69"/>
      <c r="N252" s="43"/>
      <c r="O252" s="14"/>
      <c r="P252" s="14"/>
      <c r="Q252" s="14"/>
      <c r="R252" s="14"/>
      <c r="S252" s="14"/>
      <c r="T252" s="14"/>
      <c r="U252" s="14"/>
      <c r="V252" s="14"/>
      <c r="W252" s="14"/>
      <c r="X252" s="45"/>
    </row>
    <row r="253" spans="1:24">
      <c r="A253" s="69"/>
      <c r="B253" s="43"/>
      <c r="C253" s="14"/>
      <c r="D253" s="14"/>
      <c r="E253" s="14"/>
      <c r="F253" s="14"/>
      <c r="G253" s="14"/>
      <c r="H253" s="14"/>
      <c r="I253" s="14"/>
      <c r="J253" s="14"/>
      <c r="K253" s="14"/>
      <c r="L253" s="45"/>
      <c r="M253" s="69"/>
      <c r="N253" s="43"/>
      <c r="O253" s="14"/>
      <c r="P253" s="14"/>
      <c r="Q253" s="14"/>
      <c r="R253" s="14"/>
      <c r="S253" s="14"/>
      <c r="T253" s="14"/>
      <c r="U253" s="14"/>
      <c r="V253" s="14"/>
      <c r="W253" s="14"/>
      <c r="X253" s="45"/>
    </row>
    <row r="254" spans="1:24">
      <c r="A254" s="69"/>
      <c r="B254" s="43"/>
      <c r="C254" s="14">
        <f>D54</f>
        <v>2473169.1937003611</v>
      </c>
      <c r="D254" s="14"/>
      <c r="E254" s="14"/>
      <c r="F254" s="14"/>
      <c r="G254" s="14"/>
      <c r="H254" s="14"/>
      <c r="I254" s="14"/>
      <c r="J254" s="14"/>
      <c r="K254" s="14"/>
      <c r="L254" s="45"/>
      <c r="M254" s="69"/>
      <c r="N254" s="43"/>
      <c r="O254" s="29">
        <f>C254</f>
        <v>2473169.1937003611</v>
      </c>
      <c r="P254" s="14"/>
      <c r="Q254" s="14"/>
      <c r="R254" s="14"/>
      <c r="S254" s="14"/>
      <c r="T254" s="14"/>
      <c r="U254" s="14"/>
      <c r="V254" s="14"/>
      <c r="W254" s="14"/>
      <c r="X254" s="45"/>
    </row>
    <row r="255" spans="1:24">
      <c r="A255" s="69"/>
      <c r="B255" s="43"/>
      <c r="C255" s="14"/>
      <c r="D255" s="14"/>
      <c r="E255" s="14"/>
      <c r="F255" s="14"/>
      <c r="G255" s="14"/>
      <c r="H255" s="14"/>
      <c r="I255" s="14"/>
      <c r="J255" s="14"/>
      <c r="K255" s="14"/>
      <c r="L255" s="45"/>
      <c r="M255" s="69"/>
      <c r="N255" s="43"/>
      <c r="O255" s="14"/>
      <c r="P255" s="14"/>
      <c r="Q255" s="14"/>
      <c r="R255" s="14"/>
      <c r="S255" s="14"/>
      <c r="T255" s="14"/>
      <c r="U255" s="14"/>
      <c r="V255" s="14"/>
      <c r="W255" s="14"/>
      <c r="X255" s="45"/>
    </row>
    <row r="256" spans="1:24">
      <c r="A256" s="69"/>
      <c r="B256" s="43"/>
      <c r="C256" s="44" t="s">
        <v>105</v>
      </c>
      <c r="D256" s="14">
        <v>0.05</v>
      </c>
      <c r="E256" s="14"/>
      <c r="F256" s="14"/>
      <c r="G256" s="29" t="s">
        <v>108</v>
      </c>
      <c r="H256" s="14" t="str">
        <f>"]-∞;-"&amp;ROUND(D258,4)&amp;"[ U ]"&amp;ROUND(D258,4)&amp;";+∞["</f>
        <v>]-∞;-2,23[ U ]2,23;+∞[</v>
      </c>
      <c r="I256" s="14"/>
      <c r="J256" s="14"/>
      <c r="K256" s="14"/>
      <c r="L256" s="45"/>
      <c r="M256" s="69"/>
      <c r="N256" s="43"/>
      <c r="O256" s="44" t="s">
        <v>105</v>
      </c>
      <c r="P256" s="14">
        <v>0.01</v>
      </c>
      <c r="Q256" s="14"/>
      <c r="R256" s="14"/>
      <c r="S256" s="29" t="s">
        <v>108</v>
      </c>
      <c r="T256" s="14" t="str">
        <f>"]-∞;-"&amp;ROUND(P258,4)&amp;"[ U ]"&amp;ROUND(P258,4)&amp;";+∞["</f>
        <v>]-∞;-3,17[ U ]3,17;+∞[</v>
      </c>
      <c r="U256" s="14"/>
      <c r="V256" s="14"/>
      <c r="W256" s="14"/>
      <c r="X256" s="45"/>
    </row>
    <row r="257" spans="1:24">
      <c r="A257" s="69"/>
      <c r="B257" s="43"/>
      <c r="C257" s="44"/>
      <c r="D257" s="14"/>
      <c r="E257" s="14"/>
      <c r="F257" s="14"/>
      <c r="G257" s="14"/>
      <c r="H257" s="14"/>
      <c r="I257" s="14"/>
      <c r="J257" s="14"/>
      <c r="K257" s="14"/>
      <c r="L257" s="45"/>
      <c r="M257" s="69"/>
      <c r="N257" s="43"/>
      <c r="O257" s="44"/>
      <c r="P257" s="14"/>
      <c r="Q257" s="14"/>
      <c r="R257" s="14"/>
      <c r="S257" s="14"/>
      <c r="T257" s="14"/>
      <c r="U257" s="14"/>
      <c r="V257" s="14"/>
      <c r="W257" s="14"/>
      <c r="X257" s="45"/>
    </row>
    <row r="258" spans="1:24">
      <c r="A258" s="69"/>
      <c r="B258" s="43"/>
      <c r="C258" s="14"/>
      <c r="D258" s="14">
        <f>ROUND(_xlfn.T.INV(1-D256/2,17-(6+1)),2)</f>
        <v>2.23</v>
      </c>
      <c r="E258" s="14"/>
      <c r="F258" s="14"/>
      <c r="G258" s="14"/>
      <c r="H258" s="14"/>
      <c r="I258" s="14"/>
      <c r="J258" s="14"/>
      <c r="K258" s="14"/>
      <c r="L258" s="45"/>
      <c r="M258" s="69"/>
      <c r="N258" s="43"/>
      <c r="O258" s="14"/>
      <c r="P258" s="14">
        <f>ROUND(_xlfn.T.INV(1-P256/2,17-(6+1)),2)</f>
        <v>3.17</v>
      </c>
      <c r="Q258" s="14"/>
      <c r="R258" s="14"/>
      <c r="S258" s="14"/>
      <c r="T258" s="14"/>
      <c r="U258" s="14"/>
      <c r="V258" s="14"/>
      <c r="W258" s="14"/>
      <c r="X258" s="45"/>
    </row>
    <row r="259" spans="1:24">
      <c r="A259" s="69"/>
      <c r="B259" s="43"/>
      <c r="C259" s="29"/>
      <c r="D259" s="14"/>
      <c r="E259" s="14"/>
      <c r="F259" s="14"/>
      <c r="G259" s="14"/>
      <c r="H259" s="14"/>
      <c r="I259" s="14"/>
      <c r="J259" s="14"/>
      <c r="K259" s="14"/>
      <c r="L259" s="45"/>
      <c r="M259" s="69"/>
      <c r="N259" s="43"/>
      <c r="O259" s="29"/>
      <c r="P259" s="14"/>
      <c r="Q259" s="14"/>
      <c r="R259" s="14"/>
      <c r="S259" s="14"/>
      <c r="T259" s="14"/>
      <c r="U259" s="14"/>
      <c r="V259" s="14"/>
      <c r="W259" s="14"/>
      <c r="X259" s="45"/>
    </row>
    <row r="260" spans="1:24">
      <c r="A260" s="69"/>
      <c r="B260" s="43"/>
      <c r="C260" s="14"/>
      <c r="D260" s="14"/>
      <c r="E260" s="14"/>
      <c r="F260" s="14"/>
      <c r="G260" s="14"/>
      <c r="H260" s="14"/>
      <c r="I260" s="14"/>
      <c r="J260" s="14"/>
      <c r="K260" s="14"/>
      <c r="L260" s="45"/>
      <c r="M260" s="69"/>
      <c r="N260" s="43"/>
      <c r="O260" s="14"/>
      <c r="P260" s="14"/>
      <c r="Q260" s="14"/>
      <c r="R260" s="14"/>
      <c r="S260" s="14"/>
      <c r="T260" s="14"/>
      <c r="U260" s="14"/>
      <c r="V260" s="14"/>
      <c r="W260" s="14"/>
      <c r="X260" s="45"/>
    </row>
    <row r="261" spans="1:24">
      <c r="A261" s="69"/>
      <c r="B261" s="43"/>
      <c r="C261" s="14"/>
      <c r="D261" s="14"/>
      <c r="E261" s="14"/>
      <c r="F261" s="14"/>
      <c r="G261" s="14"/>
      <c r="H261" s="14"/>
      <c r="I261" s="14"/>
      <c r="J261" s="14"/>
      <c r="K261" s="14"/>
      <c r="L261" s="45"/>
      <c r="M261" s="69"/>
      <c r="N261" s="43"/>
      <c r="O261" s="14"/>
      <c r="P261" s="14"/>
      <c r="Q261" s="14"/>
      <c r="R261" s="14"/>
      <c r="S261" s="14"/>
      <c r="T261" s="14"/>
      <c r="U261" s="14"/>
      <c r="V261" s="14"/>
      <c r="W261" s="14"/>
      <c r="X261" s="45"/>
    </row>
    <row r="262" spans="1:24">
      <c r="A262" s="69"/>
      <c r="B262" s="43"/>
      <c r="C262" s="29" t="s">
        <v>106</v>
      </c>
      <c r="D262" s="14">
        <f>ROUND(H249/SQRT(C254*H251),4)</f>
        <v>-1.4589000000000001</v>
      </c>
      <c r="E262" s="14"/>
      <c r="F262" s="14"/>
      <c r="G262" s="14"/>
      <c r="H262" s="14"/>
      <c r="I262" s="14"/>
      <c r="J262" s="14"/>
      <c r="K262" s="14"/>
      <c r="L262" s="45"/>
      <c r="M262" s="69"/>
      <c r="N262" s="43"/>
      <c r="O262" s="29" t="s">
        <v>106</v>
      </c>
      <c r="P262" s="14">
        <f>ROUND(T249/SQRT(O254*T251),4)</f>
        <v>-1.4589000000000001</v>
      </c>
      <c r="Q262" s="14"/>
      <c r="R262" s="14"/>
      <c r="S262" s="14"/>
      <c r="T262" s="14"/>
      <c r="U262" s="14"/>
      <c r="V262" s="14"/>
      <c r="W262" s="14"/>
      <c r="X262" s="45"/>
    </row>
    <row r="263" spans="1:24">
      <c r="A263" s="69"/>
      <c r="B263" s="43"/>
      <c r="C263" s="29" t="s">
        <v>107</v>
      </c>
      <c r="D263" s="14">
        <f>ABS(D262)</f>
        <v>1.4589000000000001</v>
      </c>
      <c r="E263" s="14"/>
      <c r="F263" s="14"/>
      <c r="G263" s="14"/>
      <c r="H263" s="14"/>
      <c r="I263" s="14"/>
      <c r="J263" s="14"/>
      <c r="K263" s="14"/>
      <c r="L263" s="45"/>
      <c r="M263" s="69"/>
      <c r="N263" s="43"/>
      <c r="O263" s="29" t="s">
        <v>107</v>
      </c>
      <c r="P263" s="14">
        <f>ABS(P262)</f>
        <v>1.4589000000000001</v>
      </c>
      <c r="Q263" s="14"/>
      <c r="R263" s="14"/>
      <c r="S263" s="14"/>
      <c r="T263" s="14"/>
      <c r="U263" s="14"/>
      <c r="V263" s="14"/>
      <c r="W263" s="14"/>
      <c r="X263" s="45"/>
    </row>
    <row r="264" spans="1:24" ht="13.5" thickBot="1">
      <c r="A264" s="69"/>
      <c r="B264" s="47" t="str">
        <f>IF(ABS(D262)&gt;ROUND(D258,4), "Como |"&amp;ROUND(D262,2)&amp;"| &gt; "&amp;ROUND(D258,4)&amp;" então rejeita-se H0, logo a um nível de significância de "&amp;D256*100&amp;"% há evidencia estatística suficiente para se concluir que "&amp;G249&amp;" é não nulo","Como |"&amp;ROUND(D262,2)&amp;"|  ≤ "&amp;ROUND(D258,4)&amp;" então não se rejeita H0, logo a um nível de significância de "&amp;D256*100&amp;"% há evidencia estatística suficiente para se concluir que "&amp;G249&amp;" é nulo")</f>
        <v>Como |-1,46|  ≤ 2,23 então não se rejeita H0, logo a um nível de significância de 5% há evidencia estatística suficiente para se concluir que β3= é nulo</v>
      </c>
      <c r="C264" s="28"/>
      <c r="D264" s="28"/>
      <c r="E264" s="28"/>
      <c r="F264" s="28"/>
      <c r="G264" s="28"/>
      <c r="H264" s="28"/>
      <c r="I264" s="28"/>
      <c r="J264" s="28"/>
      <c r="K264" s="49"/>
      <c r="L264" s="49"/>
      <c r="M264" s="69"/>
      <c r="N264" s="47" t="str">
        <f>IF(ABS(P262)&gt;ROUND(P258,4), "Como |"&amp;ROUND(P262,2)&amp;"| &gt; "&amp;ROUND(P258,4)&amp;" então rejeita-se H0, logo a um nível de significância de "&amp;P256*100&amp;"% há evidencia estatística suficiente para se concluir que "&amp;S249&amp;" é não nulo","Como |"&amp;ROUND(P262,2)&amp;"|  ≤ "&amp;ROUND(P258,4)&amp;" então não se rejeita H0, logo a um nível de significância de "&amp;P256*100&amp;"% há evidencia estatística suficiente para se concluir que "&amp;S249&amp;" é nulo")</f>
        <v>Como |-1,46|  ≤ 3,17 então não se rejeita H0, logo a um nível de significância de 1% há evidencia estatística suficiente para se concluir que β3= é nulo</v>
      </c>
      <c r="O264" s="28"/>
      <c r="P264" s="28"/>
      <c r="Q264" s="28"/>
      <c r="R264" s="28"/>
      <c r="S264" s="28"/>
      <c r="T264" s="28"/>
      <c r="U264" s="28"/>
      <c r="V264" s="28"/>
      <c r="W264" s="49"/>
      <c r="X264" s="49"/>
    </row>
    <row r="265" spans="1:24" ht="13.5" thickBot="1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</row>
    <row r="266" spans="1:24">
      <c r="A266" s="69"/>
      <c r="B266" s="39"/>
      <c r="C266" s="41"/>
      <c r="D266" s="41"/>
      <c r="E266" s="41"/>
      <c r="F266" s="41"/>
      <c r="G266" s="41"/>
      <c r="H266" s="41"/>
      <c r="I266" s="41"/>
      <c r="J266" s="41"/>
      <c r="K266" s="41"/>
      <c r="L266" s="42"/>
      <c r="M266" s="69"/>
      <c r="N266" s="39"/>
      <c r="O266" s="41"/>
      <c r="P266" s="41"/>
      <c r="Q266" s="41"/>
      <c r="R266" s="41"/>
      <c r="S266" s="41"/>
      <c r="T266" s="41"/>
      <c r="U266" s="41"/>
      <c r="V266" s="41"/>
      <c r="W266" s="41"/>
      <c r="X266" s="42"/>
    </row>
    <row r="267" spans="1:24">
      <c r="A267" s="21" t="s">
        <v>103</v>
      </c>
      <c r="B267" s="43"/>
      <c r="C267" s="14"/>
      <c r="D267" s="14"/>
      <c r="E267" s="14"/>
      <c r="F267" s="14"/>
      <c r="G267" s="29" t="str">
        <f>A270&amp;"="</f>
        <v>β4=</v>
      </c>
      <c r="H267" s="14">
        <f>H134</f>
        <v>1.2848747945417297E-2</v>
      </c>
      <c r="I267" s="14"/>
      <c r="J267" s="14"/>
      <c r="K267" s="14"/>
      <c r="L267" s="45"/>
      <c r="M267" s="69"/>
      <c r="N267" s="43"/>
      <c r="O267" s="14"/>
      <c r="P267" s="14"/>
      <c r="Q267" s="14"/>
      <c r="R267" s="14"/>
      <c r="S267" s="29" t="str">
        <f>G267</f>
        <v>β4=</v>
      </c>
      <c r="T267" s="29">
        <f>H267</f>
        <v>1.2848747945417297E-2</v>
      </c>
      <c r="U267" s="14"/>
      <c r="V267" s="14"/>
      <c r="W267" s="14"/>
      <c r="X267" s="45"/>
    </row>
    <row r="268" spans="1:24">
      <c r="A268" s="21" t="s">
        <v>83</v>
      </c>
      <c r="B268" s="43"/>
      <c r="C268" s="14"/>
      <c r="D268" s="14"/>
      <c r="E268" s="14"/>
      <c r="F268" s="14"/>
      <c r="G268" s="14"/>
      <c r="H268" s="14"/>
      <c r="I268" s="14"/>
      <c r="J268" s="14"/>
      <c r="K268" s="14"/>
      <c r="L268" s="45"/>
      <c r="M268" s="69"/>
      <c r="N268" s="43"/>
      <c r="O268" s="14"/>
      <c r="P268" s="14"/>
      <c r="Q268" s="14"/>
      <c r="R268" s="14"/>
      <c r="S268" s="14"/>
      <c r="T268" s="14"/>
      <c r="U268" s="14"/>
      <c r="V268" s="14"/>
      <c r="W268" s="14"/>
      <c r="X268" s="45"/>
    </row>
    <row r="269" spans="1:24">
      <c r="A269" s="21" t="s">
        <v>104</v>
      </c>
      <c r="B269" s="43"/>
      <c r="C269" s="14"/>
      <c r="D269" s="14"/>
      <c r="E269" s="14"/>
      <c r="F269" s="14"/>
      <c r="G269" s="14"/>
      <c r="H269" s="14">
        <f>D139</f>
        <v>1.2003820364872178E-11</v>
      </c>
      <c r="I269" s="14"/>
      <c r="J269" s="14"/>
      <c r="K269" s="14"/>
      <c r="L269" s="45"/>
      <c r="M269" s="69"/>
      <c r="N269" s="43"/>
      <c r="O269" s="14"/>
      <c r="P269" s="14"/>
      <c r="Q269" s="14"/>
      <c r="R269" s="14"/>
      <c r="S269" s="14"/>
      <c r="T269" s="29">
        <f>H269</f>
        <v>1.2003820364872178E-11</v>
      </c>
      <c r="U269" s="14"/>
      <c r="V269" s="14"/>
      <c r="W269" s="14"/>
      <c r="X269" s="45"/>
    </row>
    <row r="270" spans="1:24">
      <c r="A270" s="21" t="s">
        <v>90</v>
      </c>
      <c r="B270" s="43"/>
      <c r="C270" s="14"/>
      <c r="D270" s="14"/>
      <c r="E270" s="14"/>
      <c r="F270" s="14"/>
      <c r="G270" s="14"/>
      <c r="H270" s="14"/>
      <c r="I270" s="14"/>
      <c r="J270" s="14"/>
      <c r="K270" s="14"/>
      <c r="L270" s="45"/>
      <c r="M270" s="69"/>
      <c r="N270" s="43"/>
      <c r="O270" s="14"/>
      <c r="P270" s="14"/>
      <c r="Q270" s="14"/>
      <c r="R270" s="14"/>
      <c r="S270" s="14"/>
      <c r="T270" s="14"/>
      <c r="U270" s="14"/>
      <c r="V270" s="14"/>
      <c r="W270" s="14"/>
      <c r="X270" s="45"/>
    </row>
    <row r="271" spans="1:24">
      <c r="A271" s="69"/>
      <c r="B271" s="43"/>
      <c r="C271" s="14"/>
      <c r="D271" s="14"/>
      <c r="E271" s="14"/>
      <c r="F271" s="14"/>
      <c r="G271" s="14"/>
      <c r="H271" s="14"/>
      <c r="I271" s="14"/>
      <c r="J271" s="14"/>
      <c r="K271" s="14"/>
      <c r="L271" s="45"/>
      <c r="M271" s="69"/>
      <c r="N271" s="43"/>
      <c r="O271" s="14"/>
      <c r="P271" s="14"/>
      <c r="Q271" s="14"/>
      <c r="R271" s="14"/>
      <c r="S271" s="14"/>
      <c r="T271" s="14"/>
      <c r="U271" s="14"/>
      <c r="V271" s="14"/>
      <c r="W271" s="14"/>
      <c r="X271" s="45"/>
    </row>
    <row r="272" spans="1:24">
      <c r="A272" s="69"/>
      <c r="B272" s="43"/>
      <c r="C272" s="14">
        <f>D54</f>
        <v>2473169.1937003611</v>
      </c>
      <c r="D272" s="14"/>
      <c r="E272" s="14"/>
      <c r="F272" s="14"/>
      <c r="G272" s="14"/>
      <c r="H272" s="14"/>
      <c r="I272" s="14"/>
      <c r="J272" s="14"/>
      <c r="K272" s="14"/>
      <c r="L272" s="45"/>
      <c r="M272" s="69"/>
      <c r="N272" s="43"/>
      <c r="O272" s="29">
        <f>C272</f>
        <v>2473169.1937003611</v>
      </c>
      <c r="P272" s="14"/>
      <c r="Q272" s="14"/>
      <c r="R272" s="14"/>
      <c r="S272" s="14"/>
      <c r="T272" s="14"/>
      <c r="U272" s="14"/>
      <c r="V272" s="14"/>
      <c r="W272" s="14"/>
      <c r="X272" s="45"/>
    </row>
    <row r="273" spans="1:24">
      <c r="A273" s="69"/>
      <c r="B273" s="43"/>
      <c r="C273" s="14"/>
      <c r="D273" s="14"/>
      <c r="E273" s="14"/>
      <c r="F273" s="14"/>
      <c r="G273" s="14"/>
      <c r="H273" s="14"/>
      <c r="I273" s="14"/>
      <c r="J273" s="14"/>
      <c r="K273" s="14"/>
      <c r="L273" s="45"/>
      <c r="M273" s="69"/>
      <c r="N273" s="43"/>
      <c r="O273" s="14"/>
      <c r="P273" s="14"/>
      <c r="Q273" s="14"/>
      <c r="R273" s="14"/>
      <c r="S273" s="14"/>
      <c r="T273" s="14"/>
      <c r="U273" s="14"/>
      <c r="V273" s="14"/>
      <c r="W273" s="14"/>
      <c r="X273" s="45"/>
    </row>
    <row r="274" spans="1:24">
      <c r="A274" s="69"/>
      <c r="B274" s="43"/>
      <c r="C274" s="44" t="s">
        <v>105</v>
      </c>
      <c r="D274" s="14">
        <v>0.05</v>
      </c>
      <c r="E274" s="14"/>
      <c r="F274" s="14"/>
      <c r="G274" s="29" t="s">
        <v>108</v>
      </c>
      <c r="H274" s="14" t="str">
        <f>"]-∞;-"&amp;ROUND(D276,4)&amp;"[ U ]"&amp;ROUND(D276,4)&amp;";+∞["</f>
        <v>]-∞;-2,23[ U ]2,23;+∞[</v>
      </c>
      <c r="I274" s="14"/>
      <c r="J274" s="14"/>
      <c r="K274" s="14"/>
      <c r="L274" s="45"/>
      <c r="M274" s="69"/>
      <c r="N274" s="43"/>
      <c r="O274" s="44" t="s">
        <v>105</v>
      </c>
      <c r="P274" s="14">
        <v>0.01</v>
      </c>
      <c r="Q274" s="14"/>
      <c r="R274" s="14"/>
      <c r="S274" s="29" t="s">
        <v>108</v>
      </c>
      <c r="T274" s="14" t="str">
        <f>"]-∞;-"&amp;ROUND(P276,4)&amp;"[ U ]"&amp;ROUND(P276,4)&amp;";+∞["</f>
        <v>]-∞;-3,17[ U ]3,17;+∞[</v>
      </c>
      <c r="U274" s="14"/>
      <c r="V274" s="14"/>
      <c r="W274" s="14"/>
      <c r="X274" s="45"/>
    </row>
    <row r="275" spans="1:24">
      <c r="A275" s="69"/>
      <c r="B275" s="43"/>
      <c r="C275" s="44"/>
      <c r="D275" s="14"/>
      <c r="E275" s="14"/>
      <c r="F275" s="14"/>
      <c r="G275" s="14"/>
      <c r="H275" s="14"/>
      <c r="I275" s="14"/>
      <c r="J275" s="14"/>
      <c r="K275" s="14"/>
      <c r="L275" s="45"/>
      <c r="M275" s="69"/>
      <c r="N275" s="43"/>
      <c r="O275" s="44"/>
      <c r="P275" s="14"/>
      <c r="Q275" s="14"/>
      <c r="R275" s="14"/>
      <c r="S275" s="14"/>
      <c r="T275" s="14"/>
      <c r="U275" s="14"/>
      <c r="V275" s="14"/>
      <c r="W275" s="14"/>
      <c r="X275" s="45"/>
    </row>
    <row r="276" spans="1:24">
      <c r="A276" s="69"/>
      <c r="B276" s="43"/>
      <c r="C276" s="14"/>
      <c r="D276" s="14">
        <f>ROUND(_xlfn.T.INV(1-D274/2,17-(6+1)),2)</f>
        <v>2.23</v>
      </c>
      <c r="E276" s="14"/>
      <c r="F276" s="14"/>
      <c r="G276" s="14"/>
      <c r="H276" s="14"/>
      <c r="I276" s="14"/>
      <c r="J276" s="14"/>
      <c r="K276" s="14"/>
      <c r="L276" s="45"/>
      <c r="M276" s="69"/>
      <c r="N276" s="43"/>
      <c r="O276" s="14"/>
      <c r="P276" s="14">
        <f>ROUND(_xlfn.T.INV(1-P274/2,17-(6+1)),2)</f>
        <v>3.17</v>
      </c>
      <c r="Q276" s="14"/>
      <c r="R276" s="14"/>
      <c r="S276" s="14"/>
      <c r="T276" s="14"/>
      <c r="U276" s="14"/>
      <c r="V276" s="14"/>
      <c r="W276" s="14"/>
      <c r="X276" s="45"/>
    </row>
    <row r="277" spans="1:24">
      <c r="A277" s="69"/>
      <c r="B277" s="43"/>
      <c r="C277" s="29"/>
      <c r="D277" s="14"/>
      <c r="E277" s="14"/>
      <c r="F277" s="14"/>
      <c r="G277" s="14"/>
      <c r="H277" s="14"/>
      <c r="I277" s="14"/>
      <c r="J277" s="14"/>
      <c r="K277" s="14"/>
      <c r="L277" s="45"/>
      <c r="M277" s="69"/>
      <c r="N277" s="43"/>
      <c r="O277" s="29"/>
      <c r="P277" s="14"/>
      <c r="Q277" s="14"/>
      <c r="R277" s="14"/>
      <c r="S277" s="14"/>
      <c r="T277" s="14"/>
      <c r="U277" s="14"/>
      <c r="V277" s="14"/>
      <c r="W277" s="14"/>
      <c r="X277" s="45"/>
    </row>
    <row r="278" spans="1:24">
      <c r="A278" s="69"/>
      <c r="B278" s="43"/>
      <c r="C278" s="14"/>
      <c r="D278" s="14"/>
      <c r="E278" s="14"/>
      <c r="F278" s="14"/>
      <c r="G278" s="14"/>
      <c r="H278" s="14"/>
      <c r="I278" s="14"/>
      <c r="J278" s="14"/>
      <c r="K278" s="14"/>
      <c r="L278" s="45"/>
      <c r="M278" s="69"/>
      <c r="N278" s="43"/>
      <c r="O278" s="14"/>
      <c r="P278" s="14"/>
      <c r="Q278" s="14"/>
      <c r="R278" s="14"/>
      <c r="S278" s="14"/>
      <c r="T278" s="14"/>
      <c r="U278" s="14"/>
      <c r="V278" s="14"/>
      <c r="W278" s="14"/>
      <c r="X278" s="45"/>
    </row>
    <row r="279" spans="1:24">
      <c r="A279" s="69"/>
      <c r="B279" s="43"/>
      <c r="C279" s="14"/>
      <c r="D279" s="14"/>
      <c r="E279" s="14"/>
      <c r="F279" s="14"/>
      <c r="G279" s="14"/>
      <c r="H279" s="14"/>
      <c r="I279" s="14"/>
      <c r="J279" s="14"/>
      <c r="K279" s="14"/>
      <c r="L279" s="45"/>
      <c r="M279" s="69"/>
      <c r="N279" s="43"/>
      <c r="O279" s="14"/>
      <c r="P279" s="14"/>
      <c r="Q279" s="14"/>
      <c r="R279" s="14"/>
      <c r="S279" s="14"/>
      <c r="T279" s="14"/>
      <c r="U279" s="14"/>
      <c r="V279" s="14"/>
      <c r="W279" s="14"/>
      <c r="X279" s="45"/>
    </row>
    <row r="280" spans="1:24">
      <c r="A280" s="69"/>
      <c r="B280" s="43"/>
      <c r="C280" s="29" t="s">
        <v>106</v>
      </c>
      <c r="D280" s="14">
        <f>ROUND(H267/SQRT(C272*H269),4)</f>
        <v>2.3582000000000001</v>
      </c>
      <c r="E280" s="14"/>
      <c r="F280" s="14"/>
      <c r="G280" s="14"/>
      <c r="H280" s="14"/>
      <c r="I280" s="14"/>
      <c r="J280" s="14"/>
      <c r="K280" s="14"/>
      <c r="L280" s="45"/>
      <c r="M280" s="69"/>
      <c r="N280" s="43"/>
      <c r="O280" s="29" t="s">
        <v>106</v>
      </c>
      <c r="P280" s="14">
        <f>ROUND(T267/SQRT(O272*T269),4)</f>
        <v>2.3582000000000001</v>
      </c>
      <c r="Q280" s="14"/>
      <c r="R280" s="14"/>
      <c r="S280" s="14"/>
      <c r="T280" s="14"/>
      <c r="U280" s="14"/>
      <c r="V280" s="14"/>
      <c r="W280" s="14"/>
      <c r="X280" s="45"/>
    </row>
    <row r="281" spans="1:24">
      <c r="A281" s="69"/>
      <c r="B281" s="43"/>
      <c r="C281" s="29" t="s">
        <v>107</v>
      </c>
      <c r="D281" s="14">
        <f>ABS(D280)</f>
        <v>2.3582000000000001</v>
      </c>
      <c r="E281" s="14"/>
      <c r="F281" s="14"/>
      <c r="G281" s="14"/>
      <c r="H281" s="14"/>
      <c r="I281" s="14"/>
      <c r="J281" s="14"/>
      <c r="K281" s="14"/>
      <c r="L281" s="45"/>
      <c r="M281" s="69"/>
      <c r="N281" s="43"/>
      <c r="O281" s="29" t="s">
        <v>107</v>
      </c>
      <c r="P281" s="14">
        <f>ABS(P280)</f>
        <v>2.3582000000000001</v>
      </c>
      <c r="Q281" s="14"/>
      <c r="R281" s="14"/>
      <c r="S281" s="14"/>
      <c r="T281" s="14"/>
      <c r="U281" s="14"/>
      <c r="V281" s="14"/>
      <c r="W281" s="14"/>
      <c r="X281" s="45"/>
    </row>
    <row r="282" spans="1:24" ht="13.5" thickBot="1">
      <c r="A282" s="69"/>
      <c r="B282" s="47" t="str">
        <f>IF(ABS(D280)&gt;ROUND(D276,4), "Como |"&amp;ROUND(D280,2)&amp;"| &gt; "&amp;ROUND(D276,4)&amp;" então rejeita-se H0, logo a um nível de significância de "&amp;D274*100&amp;"% há evidencia estatística suficiente para se concluir que "&amp;G267&amp;" é não nulo","Como |"&amp;ROUND(D280,2)&amp;"|  ≤ "&amp;ROUND(D276,4)&amp;" então não se rejeita H0, logo a um nível de significância de "&amp;D274*100&amp;"% há evidencia estatística suficiente para se concluir que "&amp;G267&amp;" é nulo")</f>
        <v>Como |2,36| &gt; 2,23 então rejeita-se H0, logo a um nível de significância de 5% há evidencia estatística suficiente para se concluir que β4= é não nulo</v>
      </c>
      <c r="C282" s="28"/>
      <c r="D282" s="28"/>
      <c r="E282" s="28"/>
      <c r="F282" s="28"/>
      <c r="G282" s="28"/>
      <c r="H282" s="28"/>
      <c r="I282" s="28"/>
      <c r="J282" s="28"/>
      <c r="K282" s="49"/>
      <c r="L282" s="49"/>
      <c r="M282" s="69"/>
      <c r="N282" s="47" t="str">
        <f>IF(ABS(P280)&gt;ROUND(P276,4), "Como |"&amp;ROUND(P280,2)&amp;"| &gt; "&amp;ROUND(P276,4)&amp;" então rejeita-se H0, logo a um nível de significância de "&amp;P274*100&amp;"% há evidencia estatística suficiente para se concluir que "&amp;S267&amp;" é não nulo","Como |"&amp;ROUND(P280,2)&amp;"|  ≤ "&amp;ROUND(P276,4)&amp;" então não se rejeita H0, logo a um nível de significância de "&amp;P274*100&amp;"% há evidencia estatística suficiente para se concluir que "&amp;S267&amp;" é nulo")</f>
        <v>Como |2,36|  ≤ 3,17 então não se rejeita H0, logo a um nível de significância de 1% há evidencia estatística suficiente para se concluir que β4= é nulo</v>
      </c>
      <c r="O282" s="28"/>
      <c r="P282" s="28"/>
      <c r="Q282" s="28"/>
      <c r="R282" s="28"/>
      <c r="S282" s="28"/>
      <c r="T282" s="28"/>
      <c r="U282" s="28"/>
      <c r="V282" s="28"/>
      <c r="W282" s="49"/>
      <c r="X282" s="49"/>
    </row>
    <row r="283" spans="1:24" ht="13.5" thickBot="1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</row>
    <row r="284" spans="1:24">
      <c r="A284" s="69"/>
      <c r="B284" s="39"/>
      <c r="C284" s="41"/>
      <c r="D284" s="41"/>
      <c r="E284" s="41"/>
      <c r="F284" s="41"/>
      <c r="G284" s="41"/>
      <c r="H284" s="41"/>
      <c r="I284" s="41"/>
      <c r="J284" s="41"/>
      <c r="K284" s="41"/>
      <c r="L284" s="42"/>
      <c r="M284" s="69"/>
      <c r="N284" s="39"/>
      <c r="O284" s="41"/>
      <c r="P284" s="41"/>
      <c r="Q284" s="41"/>
      <c r="R284" s="41"/>
      <c r="S284" s="41"/>
      <c r="T284" s="41"/>
      <c r="U284" s="41"/>
      <c r="V284" s="41"/>
      <c r="W284" s="41"/>
      <c r="X284" s="42"/>
    </row>
    <row r="285" spans="1:24">
      <c r="A285" s="21" t="s">
        <v>103</v>
      </c>
      <c r="B285" s="43"/>
      <c r="C285" s="14"/>
      <c r="D285" s="14"/>
      <c r="E285" s="14"/>
      <c r="F285" s="14"/>
      <c r="G285" s="29" t="str">
        <f>A288&amp;"="</f>
        <v>β5=</v>
      </c>
      <c r="H285" s="14">
        <f>H144</f>
        <v>388060.49155980058</v>
      </c>
      <c r="I285" s="14"/>
      <c r="J285" s="14"/>
      <c r="K285" s="14"/>
      <c r="L285" s="45"/>
      <c r="M285" s="69"/>
      <c r="N285" s="43"/>
      <c r="O285" s="14"/>
      <c r="P285" s="14"/>
      <c r="Q285" s="14"/>
      <c r="R285" s="14"/>
      <c r="S285" s="29" t="str">
        <f>G285</f>
        <v>β5=</v>
      </c>
      <c r="T285" s="29">
        <f>H285</f>
        <v>388060.49155980058</v>
      </c>
      <c r="U285" s="14"/>
      <c r="V285" s="14"/>
      <c r="W285" s="14"/>
      <c r="X285" s="45"/>
    </row>
    <row r="286" spans="1:24">
      <c r="A286" s="21" t="s">
        <v>83</v>
      </c>
      <c r="B286" s="43"/>
      <c r="C286" s="14"/>
      <c r="D286" s="14"/>
      <c r="E286" s="14"/>
      <c r="F286" s="14"/>
      <c r="G286" s="14"/>
      <c r="H286" s="14"/>
      <c r="I286" s="14"/>
      <c r="J286" s="14"/>
      <c r="K286" s="14"/>
      <c r="L286" s="45"/>
      <c r="M286" s="69"/>
      <c r="N286" s="43"/>
      <c r="O286" s="14"/>
      <c r="P286" s="14"/>
      <c r="Q286" s="14"/>
      <c r="R286" s="14"/>
      <c r="S286" s="14"/>
      <c r="T286" s="14"/>
      <c r="U286" s="14"/>
      <c r="V286" s="14"/>
      <c r="W286" s="14"/>
      <c r="X286" s="45"/>
    </row>
    <row r="287" spans="1:24">
      <c r="A287" s="21" t="s">
        <v>104</v>
      </c>
      <c r="B287" s="43"/>
      <c r="C287" s="14"/>
      <c r="D287" s="14"/>
      <c r="E287" s="14"/>
      <c r="F287" s="14"/>
      <c r="G287" s="14"/>
      <c r="H287" s="14">
        <f>D149</f>
        <v>2027.2929127316982</v>
      </c>
      <c r="I287" s="14"/>
      <c r="J287" s="14"/>
      <c r="K287" s="14"/>
      <c r="L287" s="45"/>
      <c r="M287" s="69"/>
      <c r="N287" s="43"/>
      <c r="O287" s="14"/>
      <c r="P287" s="14"/>
      <c r="Q287" s="14"/>
      <c r="R287" s="14"/>
      <c r="S287" s="14"/>
      <c r="T287" s="29">
        <f>H287</f>
        <v>2027.2929127316982</v>
      </c>
      <c r="U287" s="14"/>
      <c r="V287" s="14"/>
      <c r="W287" s="14"/>
      <c r="X287" s="45"/>
    </row>
    <row r="288" spans="1:24">
      <c r="A288" s="21" t="s">
        <v>89</v>
      </c>
      <c r="B288" s="43"/>
      <c r="C288" s="14"/>
      <c r="D288" s="14"/>
      <c r="E288" s="14"/>
      <c r="F288" s="14"/>
      <c r="G288" s="14"/>
      <c r="H288" s="14"/>
      <c r="I288" s="14"/>
      <c r="J288" s="14"/>
      <c r="K288" s="14"/>
      <c r="L288" s="45"/>
      <c r="M288" s="69"/>
      <c r="N288" s="43"/>
      <c r="O288" s="14"/>
      <c r="P288" s="14"/>
      <c r="Q288" s="14"/>
      <c r="R288" s="14"/>
      <c r="S288" s="14"/>
      <c r="T288" s="14"/>
      <c r="U288" s="14"/>
      <c r="V288" s="14"/>
      <c r="W288" s="14"/>
      <c r="X288" s="45"/>
    </row>
    <row r="289" spans="1:24">
      <c r="A289" s="69"/>
      <c r="B289" s="43"/>
      <c r="C289" s="14"/>
      <c r="D289" s="14"/>
      <c r="E289" s="14"/>
      <c r="F289" s="14"/>
      <c r="G289" s="14"/>
      <c r="H289" s="14"/>
      <c r="I289" s="14"/>
      <c r="J289" s="14"/>
      <c r="K289" s="14"/>
      <c r="L289" s="45"/>
      <c r="M289" s="69"/>
      <c r="N289" s="43"/>
      <c r="O289" s="14"/>
      <c r="P289" s="14"/>
      <c r="Q289" s="14"/>
      <c r="R289" s="14"/>
      <c r="S289" s="14"/>
      <c r="T289" s="14"/>
      <c r="U289" s="14"/>
      <c r="V289" s="14"/>
      <c r="W289" s="14"/>
      <c r="X289" s="45"/>
    </row>
    <row r="290" spans="1:24">
      <c r="A290" s="69"/>
      <c r="B290" s="43"/>
      <c r="C290" s="14">
        <f>D54</f>
        <v>2473169.1937003611</v>
      </c>
      <c r="D290" s="14"/>
      <c r="E290" s="14"/>
      <c r="F290" s="14"/>
      <c r="G290" s="14"/>
      <c r="H290" s="14"/>
      <c r="I290" s="14"/>
      <c r="J290" s="14"/>
      <c r="K290" s="14"/>
      <c r="L290" s="45"/>
      <c r="M290" s="69"/>
      <c r="N290" s="43"/>
      <c r="O290" s="29">
        <f>C290</f>
        <v>2473169.1937003611</v>
      </c>
      <c r="P290" s="14"/>
      <c r="Q290" s="14"/>
      <c r="R290" s="14"/>
      <c r="S290" s="14"/>
      <c r="T290" s="14"/>
      <c r="U290" s="14"/>
      <c r="V290" s="14"/>
      <c r="W290" s="14"/>
      <c r="X290" s="45"/>
    </row>
    <row r="291" spans="1:24">
      <c r="A291" s="69"/>
      <c r="B291" s="43"/>
      <c r="C291" s="14"/>
      <c r="D291" s="14"/>
      <c r="E291" s="14"/>
      <c r="F291" s="14"/>
      <c r="G291" s="14"/>
      <c r="H291" s="14"/>
      <c r="I291" s="14"/>
      <c r="J291" s="14"/>
      <c r="K291" s="14"/>
      <c r="L291" s="45"/>
      <c r="M291" s="69"/>
      <c r="N291" s="43"/>
      <c r="O291" s="14"/>
      <c r="P291" s="14"/>
      <c r="Q291" s="14"/>
      <c r="R291" s="14"/>
      <c r="S291" s="14"/>
      <c r="T291" s="14"/>
      <c r="U291" s="14"/>
      <c r="V291" s="14"/>
      <c r="W291" s="14"/>
      <c r="X291" s="45"/>
    </row>
    <row r="292" spans="1:24">
      <c r="A292" s="69"/>
      <c r="B292" s="43"/>
      <c r="C292" s="44" t="s">
        <v>105</v>
      </c>
      <c r="D292" s="14">
        <v>0.05</v>
      </c>
      <c r="E292" s="14"/>
      <c r="F292" s="14"/>
      <c r="G292" s="29" t="s">
        <v>108</v>
      </c>
      <c r="H292" s="14" t="str">
        <f>"]-∞;-"&amp;ROUND(D294,4)&amp;"[ U ]"&amp;ROUND(D294,4)&amp;";+∞["</f>
        <v>]-∞;-2,23[ U ]2,23;+∞[</v>
      </c>
      <c r="I292" s="14"/>
      <c r="J292" s="14"/>
      <c r="K292" s="14"/>
      <c r="L292" s="45"/>
      <c r="M292" s="69"/>
      <c r="N292" s="43"/>
      <c r="O292" s="44" t="s">
        <v>105</v>
      </c>
      <c r="P292" s="14">
        <v>0.01</v>
      </c>
      <c r="Q292" s="14"/>
      <c r="R292" s="14"/>
      <c r="S292" s="29" t="s">
        <v>108</v>
      </c>
      <c r="T292" s="14" t="str">
        <f>"]-∞;-"&amp;ROUND(P294,4)&amp;"[ U ]"&amp;ROUND(P294,4)&amp;";+∞["</f>
        <v>]-∞;-3,17[ U ]3,17;+∞[</v>
      </c>
      <c r="U292" s="14"/>
      <c r="V292" s="14"/>
      <c r="W292" s="14"/>
      <c r="X292" s="45"/>
    </row>
    <row r="293" spans="1:24">
      <c r="A293" s="69"/>
      <c r="B293" s="43"/>
      <c r="C293" s="44"/>
      <c r="D293" s="14"/>
      <c r="E293" s="14"/>
      <c r="F293" s="14"/>
      <c r="G293" s="14"/>
      <c r="H293" s="14"/>
      <c r="I293" s="14"/>
      <c r="J293" s="14"/>
      <c r="K293" s="14"/>
      <c r="L293" s="45"/>
      <c r="M293" s="69"/>
      <c r="N293" s="43"/>
      <c r="O293" s="44"/>
      <c r="P293" s="14"/>
      <c r="Q293" s="14"/>
      <c r="R293" s="14"/>
      <c r="S293" s="14"/>
      <c r="T293" s="14"/>
      <c r="U293" s="14"/>
      <c r="V293" s="14"/>
      <c r="W293" s="14"/>
      <c r="X293" s="45"/>
    </row>
    <row r="294" spans="1:24">
      <c r="A294" s="69"/>
      <c r="B294" s="43"/>
      <c r="C294" s="14"/>
      <c r="D294" s="14">
        <f>ROUND(_xlfn.T.INV(1-D292/2,17-(6+1)),2)</f>
        <v>2.23</v>
      </c>
      <c r="E294" s="14"/>
      <c r="F294" s="14"/>
      <c r="G294" s="14"/>
      <c r="H294" s="14"/>
      <c r="I294" s="14"/>
      <c r="J294" s="14"/>
      <c r="K294" s="14"/>
      <c r="L294" s="45"/>
      <c r="M294" s="69"/>
      <c r="N294" s="43"/>
      <c r="O294" s="14"/>
      <c r="P294" s="14">
        <f>ROUND(_xlfn.T.INV(1-P292/2,17-(6+1)),2)</f>
        <v>3.17</v>
      </c>
      <c r="Q294" s="14"/>
      <c r="R294" s="14"/>
      <c r="S294" s="14"/>
      <c r="T294" s="14"/>
      <c r="U294" s="14"/>
      <c r="V294" s="14"/>
      <c r="W294" s="14"/>
      <c r="X294" s="45"/>
    </row>
    <row r="295" spans="1:24">
      <c r="A295" s="69"/>
      <c r="B295" s="43"/>
      <c r="C295" s="29"/>
      <c r="D295" s="14"/>
      <c r="E295" s="14"/>
      <c r="F295" s="14"/>
      <c r="G295" s="14"/>
      <c r="H295" s="14"/>
      <c r="I295" s="14"/>
      <c r="J295" s="14"/>
      <c r="K295" s="14"/>
      <c r="L295" s="45"/>
      <c r="M295" s="69"/>
      <c r="N295" s="43"/>
      <c r="O295" s="29"/>
      <c r="P295" s="14"/>
      <c r="Q295" s="14"/>
      <c r="R295" s="14"/>
      <c r="S295" s="14"/>
      <c r="T295" s="14"/>
      <c r="U295" s="14"/>
      <c r="V295" s="14"/>
      <c r="W295" s="14"/>
      <c r="X295" s="45"/>
    </row>
    <row r="296" spans="1:24">
      <c r="A296" s="69"/>
      <c r="B296" s="43"/>
      <c r="C296" s="14"/>
      <c r="D296" s="14"/>
      <c r="E296" s="14"/>
      <c r="F296" s="14"/>
      <c r="G296" s="14"/>
      <c r="H296" s="14"/>
      <c r="I296" s="14"/>
      <c r="J296" s="14"/>
      <c r="K296" s="14"/>
      <c r="L296" s="45"/>
      <c r="M296" s="69"/>
      <c r="N296" s="43"/>
      <c r="O296" s="14"/>
      <c r="P296" s="14"/>
      <c r="Q296" s="14"/>
      <c r="R296" s="14"/>
      <c r="S296" s="14"/>
      <c r="T296" s="14"/>
      <c r="U296" s="14"/>
      <c r="V296" s="14"/>
      <c r="W296" s="14"/>
      <c r="X296" s="45"/>
    </row>
    <row r="297" spans="1:24">
      <c r="A297" s="69"/>
      <c r="B297" s="43"/>
      <c r="C297" s="14"/>
      <c r="D297" s="14"/>
      <c r="E297" s="14"/>
      <c r="F297" s="14"/>
      <c r="G297" s="14"/>
      <c r="H297" s="14"/>
      <c r="I297" s="14"/>
      <c r="J297" s="14"/>
      <c r="K297" s="14"/>
      <c r="L297" s="45"/>
      <c r="M297" s="69"/>
      <c r="N297" s="43"/>
      <c r="O297" s="14"/>
      <c r="P297" s="14"/>
      <c r="Q297" s="14"/>
      <c r="R297" s="14"/>
      <c r="S297" s="14"/>
      <c r="T297" s="14"/>
      <c r="U297" s="14"/>
      <c r="V297" s="14"/>
      <c r="W297" s="14"/>
      <c r="X297" s="45"/>
    </row>
    <row r="298" spans="1:24">
      <c r="A298" s="69"/>
      <c r="B298" s="43"/>
      <c r="C298" s="29" t="s">
        <v>106</v>
      </c>
      <c r="D298" s="14">
        <f>ROUND(H285/SQRT(C290*H287),4)</f>
        <v>5.4804000000000004</v>
      </c>
      <c r="E298" s="14"/>
      <c r="F298" s="14"/>
      <c r="G298" s="14"/>
      <c r="H298" s="14"/>
      <c r="I298" s="14"/>
      <c r="J298" s="14"/>
      <c r="K298" s="14"/>
      <c r="L298" s="45"/>
      <c r="M298" s="69"/>
      <c r="N298" s="43"/>
      <c r="O298" s="29" t="s">
        <v>106</v>
      </c>
      <c r="P298" s="14">
        <f>ROUND(T285/SQRT(O290*T287),4)</f>
        <v>5.4804000000000004</v>
      </c>
      <c r="Q298" s="14"/>
      <c r="R298" s="14"/>
      <c r="S298" s="14"/>
      <c r="T298" s="14"/>
      <c r="U298" s="14"/>
      <c r="V298" s="14"/>
      <c r="W298" s="14"/>
      <c r="X298" s="45"/>
    </row>
    <row r="299" spans="1:24">
      <c r="A299" s="69"/>
      <c r="B299" s="43"/>
      <c r="C299" s="29" t="s">
        <v>107</v>
      </c>
      <c r="D299" s="14">
        <f>ABS(D298)</f>
        <v>5.4804000000000004</v>
      </c>
      <c r="E299" s="14"/>
      <c r="F299" s="14"/>
      <c r="G299" s="14"/>
      <c r="H299" s="14"/>
      <c r="I299" s="14"/>
      <c r="J299" s="14"/>
      <c r="K299" s="14"/>
      <c r="L299" s="45"/>
      <c r="M299" s="69"/>
      <c r="N299" s="43"/>
      <c r="O299" s="29" t="s">
        <v>107</v>
      </c>
      <c r="P299" s="14">
        <f>ABS(P298)</f>
        <v>5.4804000000000004</v>
      </c>
      <c r="Q299" s="14"/>
      <c r="R299" s="14"/>
      <c r="S299" s="14"/>
      <c r="T299" s="14"/>
      <c r="U299" s="14"/>
      <c r="V299" s="14"/>
      <c r="W299" s="14"/>
      <c r="X299" s="45"/>
    </row>
    <row r="300" spans="1:24" ht="13.5" thickBot="1">
      <c r="A300" s="69"/>
      <c r="B300" s="47" t="str">
        <f>IF(ABS(D298)&gt;ROUND(D294,4), "Como |"&amp;ROUND(D298,2)&amp;"| &gt; "&amp;ROUND(D294,4)&amp;" então rejeita-se H0, logo a um nível de significância de "&amp;D292*100&amp;"% há evidencia estatística suficiente para se concluir que "&amp;G285&amp;" é não nulo","Como |"&amp;ROUND(D298,2)&amp;"|  ≤ "&amp;ROUND(D294,4)&amp;" então não se rejeita H0, logo a um nível de significância de "&amp;D292*100&amp;"% há evidencia estatística suficiente para se concluir que "&amp;G285&amp;" é nulo")</f>
        <v>Como |5,48| &gt; 2,23 então rejeita-se H0, logo a um nível de significância de 5% há evidencia estatística suficiente para se concluir que β5= é não nulo</v>
      </c>
      <c r="C300" s="28"/>
      <c r="D300" s="28"/>
      <c r="E300" s="28"/>
      <c r="F300" s="28"/>
      <c r="G300" s="28"/>
      <c r="H300" s="28"/>
      <c r="I300" s="28"/>
      <c r="J300" s="28"/>
      <c r="K300" s="49"/>
      <c r="L300" s="49"/>
      <c r="M300" s="69"/>
      <c r="N300" s="47" t="str">
        <f>IF(ABS(P298)&gt;ROUND(P294,4), "Como |"&amp;ROUND(P298,2)&amp;"| &gt; "&amp;ROUND(P294,4)&amp;" então rejeita-se H0, logo a um nível de significância de "&amp;P292*100&amp;"% há evidencia estatística suficiente para se concluir que "&amp;S285&amp;" é não nulo","Como |"&amp;ROUND(P298,2)&amp;"|  ≤ "&amp;ROUND(P294,4)&amp;" então não se rejeita H0, logo a um nível de significância de "&amp;P292*100&amp;"% há evidencia estatística suficiente para se concluir que "&amp;S285&amp;" é nulo")</f>
        <v>Como |5,48| &gt; 3,17 então rejeita-se H0, logo a um nível de significância de 1% há evidencia estatística suficiente para se concluir que β5= é não nulo</v>
      </c>
      <c r="O300" s="28"/>
      <c r="P300" s="28"/>
      <c r="Q300" s="28"/>
      <c r="R300" s="28"/>
      <c r="S300" s="28"/>
      <c r="T300" s="28"/>
      <c r="U300" s="28"/>
      <c r="V300" s="28"/>
      <c r="W300" s="49"/>
      <c r="X300" s="49"/>
    </row>
    <row r="301" spans="1:24" ht="13.5" thickBo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</row>
    <row r="302" spans="1:24">
      <c r="A302" s="69"/>
      <c r="B302" s="39"/>
      <c r="C302" s="41"/>
      <c r="D302" s="41"/>
      <c r="E302" s="41"/>
      <c r="F302" s="41"/>
      <c r="G302" s="41"/>
      <c r="H302" s="41"/>
      <c r="I302" s="41"/>
      <c r="J302" s="41"/>
      <c r="K302" s="41"/>
      <c r="L302" s="42"/>
      <c r="M302" s="69"/>
      <c r="N302" s="39"/>
      <c r="O302" s="41"/>
      <c r="P302" s="41"/>
      <c r="Q302" s="41"/>
      <c r="R302" s="41"/>
      <c r="S302" s="41"/>
      <c r="T302" s="41"/>
      <c r="U302" s="41"/>
      <c r="V302" s="41"/>
      <c r="W302" s="41"/>
      <c r="X302" s="42"/>
    </row>
    <row r="303" spans="1:24">
      <c r="A303" s="21" t="s">
        <v>103</v>
      </c>
      <c r="B303" s="43"/>
      <c r="C303" s="14"/>
      <c r="D303" s="14"/>
      <c r="E303" s="14"/>
      <c r="F303" s="14"/>
      <c r="G303" s="29" t="str">
        <f>A306&amp;"="</f>
        <v>β6=</v>
      </c>
      <c r="H303" s="14">
        <f>H154</f>
        <v>-4.3895488812552286E-4</v>
      </c>
      <c r="I303" s="14"/>
      <c r="J303" s="14"/>
      <c r="K303" s="14"/>
      <c r="L303" s="45"/>
      <c r="M303" s="69"/>
      <c r="N303" s="43"/>
      <c r="O303" s="14"/>
      <c r="P303" s="14"/>
      <c r="Q303" s="14"/>
      <c r="R303" s="14"/>
      <c r="S303" s="29" t="str">
        <f>G303</f>
        <v>β6=</v>
      </c>
      <c r="T303" s="29">
        <f>H303</f>
        <v>-4.3895488812552286E-4</v>
      </c>
      <c r="U303" s="14"/>
      <c r="V303" s="14"/>
      <c r="W303" s="14"/>
      <c r="X303" s="45"/>
    </row>
    <row r="304" spans="1:24">
      <c r="A304" s="21" t="s">
        <v>83</v>
      </c>
      <c r="B304" s="43"/>
      <c r="C304" s="14"/>
      <c r="D304" s="14"/>
      <c r="E304" s="14"/>
      <c r="F304" s="14"/>
      <c r="G304" s="14"/>
      <c r="H304" s="14"/>
      <c r="I304" s="14"/>
      <c r="J304" s="14"/>
      <c r="K304" s="14"/>
      <c r="L304" s="45"/>
      <c r="M304" s="69"/>
      <c r="N304" s="43"/>
      <c r="O304" s="14"/>
      <c r="P304" s="14"/>
      <c r="Q304" s="14"/>
      <c r="R304" s="14"/>
      <c r="S304" s="14"/>
      <c r="T304" s="14"/>
      <c r="U304" s="14"/>
      <c r="V304" s="14"/>
      <c r="W304" s="14"/>
      <c r="X304" s="45"/>
    </row>
    <row r="305" spans="1:24">
      <c r="A305" s="21" t="s">
        <v>104</v>
      </c>
      <c r="B305" s="43"/>
      <c r="C305" s="14"/>
      <c r="D305" s="14"/>
      <c r="E305" s="14"/>
      <c r="F305" s="14"/>
      <c r="G305" s="14"/>
      <c r="H305" s="14">
        <f>D159</f>
        <v>6.5157496737608073E-13</v>
      </c>
      <c r="I305" s="14"/>
      <c r="J305" s="14"/>
      <c r="K305" s="14"/>
      <c r="L305" s="45"/>
      <c r="M305" s="69"/>
      <c r="N305" s="43"/>
      <c r="O305" s="14"/>
      <c r="P305" s="14"/>
      <c r="Q305" s="14"/>
      <c r="R305" s="14"/>
      <c r="S305" s="14"/>
      <c r="T305" s="29">
        <f>H305</f>
        <v>6.5157496737608073E-13</v>
      </c>
      <c r="U305" s="14"/>
      <c r="V305" s="14"/>
      <c r="W305" s="14"/>
      <c r="X305" s="45"/>
    </row>
    <row r="306" spans="1:24">
      <c r="A306" s="21" t="s">
        <v>88</v>
      </c>
      <c r="B306" s="43"/>
      <c r="C306" s="14"/>
      <c r="D306" s="14"/>
      <c r="E306" s="14"/>
      <c r="F306" s="14"/>
      <c r="G306" s="14"/>
      <c r="H306" s="14"/>
      <c r="I306" s="14"/>
      <c r="J306" s="14"/>
      <c r="K306" s="14"/>
      <c r="L306" s="45"/>
      <c r="M306" s="69"/>
      <c r="N306" s="43"/>
      <c r="O306" s="14"/>
      <c r="P306" s="14"/>
      <c r="Q306" s="14"/>
      <c r="R306" s="14"/>
      <c r="S306" s="14"/>
      <c r="T306" s="14"/>
      <c r="U306" s="14"/>
      <c r="V306" s="14"/>
      <c r="W306" s="14"/>
      <c r="X306" s="45"/>
    </row>
    <row r="307" spans="1:24">
      <c r="A307" s="69"/>
      <c r="B307" s="43"/>
      <c r="C307" s="14"/>
      <c r="D307" s="14"/>
      <c r="E307" s="14"/>
      <c r="F307" s="14"/>
      <c r="G307" s="14"/>
      <c r="H307" s="14"/>
      <c r="I307" s="14"/>
      <c r="J307" s="14"/>
      <c r="K307" s="14"/>
      <c r="L307" s="45"/>
      <c r="M307" s="69"/>
      <c r="N307" s="43"/>
      <c r="O307" s="14"/>
      <c r="P307" s="14"/>
      <c r="Q307" s="14"/>
      <c r="R307" s="14"/>
      <c r="S307" s="14"/>
      <c r="T307" s="14"/>
      <c r="U307" s="14"/>
      <c r="V307" s="14"/>
      <c r="W307" s="14"/>
      <c r="X307" s="45"/>
    </row>
    <row r="308" spans="1:24">
      <c r="A308" s="69"/>
      <c r="B308" s="43"/>
      <c r="C308" s="14">
        <f>D54</f>
        <v>2473169.1937003611</v>
      </c>
      <c r="D308" s="14"/>
      <c r="E308" s="14"/>
      <c r="F308" s="14"/>
      <c r="G308" s="14"/>
      <c r="H308" s="14"/>
      <c r="I308" s="14"/>
      <c r="J308" s="14"/>
      <c r="K308" s="14"/>
      <c r="L308" s="45"/>
      <c r="M308" s="69"/>
      <c r="N308" s="43"/>
      <c r="O308" s="29">
        <f>C308</f>
        <v>2473169.1937003611</v>
      </c>
      <c r="P308" s="14"/>
      <c r="Q308" s="14"/>
      <c r="R308" s="14"/>
      <c r="S308" s="14"/>
      <c r="T308" s="14"/>
      <c r="U308" s="14"/>
      <c r="V308" s="14"/>
      <c r="W308" s="14"/>
      <c r="X308" s="45"/>
    </row>
    <row r="309" spans="1:24">
      <c r="A309" s="69"/>
      <c r="B309" s="43"/>
      <c r="C309" s="14"/>
      <c r="D309" s="14"/>
      <c r="E309" s="14"/>
      <c r="F309" s="14"/>
      <c r="G309" s="14"/>
      <c r="H309" s="14"/>
      <c r="I309" s="14"/>
      <c r="J309" s="14"/>
      <c r="K309" s="14"/>
      <c r="L309" s="45"/>
      <c r="M309" s="69"/>
      <c r="N309" s="43"/>
      <c r="O309" s="14"/>
      <c r="P309" s="14"/>
      <c r="Q309" s="14"/>
      <c r="R309" s="14"/>
      <c r="S309" s="14"/>
      <c r="T309" s="14"/>
      <c r="U309" s="14"/>
      <c r="V309" s="14"/>
      <c r="W309" s="14"/>
      <c r="X309" s="45"/>
    </row>
    <row r="310" spans="1:24">
      <c r="A310" s="69"/>
      <c r="B310" s="43"/>
      <c r="C310" s="44" t="s">
        <v>105</v>
      </c>
      <c r="D310" s="14">
        <v>0.05</v>
      </c>
      <c r="E310" s="14"/>
      <c r="F310" s="14"/>
      <c r="G310" s="29" t="s">
        <v>108</v>
      </c>
      <c r="H310" s="14" t="str">
        <f>"]-∞;-"&amp;ROUND(D312,4)&amp;"[ U ]"&amp;ROUND(D312,4)&amp;";+∞["</f>
        <v>]-∞;-2,23[ U ]2,23;+∞[</v>
      </c>
      <c r="I310" s="14"/>
      <c r="J310" s="14"/>
      <c r="K310" s="14"/>
      <c r="L310" s="45"/>
      <c r="M310" s="69"/>
      <c r="N310" s="43"/>
      <c r="O310" s="44" t="s">
        <v>105</v>
      </c>
      <c r="P310" s="14">
        <v>0.01</v>
      </c>
      <c r="Q310" s="14"/>
      <c r="R310" s="14"/>
      <c r="S310" s="29" t="s">
        <v>108</v>
      </c>
      <c r="T310" s="14" t="str">
        <f>"]-∞;-"&amp;ROUND(P312,4)&amp;"[ U ]"&amp;ROUND(P312,4)&amp;";+∞["</f>
        <v>]-∞;-3,17[ U ]3,17;+∞[</v>
      </c>
      <c r="U310" s="14"/>
      <c r="V310" s="14"/>
      <c r="W310" s="14"/>
      <c r="X310" s="45"/>
    </row>
    <row r="311" spans="1:24">
      <c r="A311" s="69"/>
      <c r="B311" s="43"/>
      <c r="C311" s="44"/>
      <c r="D311" s="14"/>
      <c r="E311" s="14"/>
      <c r="F311" s="14"/>
      <c r="G311" s="14"/>
      <c r="H311" s="14"/>
      <c r="I311" s="14"/>
      <c r="J311" s="14"/>
      <c r="K311" s="14"/>
      <c r="L311" s="45"/>
      <c r="M311" s="69"/>
      <c r="N311" s="43"/>
      <c r="O311" s="44"/>
      <c r="P311" s="14"/>
      <c r="Q311" s="14"/>
      <c r="R311" s="14"/>
      <c r="S311" s="14"/>
      <c r="T311" s="14"/>
      <c r="U311" s="14"/>
      <c r="V311" s="14"/>
      <c r="W311" s="14"/>
      <c r="X311" s="45"/>
    </row>
    <row r="312" spans="1:24">
      <c r="A312" s="69"/>
      <c r="B312" s="43"/>
      <c r="C312" s="14"/>
      <c r="D312" s="14">
        <f>ROUND(_xlfn.T.INV(1-D310/2,17-(6+1)),2)</f>
        <v>2.23</v>
      </c>
      <c r="E312" s="14"/>
      <c r="F312" s="14"/>
      <c r="G312" s="14"/>
      <c r="H312" s="14"/>
      <c r="I312" s="14"/>
      <c r="J312" s="14"/>
      <c r="K312" s="14"/>
      <c r="L312" s="45"/>
      <c r="M312" s="69"/>
      <c r="N312" s="43"/>
      <c r="O312" s="14"/>
      <c r="P312" s="14">
        <f>ROUND(_xlfn.T.INV(1-P310/2,17-(6+1)),2)</f>
        <v>3.17</v>
      </c>
      <c r="Q312" s="14"/>
      <c r="R312" s="14"/>
      <c r="S312" s="14"/>
      <c r="T312" s="14"/>
      <c r="U312" s="14"/>
      <c r="V312" s="14"/>
      <c r="W312" s="14"/>
      <c r="X312" s="45"/>
    </row>
    <row r="313" spans="1:24">
      <c r="A313" s="69"/>
      <c r="B313" s="43"/>
      <c r="C313" s="29"/>
      <c r="D313" s="14"/>
      <c r="E313" s="14"/>
      <c r="F313" s="14"/>
      <c r="G313" s="14"/>
      <c r="H313" s="14"/>
      <c r="I313" s="14"/>
      <c r="J313" s="14"/>
      <c r="K313" s="14"/>
      <c r="L313" s="45"/>
      <c r="M313" s="69"/>
      <c r="N313" s="43"/>
      <c r="O313" s="29"/>
      <c r="P313" s="14"/>
      <c r="Q313" s="14"/>
      <c r="R313" s="14"/>
      <c r="S313" s="14"/>
      <c r="T313" s="14"/>
      <c r="U313" s="14"/>
      <c r="V313" s="14"/>
      <c r="W313" s="14"/>
      <c r="X313" s="45"/>
    </row>
    <row r="314" spans="1:24">
      <c r="A314" s="69"/>
      <c r="B314" s="43"/>
      <c r="C314" s="14"/>
      <c r="D314" s="14"/>
      <c r="E314" s="14"/>
      <c r="F314" s="14"/>
      <c r="G314" s="14"/>
      <c r="H314" s="14"/>
      <c r="I314" s="14"/>
      <c r="J314" s="14"/>
      <c r="K314" s="14"/>
      <c r="L314" s="45"/>
      <c r="M314" s="69"/>
      <c r="N314" s="43"/>
      <c r="O314" s="14"/>
      <c r="P314" s="14"/>
      <c r="Q314" s="14"/>
      <c r="R314" s="14"/>
      <c r="S314" s="14"/>
      <c r="T314" s="14"/>
      <c r="U314" s="14"/>
      <c r="V314" s="14"/>
      <c r="W314" s="14"/>
      <c r="X314" s="45"/>
    </row>
    <row r="315" spans="1:24">
      <c r="A315" s="69"/>
      <c r="B315" s="43"/>
      <c r="C315" s="14"/>
      <c r="D315" s="14"/>
      <c r="E315" s="14"/>
      <c r="F315" s="14"/>
      <c r="G315" s="14"/>
      <c r="H315" s="14"/>
      <c r="I315" s="14"/>
      <c r="J315" s="14"/>
      <c r="K315" s="14"/>
      <c r="L315" s="45"/>
      <c r="M315" s="69"/>
      <c r="N315" s="43"/>
      <c r="O315" s="14"/>
      <c r="P315" s="14"/>
      <c r="Q315" s="14"/>
      <c r="R315" s="14"/>
      <c r="S315" s="14"/>
      <c r="T315" s="14"/>
      <c r="U315" s="14"/>
      <c r="V315" s="14"/>
      <c r="W315" s="14"/>
      <c r="X315" s="45"/>
    </row>
    <row r="316" spans="1:24">
      <c r="A316" s="69"/>
      <c r="B316" s="43"/>
      <c r="C316" s="29" t="s">
        <v>106</v>
      </c>
      <c r="D316" s="14">
        <f>ROUND(H303/SQRT(C308*H305),4)</f>
        <v>-0.3458</v>
      </c>
      <c r="E316" s="14"/>
      <c r="F316" s="14"/>
      <c r="G316" s="14"/>
      <c r="H316" s="14"/>
      <c r="I316" s="14"/>
      <c r="J316" s="14"/>
      <c r="K316" s="14"/>
      <c r="L316" s="45"/>
      <c r="M316" s="69"/>
      <c r="N316" s="43"/>
      <c r="O316" s="29" t="s">
        <v>106</v>
      </c>
      <c r="P316" s="14">
        <f>ROUND(T303/SQRT(O308*T305),4)</f>
        <v>-0.3458</v>
      </c>
      <c r="Q316" s="14"/>
      <c r="R316" s="14"/>
      <c r="S316" s="14"/>
      <c r="T316" s="14"/>
      <c r="U316" s="14"/>
      <c r="V316" s="14"/>
      <c r="W316" s="14"/>
      <c r="X316" s="45"/>
    </row>
    <row r="317" spans="1:24">
      <c r="A317" s="69"/>
      <c r="B317" s="43"/>
      <c r="C317" s="29" t="s">
        <v>107</v>
      </c>
      <c r="D317" s="14">
        <f>ABS(D316)</f>
        <v>0.3458</v>
      </c>
      <c r="E317" s="14"/>
      <c r="F317" s="14"/>
      <c r="G317" s="14"/>
      <c r="H317" s="14"/>
      <c r="I317" s="14"/>
      <c r="J317" s="14"/>
      <c r="K317" s="14"/>
      <c r="L317" s="45"/>
      <c r="M317" s="69"/>
      <c r="N317" s="43"/>
      <c r="O317" s="29" t="s">
        <v>107</v>
      </c>
      <c r="P317" s="14">
        <f>ABS(P316)</f>
        <v>0.3458</v>
      </c>
      <c r="Q317" s="14"/>
      <c r="R317" s="14"/>
      <c r="S317" s="14"/>
      <c r="T317" s="14"/>
      <c r="U317" s="14"/>
      <c r="V317" s="14"/>
      <c r="W317" s="14"/>
      <c r="X317" s="45"/>
    </row>
    <row r="318" spans="1:24" ht="13.5" thickBot="1">
      <c r="A318" s="69"/>
      <c r="B318" s="47" t="str">
        <f>IF(ABS(D316)&gt;ROUND(D312,4), "Como |"&amp;ROUND(D316,2)&amp;"| &gt; "&amp;ROUND(D312,4)&amp;" então rejeita-se H0, logo a um nível de significância de "&amp;D310*100&amp;"% há evidencia estatística suficiente para se concluir que "&amp;G303&amp;" é não nulo","Como |"&amp;ROUND(D316,2)&amp;"|  ≤ "&amp;ROUND(D312,4)&amp;" então não se rejeita H0, logo a um nível de significância de "&amp;D310*100&amp;"% há evidencia estatística suficiente para se concluir que "&amp;G303&amp;" é nulo")</f>
        <v>Como |-0,35|  ≤ 2,23 então não se rejeita H0, logo a um nível de significância de 5% há evidencia estatística suficiente para se concluir que β6= é nulo</v>
      </c>
      <c r="C318" s="28"/>
      <c r="D318" s="28"/>
      <c r="E318" s="28"/>
      <c r="F318" s="28"/>
      <c r="G318" s="28"/>
      <c r="H318" s="28"/>
      <c r="I318" s="28"/>
      <c r="J318" s="28"/>
      <c r="K318" s="49"/>
      <c r="L318" s="49"/>
      <c r="M318" s="69"/>
      <c r="N318" s="47" t="str">
        <f>IF(ABS(P316)&gt;ROUND(P312,4), "Como |"&amp;ROUND(P316,2)&amp;"| &gt; "&amp;ROUND(P312,4)&amp;" então rejeita-se H0, logo a um nível de significância de "&amp;P310*100&amp;"% há evidencia estatística suficiente para se concluir que "&amp;S303&amp;" é não nulo","Como |"&amp;ROUND(P316,2)&amp;"|  ≤ "&amp;ROUND(P312,4)&amp;" então não se rejeita H0, logo a um nível de significância de "&amp;P310*100&amp;"% há evidencia estatística suficiente para se concluir que "&amp;S303&amp;" é nulo")</f>
        <v>Como |-0,35|  ≤ 3,17 então não se rejeita H0, logo a um nível de significância de 1% há evidencia estatística suficiente para se concluir que β6= é nulo</v>
      </c>
      <c r="O318" s="28"/>
      <c r="P318" s="28"/>
      <c r="Q318" s="28"/>
      <c r="R318" s="28"/>
      <c r="S318" s="28"/>
      <c r="T318" s="28"/>
      <c r="U318" s="28"/>
      <c r="V318" s="28"/>
      <c r="W318" s="49"/>
      <c r="X318" s="49"/>
    </row>
    <row r="319" spans="1:24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</row>
  </sheetData>
  <mergeCells count="1">
    <mergeCell ref="B39:O3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C3100-67FE-4143-8FB0-4492D2091A5E}">
  <dimension ref="A2:AM319"/>
  <sheetViews>
    <sheetView topLeftCell="A270" zoomScale="70" zoomScaleNormal="70" workbookViewId="0">
      <selection activeCell="Q270" sqref="Q270"/>
    </sheetView>
  </sheetViews>
  <sheetFormatPr defaultRowHeight="12.75"/>
  <cols>
    <col min="1" max="1" width="9.140625" style="69"/>
    <col min="2" max="2" width="11.42578125" style="69" customWidth="1"/>
    <col min="3" max="3" width="15.5703125" style="69" customWidth="1"/>
    <col min="4" max="4" width="14.140625" style="69" customWidth="1"/>
    <col min="5" max="5" width="12.7109375" style="69" customWidth="1"/>
    <col min="6" max="6" width="12" style="69" customWidth="1"/>
    <col min="7" max="7" width="12.85546875" style="69" customWidth="1"/>
    <col min="8" max="8" width="20" style="69" customWidth="1"/>
    <col min="9" max="9" width="9.28515625" style="69" bestFit="1" customWidth="1"/>
    <col min="10" max="10" width="11.42578125" style="69" bestFit="1" customWidth="1"/>
    <col min="11" max="14" width="9.140625" style="69"/>
    <col min="15" max="16" width="9.28515625" style="69" bestFit="1" customWidth="1"/>
    <col min="17" max="17" width="11" style="69" bestFit="1" customWidth="1"/>
    <col min="18" max="18" width="9.28515625" style="69" bestFit="1" customWidth="1"/>
    <col min="19" max="19" width="12.42578125" style="69" bestFit="1" customWidth="1"/>
    <col min="20" max="20" width="9.28515625" style="69" bestFit="1" customWidth="1"/>
    <col min="21" max="21" width="13.140625" style="69" bestFit="1" customWidth="1"/>
    <col min="22" max="25" width="9.140625" style="69"/>
    <col min="26" max="26" width="12" style="69" bestFit="1" customWidth="1"/>
    <col min="27" max="16384" width="9.140625" style="69"/>
  </cols>
  <sheetData>
    <row r="2" spans="2:38">
      <c r="B2" s="2" t="s">
        <v>10</v>
      </c>
      <c r="C2" s="2" t="s">
        <v>33</v>
      </c>
      <c r="D2" s="2" t="s">
        <v>34</v>
      </c>
      <c r="E2" s="2" t="s">
        <v>35</v>
      </c>
      <c r="F2" s="2" t="s">
        <v>36</v>
      </c>
      <c r="G2" s="2" t="s">
        <v>37</v>
      </c>
      <c r="H2" s="2" t="s">
        <v>38</v>
      </c>
      <c r="I2" s="4"/>
    </row>
    <row r="3" spans="2:38"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/>
    </row>
    <row r="4" spans="2:38">
      <c r="B4" s="4">
        <v>1676</v>
      </c>
      <c r="C4" s="4">
        <v>0.68710000000000004</v>
      </c>
      <c r="D4" s="4">
        <v>6117</v>
      </c>
      <c r="E4" s="4">
        <v>45642</v>
      </c>
      <c r="F4" s="4">
        <v>304215</v>
      </c>
      <c r="G4" s="4">
        <v>0.17910000000000001</v>
      </c>
      <c r="H4" s="4">
        <v>116262</v>
      </c>
      <c r="I4" s="4">
        <f>ROUND($AI$30,4)+ROUND($AI$31,4)*C4+ROUND($AI$32,4)*D4+ROUND($AI$33,4)*E4+ROUND($AI$34,4)*F4+ROUND($AI$35,4)*G4+ROUND($AI$36,4)*H4</f>
        <v>1664.78552752</v>
      </c>
    </row>
    <row r="5" spans="2:38">
      <c r="B5" s="4">
        <v>1163</v>
      </c>
      <c r="C5" s="4">
        <v>0.50429999999999997</v>
      </c>
      <c r="D5" s="4">
        <v>5872</v>
      </c>
      <c r="E5" s="4">
        <v>38719</v>
      </c>
      <c r="F5" s="4">
        <v>220920</v>
      </c>
      <c r="G5" s="4">
        <v>0.1197</v>
      </c>
      <c r="H5" s="4">
        <v>208089</v>
      </c>
      <c r="I5" s="4">
        <f>ROUND($AI$30,4)+ROUND($AI$31,4)*C5+ROUND($AI$32,4)*D5+ROUND($AI$33,4)*E5+ROUND($AI$34,4)*F5+ROUND($AI$35,4)*G5+ROUND($AI$36,4)*H5</f>
        <v>1158.8022807799998</v>
      </c>
    </row>
    <row r="6" spans="2:38">
      <c r="B6" s="4">
        <v>641</v>
      </c>
      <c r="C6" s="4">
        <v>0.47710000000000002</v>
      </c>
      <c r="D6" s="4">
        <v>4906</v>
      </c>
      <c r="E6" s="4">
        <v>27454</v>
      </c>
      <c r="F6" s="4">
        <v>200146</v>
      </c>
      <c r="G6" s="4">
        <v>7.2300000000000003E-2</v>
      </c>
      <c r="H6" s="4">
        <v>266858</v>
      </c>
      <c r="I6" s="4">
        <f t="shared" ref="I6:I20" si="0">ROUND($AI$30,4)+ROUND($AI$31,4)*C6+ROUND($AI$32,4)*D6+ROUND($AI$33,4)*E6+ROUND($AI$34,4)*F6+ROUND($AI$35,4)*G6+ROUND($AI$36,4)*H6</f>
        <v>658.34742487999983</v>
      </c>
    </row>
    <row r="7" spans="2:38">
      <c r="B7" s="4">
        <v>355</v>
      </c>
      <c r="C7" s="4">
        <v>0.50860000000000005</v>
      </c>
      <c r="D7" s="4">
        <v>3825</v>
      </c>
      <c r="E7" s="4">
        <v>18463</v>
      </c>
      <c r="F7" s="4">
        <v>189811</v>
      </c>
      <c r="G7" s="4">
        <v>4.6300000000000001E-2</v>
      </c>
      <c r="H7" s="4">
        <v>286470</v>
      </c>
      <c r="I7" s="4">
        <f t="shared" si="0"/>
        <v>353.91650142999993</v>
      </c>
    </row>
    <row r="8" spans="2:38">
      <c r="B8" s="4">
        <v>223</v>
      </c>
      <c r="C8" s="4">
        <v>0.61429999999999996</v>
      </c>
      <c r="D8" s="4">
        <v>2829</v>
      </c>
      <c r="E8" s="4">
        <v>12112</v>
      </c>
      <c r="F8" s="4">
        <v>171766</v>
      </c>
      <c r="G8" s="4">
        <v>3.3500000000000002E-2</v>
      </c>
      <c r="H8" s="4">
        <v>317254</v>
      </c>
      <c r="I8" s="4">
        <f>ROUND($AI$30,4)+ROUND($AI$31,4)*C8+ROUND($AI$32,4)*D8+ROUND($AI$33,4)*E8+ROUND($AI$34,4)*F8+ROUND($AI$35,4)*G8+ROUND($AI$36,4)*H8</f>
        <v>190.73496952000002</v>
      </c>
    </row>
    <row r="9" spans="2:38">
      <c r="B9" s="4">
        <v>144</v>
      </c>
      <c r="C9" s="4">
        <v>0.66710000000000003</v>
      </c>
      <c r="D9" s="4">
        <v>1971</v>
      </c>
      <c r="E9" s="4">
        <v>7986</v>
      </c>
      <c r="F9" s="4">
        <v>158762</v>
      </c>
      <c r="G9" s="4">
        <v>3.0800000000000001E-2</v>
      </c>
      <c r="H9" s="4">
        <v>371084</v>
      </c>
      <c r="I9" s="4">
        <f t="shared" si="0"/>
        <v>137.27349043000004</v>
      </c>
      <c r="L9" s="69">
        <v>1</v>
      </c>
      <c r="M9" s="69">
        <f>C4</f>
        <v>0.68710000000000004</v>
      </c>
      <c r="N9" s="69">
        <f t="shared" ref="N9:R9" si="1">D4</f>
        <v>6117</v>
      </c>
      <c r="O9" s="69">
        <f t="shared" si="1"/>
        <v>45642</v>
      </c>
      <c r="P9" s="69">
        <f t="shared" si="1"/>
        <v>304215</v>
      </c>
      <c r="Q9" s="69">
        <f t="shared" si="1"/>
        <v>0.17910000000000001</v>
      </c>
      <c r="R9" s="69">
        <f t="shared" si="1"/>
        <v>116262</v>
      </c>
      <c r="V9" s="69">
        <f t="array" ref="V9:AL15">TRANSPOSE(L9:R25)</f>
        <v>1</v>
      </c>
      <c r="W9" s="69">
        <v>1</v>
      </c>
      <c r="X9" s="69">
        <v>1</v>
      </c>
      <c r="Y9" s="69">
        <v>1</v>
      </c>
      <c r="Z9" s="69">
        <v>1</v>
      </c>
      <c r="AA9" s="69">
        <v>1</v>
      </c>
      <c r="AB9" s="69">
        <v>1</v>
      </c>
      <c r="AC9" s="69">
        <v>1</v>
      </c>
      <c r="AD9" s="69">
        <v>1</v>
      </c>
      <c r="AE9" s="69">
        <v>1</v>
      </c>
      <c r="AF9" s="69">
        <v>1</v>
      </c>
      <c r="AG9" s="69">
        <v>1</v>
      </c>
      <c r="AH9" s="69">
        <v>1</v>
      </c>
      <c r="AI9" s="69">
        <v>1</v>
      </c>
      <c r="AJ9" s="69">
        <v>1</v>
      </c>
      <c r="AK9" s="69">
        <v>1</v>
      </c>
      <c r="AL9" s="69">
        <v>1</v>
      </c>
    </row>
    <row r="10" spans="2:38">
      <c r="B10" s="4">
        <v>77</v>
      </c>
      <c r="C10" s="4">
        <v>0.67600000000000005</v>
      </c>
      <c r="D10" s="4">
        <v>1265</v>
      </c>
      <c r="E10" s="4">
        <v>5100</v>
      </c>
      <c r="F10" s="4">
        <v>108746</v>
      </c>
      <c r="G10" s="4">
        <v>2.8299999999999999E-2</v>
      </c>
      <c r="H10" s="4">
        <v>377464</v>
      </c>
      <c r="I10" s="4">
        <f t="shared" si="0"/>
        <v>104.96548348999998</v>
      </c>
      <c r="L10" s="69">
        <v>1</v>
      </c>
      <c r="M10" s="69">
        <f t="shared" ref="M10:R25" si="2">C5</f>
        <v>0.50429999999999997</v>
      </c>
      <c r="N10" s="69">
        <f t="shared" si="2"/>
        <v>5872</v>
      </c>
      <c r="O10" s="69">
        <f t="shared" si="2"/>
        <v>38719</v>
      </c>
      <c r="P10" s="69">
        <f t="shared" si="2"/>
        <v>220920</v>
      </c>
      <c r="Q10" s="69">
        <f t="shared" si="2"/>
        <v>0.1197</v>
      </c>
      <c r="R10" s="69">
        <f t="shared" si="2"/>
        <v>208089</v>
      </c>
      <c r="V10" s="69">
        <v>0.68710000000000004</v>
      </c>
      <c r="W10" s="69">
        <v>0.50429999999999997</v>
      </c>
      <c r="X10" s="69">
        <v>0.47710000000000002</v>
      </c>
      <c r="Y10" s="69">
        <v>0.50860000000000005</v>
      </c>
      <c r="Z10" s="69">
        <v>0.61429999999999996</v>
      </c>
      <c r="AA10" s="69">
        <v>0.66710000000000003</v>
      </c>
      <c r="AB10" s="69">
        <v>0.67600000000000005</v>
      </c>
      <c r="AC10" s="69">
        <v>0.8357</v>
      </c>
      <c r="AD10" s="69">
        <v>0.9657</v>
      </c>
      <c r="AE10" s="69">
        <v>1.1086</v>
      </c>
      <c r="AF10" s="69">
        <v>1.0071000000000001</v>
      </c>
      <c r="AG10" s="69">
        <v>0.96430000000000005</v>
      </c>
      <c r="AH10" s="69">
        <v>0.89</v>
      </c>
      <c r="AI10" s="69">
        <v>0.88</v>
      </c>
      <c r="AJ10" s="69">
        <v>1.0128999999999999</v>
      </c>
      <c r="AK10" s="69">
        <v>1.1000000000000001</v>
      </c>
      <c r="AL10" s="69">
        <v>1.1399999999999999</v>
      </c>
    </row>
    <row r="11" spans="2:38">
      <c r="B11" s="4">
        <v>69</v>
      </c>
      <c r="C11" s="4">
        <v>0.8357</v>
      </c>
      <c r="D11" s="4">
        <v>1078</v>
      </c>
      <c r="E11" s="4">
        <v>4841</v>
      </c>
      <c r="F11" s="4">
        <v>181367</v>
      </c>
      <c r="G11" s="4">
        <v>1.4500000000000001E-2</v>
      </c>
      <c r="H11" s="4">
        <v>510025</v>
      </c>
      <c r="I11" s="4">
        <f t="shared" si="0"/>
        <v>50.725425880000003</v>
      </c>
      <c r="L11" s="69">
        <v>1</v>
      </c>
      <c r="M11" s="69">
        <f t="shared" si="2"/>
        <v>0.47710000000000002</v>
      </c>
      <c r="N11" s="69">
        <f t="shared" si="2"/>
        <v>4906</v>
      </c>
      <c r="O11" s="69">
        <f t="shared" si="2"/>
        <v>27454</v>
      </c>
      <c r="P11" s="69">
        <f t="shared" si="2"/>
        <v>200146</v>
      </c>
      <c r="Q11" s="69">
        <f t="shared" si="2"/>
        <v>7.2300000000000003E-2</v>
      </c>
      <c r="R11" s="69">
        <f t="shared" si="2"/>
        <v>266858</v>
      </c>
      <c r="V11" s="69">
        <v>6117</v>
      </c>
      <c r="W11" s="69">
        <v>5872</v>
      </c>
      <c r="X11" s="69">
        <v>4906</v>
      </c>
      <c r="Y11" s="69">
        <v>3825</v>
      </c>
      <c r="Z11" s="69">
        <v>2829</v>
      </c>
      <c r="AA11" s="69">
        <v>1971</v>
      </c>
      <c r="AB11" s="69">
        <v>1265</v>
      </c>
      <c r="AC11" s="69">
        <v>1078</v>
      </c>
      <c r="AD11" s="69">
        <v>895</v>
      </c>
      <c r="AE11" s="69">
        <v>823</v>
      </c>
      <c r="AF11" s="69">
        <v>775</v>
      </c>
      <c r="AG11" s="69">
        <v>733</v>
      </c>
      <c r="AH11" s="69">
        <v>612</v>
      </c>
      <c r="AI11" s="69">
        <v>560</v>
      </c>
      <c r="AJ11" s="69">
        <v>504</v>
      </c>
      <c r="AK11" s="69">
        <v>424</v>
      </c>
      <c r="AL11" s="69">
        <v>370</v>
      </c>
    </row>
    <row r="12" spans="2:38">
      <c r="B12" s="4">
        <v>42</v>
      </c>
      <c r="C12" s="4">
        <v>0.9657</v>
      </c>
      <c r="D12" s="4">
        <v>895</v>
      </c>
      <c r="E12" s="4">
        <v>3845</v>
      </c>
      <c r="F12" s="4">
        <v>167518</v>
      </c>
      <c r="G12" s="4">
        <v>1.7299999999999999E-2</v>
      </c>
      <c r="H12" s="4">
        <v>592953</v>
      </c>
      <c r="I12" s="4">
        <f t="shared" si="0"/>
        <v>49.595017319999997</v>
      </c>
      <c r="L12" s="69">
        <v>1</v>
      </c>
      <c r="M12" s="69">
        <f t="shared" si="2"/>
        <v>0.50860000000000005</v>
      </c>
      <c r="N12" s="69">
        <f t="shared" si="2"/>
        <v>3825</v>
      </c>
      <c r="O12" s="69">
        <f t="shared" si="2"/>
        <v>18463</v>
      </c>
      <c r="P12" s="69">
        <f t="shared" si="2"/>
        <v>189811</v>
      </c>
      <c r="Q12" s="69">
        <f t="shared" si="2"/>
        <v>4.6300000000000001E-2</v>
      </c>
      <c r="R12" s="69">
        <f t="shared" si="2"/>
        <v>286470</v>
      </c>
      <c r="V12" s="69">
        <v>45642</v>
      </c>
      <c r="W12" s="69">
        <v>38719</v>
      </c>
      <c r="X12" s="69">
        <v>27454</v>
      </c>
      <c r="Y12" s="69">
        <v>18463</v>
      </c>
      <c r="Z12" s="69">
        <v>12112</v>
      </c>
      <c r="AA12" s="69">
        <v>7986</v>
      </c>
      <c r="AB12" s="69">
        <v>5100</v>
      </c>
      <c r="AC12" s="69">
        <v>4841</v>
      </c>
      <c r="AD12" s="69">
        <v>3845</v>
      </c>
      <c r="AE12" s="69">
        <v>3441</v>
      </c>
      <c r="AF12" s="69">
        <v>3080</v>
      </c>
      <c r="AG12" s="69">
        <v>2749</v>
      </c>
      <c r="AH12" s="69">
        <v>2304</v>
      </c>
      <c r="AI12" s="69">
        <v>2006</v>
      </c>
      <c r="AJ12" s="69">
        <v>1730</v>
      </c>
      <c r="AK12" s="69">
        <v>1535</v>
      </c>
      <c r="AL12" s="69">
        <v>1703</v>
      </c>
    </row>
    <row r="13" spans="2:38">
      <c r="B13" s="4">
        <v>37</v>
      </c>
      <c r="C13" s="4">
        <v>1.1086</v>
      </c>
      <c r="D13" s="4">
        <v>823</v>
      </c>
      <c r="E13" s="4">
        <v>3441</v>
      </c>
      <c r="F13" s="4">
        <v>349353</v>
      </c>
      <c r="G13" s="4">
        <v>1.21E-2</v>
      </c>
      <c r="H13" s="4">
        <v>645818</v>
      </c>
      <c r="I13" s="4">
        <f t="shared" si="0"/>
        <v>33.342950770000009</v>
      </c>
      <c r="L13" s="69">
        <v>1</v>
      </c>
      <c r="M13" s="69">
        <f t="shared" si="2"/>
        <v>0.61429999999999996</v>
      </c>
      <c r="N13" s="69">
        <f t="shared" si="2"/>
        <v>2829</v>
      </c>
      <c r="O13" s="69">
        <f t="shared" si="2"/>
        <v>12112</v>
      </c>
      <c r="P13" s="69">
        <f t="shared" si="2"/>
        <v>171766</v>
      </c>
      <c r="Q13" s="69">
        <f t="shared" si="2"/>
        <v>3.3500000000000002E-2</v>
      </c>
      <c r="R13" s="69">
        <f t="shared" si="2"/>
        <v>317254</v>
      </c>
      <c r="V13" s="69">
        <v>304215</v>
      </c>
      <c r="W13" s="69">
        <v>220920</v>
      </c>
      <c r="X13" s="69">
        <v>200146</v>
      </c>
      <c r="Y13" s="69">
        <v>189811</v>
      </c>
      <c r="Z13" s="69">
        <v>171766</v>
      </c>
      <c r="AA13" s="69">
        <v>158762</v>
      </c>
      <c r="AB13" s="69">
        <v>108746</v>
      </c>
      <c r="AC13" s="69">
        <v>181367</v>
      </c>
      <c r="AD13" s="69">
        <v>167518</v>
      </c>
      <c r="AE13" s="69">
        <v>349353</v>
      </c>
      <c r="AF13" s="69">
        <v>256937</v>
      </c>
      <c r="AG13" s="69">
        <v>516874</v>
      </c>
      <c r="AH13" s="69">
        <v>331125</v>
      </c>
      <c r="AI13" s="69">
        <v>297696</v>
      </c>
      <c r="AJ13" s="69">
        <v>258409</v>
      </c>
      <c r="AK13" s="69">
        <v>268829</v>
      </c>
      <c r="AL13" s="69">
        <v>313589</v>
      </c>
    </row>
    <row r="14" spans="2:38">
      <c r="B14" s="4">
        <v>29</v>
      </c>
      <c r="C14" s="4">
        <v>1.0071000000000001</v>
      </c>
      <c r="D14" s="4">
        <v>775</v>
      </c>
      <c r="E14" s="4">
        <v>3080</v>
      </c>
      <c r="F14" s="4">
        <v>256937</v>
      </c>
      <c r="G14" s="4">
        <v>1.35E-2</v>
      </c>
      <c r="H14" s="4">
        <v>701102</v>
      </c>
      <c r="I14" s="4">
        <f t="shared" si="0"/>
        <v>26.945458639999991</v>
      </c>
      <c r="L14" s="69">
        <v>1</v>
      </c>
      <c r="M14" s="69">
        <f t="shared" si="2"/>
        <v>0.66710000000000003</v>
      </c>
      <c r="N14" s="69">
        <f t="shared" si="2"/>
        <v>1971</v>
      </c>
      <c r="O14" s="69">
        <f t="shared" si="2"/>
        <v>7986</v>
      </c>
      <c r="P14" s="69">
        <f t="shared" si="2"/>
        <v>158762</v>
      </c>
      <c r="Q14" s="69">
        <f t="shared" si="2"/>
        <v>3.0800000000000001E-2</v>
      </c>
      <c r="R14" s="69">
        <f t="shared" si="2"/>
        <v>371084</v>
      </c>
      <c r="V14" s="69">
        <v>0.17910000000000001</v>
      </c>
      <c r="W14" s="69">
        <v>0.1197</v>
      </c>
      <c r="X14" s="69">
        <v>7.2300000000000003E-2</v>
      </c>
      <c r="Y14" s="69">
        <v>4.6300000000000001E-2</v>
      </c>
      <c r="Z14" s="69">
        <v>3.3500000000000002E-2</v>
      </c>
      <c r="AA14" s="69">
        <v>3.0800000000000001E-2</v>
      </c>
      <c r="AB14" s="69">
        <v>2.8299999999999999E-2</v>
      </c>
      <c r="AC14" s="69">
        <v>1.4500000000000001E-2</v>
      </c>
      <c r="AD14" s="69">
        <v>1.7299999999999999E-2</v>
      </c>
      <c r="AE14" s="69">
        <v>1.21E-2</v>
      </c>
      <c r="AF14" s="69">
        <v>1.35E-2</v>
      </c>
      <c r="AG14" s="69">
        <v>8.2000000000000007E-3</v>
      </c>
      <c r="AH14" s="69">
        <v>8.3000000000000001E-3</v>
      </c>
      <c r="AI14" s="69">
        <v>8.0000000000000002E-3</v>
      </c>
      <c r="AJ14" s="69">
        <v>9.1999999999999998E-3</v>
      </c>
      <c r="AK14" s="69">
        <v>1.0699999999999999E-2</v>
      </c>
      <c r="AL14" s="69">
        <v>1.1299999999999999E-2</v>
      </c>
    </row>
    <row r="15" spans="2:38">
      <c r="B15" s="4">
        <v>20</v>
      </c>
      <c r="C15" s="4">
        <v>0.96430000000000005</v>
      </c>
      <c r="D15" s="4">
        <v>733</v>
      </c>
      <c r="E15" s="4">
        <v>2749</v>
      </c>
      <c r="F15" s="4">
        <v>516874</v>
      </c>
      <c r="G15" s="4">
        <v>8.2000000000000007E-3</v>
      </c>
      <c r="H15" s="4">
        <v>840420</v>
      </c>
      <c r="I15" s="4">
        <f t="shared" si="0"/>
        <v>20.512668330000004</v>
      </c>
      <c r="L15" s="69">
        <v>1</v>
      </c>
      <c r="M15" s="69">
        <f t="shared" si="2"/>
        <v>0.67600000000000005</v>
      </c>
      <c r="N15" s="69">
        <f t="shared" si="2"/>
        <v>1265</v>
      </c>
      <c r="O15" s="69">
        <f t="shared" si="2"/>
        <v>5100</v>
      </c>
      <c r="P15" s="69">
        <f t="shared" si="2"/>
        <v>108746</v>
      </c>
      <c r="Q15" s="69">
        <f t="shared" si="2"/>
        <v>2.8299999999999999E-2</v>
      </c>
      <c r="R15" s="69">
        <f t="shared" si="2"/>
        <v>377464</v>
      </c>
      <c r="V15" s="69">
        <v>116262</v>
      </c>
      <c r="W15" s="69">
        <v>208089</v>
      </c>
      <c r="X15" s="69">
        <v>266858</v>
      </c>
      <c r="Y15" s="69">
        <v>286470</v>
      </c>
      <c r="Z15" s="69">
        <v>317254</v>
      </c>
      <c r="AA15" s="69">
        <v>371084</v>
      </c>
      <c r="AB15" s="69">
        <v>377464</v>
      </c>
      <c r="AC15" s="69">
        <v>510025</v>
      </c>
      <c r="AD15" s="69">
        <v>592953</v>
      </c>
      <c r="AE15" s="69">
        <v>645818</v>
      </c>
      <c r="AF15" s="69">
        <v>701102</v>
      </c>
      <c r="AG15" s="69">
        <v>840420</v>
      </c>
      <c r="AH15" s="69">
        <v>930042</v>
      </c>
      <c r="AI15" s="69">
        <v>1134005</v>
      </c>
      <c r="AJ15" s="69">
        <v>1411270</v>
      </c>
      <c r="AK15" s="69">
        <v>1638859</v>
      </c>
      <c r="AL15" s="69">
        <v>1949349</v>
      </c>
    </row>
    <row r="16" spans="2:38">
      <c r="B16" s="4">
        <v>12</v>
      </c>
      <c r="C16" s="4">
        <v>0.89</v>
      </c>
      <c r="D16" s="4">
        <v>612</v>
      </c>
      <c r="E16" s="4">
        <v>2304</v>
      </c>
      <c r="F16" s="4">
        <v>331125</v>
      </c>
      <c r="G16" s="4">
        <v>8.3000000000000001E-3</v>
      </c>
      <c r="H16" s="4">
        <v>930042</v>
      </c>
      <c r="I16" s="4">
        <f t="shared" si="0"/>
        <v>3.0087380900000014</v>
      </c>
      <c r="L16" s="69">
        <v>1</v>
      </c>
      <c r="M16" s="69">
        <f t="shared" si="2"/>
        <v>0.8357</v>
      </c>
      <c r="N16" s="69">
        <f t="shared" si="2"/>
        <v>1078</v>
      </c>
      <c r="O16" s="69">
        <f t="shared" si="2"/>
        <v>4841</v>
      </c>
      <c r="P16" s="69">
        <f t="shared" si="2"/>
        <v>181367</v>
      </c>
      <c r="Q16" s="69">
        <f t="shared" si="2"/>
        <v>1.4500000000000001E-2</v>
      </c>
      <c r="R16" s="69">
        <f t="shared" si="2"/>
        <v>510025</v>
      </c>
    </row>
    <row r="17" spans="2:38">
      <c r="B17" s="4">
        <v>15</v>
      </c>
      <c r="C17" s="4">
        <v>0.88</v>
      </c>
      <c r="D17" s="4">
        <v>560</v>
      </c>
      <c r="E17" s="4">
        <v>2006</v>
      </c>
      <c r="F17" s="4">
        <v>297696</v>
      </c>
      <c r="G17" s="4">
        <v>8.0000000000000002E-3</v>
      </c>
      <c r="H17" s="4">
        <v>1134005</v>
      </c>
      <c r="I17" s="4">
        <f t="shared" si="0"/>
        <v>-5.4905495999999872</v>
      </c>
      <c r="L17" s="69">
        <v>1</v>
      </c>
      <c r="M17" s="69">
        <f t="shared" si="2"/>
        <v>0.9657</v>
      </c>
      <c r="N17" s="69">
        <f t="shared" si="2"/>
        <v>895</v>
      </c>
      <c r="O17" s="69">
        <f t="shared" si="2"/>
        <v>3845</v>
      </c>
      <c r="P17" s="69">
        <f t="shared" si="2"/>
        <v>167518</v>
      </c>
      <c r="Q17" s="69">
        <f t="shared" si="2"/>
        <v>1.7299999999999999E-2</v>
      </c>
      <c r="R17" s="69">
        <f t="shared" si="2"/>
        <v>592953</v>
      </c>
    </row>
    <row r="18" spans="2:38">
      <c r="B18" s="4">
        <v>15</v>
      </c>
      <c r="C18" s="4">
        <v>1.0128999999999999</v>
      </c>
      <c r="D18" s="4">
        <v>504</v>
      </c>
      <c r="E18" s="4">
        <v>1730</v>
      </c>
      <c r="F18" s="4">
        <v>258409</v>
      </c>
      <c r="G18" s="4">
        <v>9.1999999999999998E-3</v>
      </c>
      <c r="H18" s="4">
        <v>1411270</v>
      </c>
      <c r="I18" s="4">
        <f t="shared" si="0"/>
        <v>-8.4120264300000187</v>
      </c>
      <c r="L18" s="69">
        <v>1</v>
      </c>
      <c r="M18" s="69">
        <f t="shared" si="2"/>
        <v>1.1086</v>
      </c>
      <c r="N18" s="69">
        <f t="shared" si="2"/>
        <v>823</v>
      </c>
      <c r="O18" s="69">
        <f t="shared" si="2"/>
        <v>3441</v>
      </c>
      <c r="P18" s="69">
        <f t="shared" si="2"/>
        <v>349353</v>
      </c>
      <c r="Q18" s="69">
        <f t="shared" si="2"/>
        <v>1.21E-2</v>
      </c>
      <c r="R18" s="69">
        <f t="shared" si="2"/>
        <v>645818</v>
      </c>
    </row>
    <row r="19" spans="2:38">
      <c r="B19" s="4">
        <v>10</v>
      </c>
      <c r="C19" s="4">
        <v>1.1000000000000001</v>
      </c>
      <c r="D19" s="4">
        <v>424</v>
      </c>
      <c r="E19" s="4">
        <v>1535</v>
      </c>
      <c r="F19" s="4">
        <v>268829</v>
      </c>
      <c r="G19" s="4">
        <v>1.0699999999999999E-2</v>
      </c>
      <c r="H19" s="4">
        <v>1638859</v>
      </c>
      <c r="I19" s="4">
        <f t="shared" si="0"/>
        <v>1.3287166099999794</v>
      </c>
      <c r="L19" s="69">
        <v>1</v>
      </c>
      <c r="M19" s="69">
        <f t="shared" si="2"/>
        <v>1.0071000000000001</v>
      </c>
      <c r="N19" s="69">
        <f t="shared" si="2"/>
        <v>775</v>
      </c>
      <c r="O19" s="69">
        <f t="shared" si="2"/>
        <v>3080</v>
      </c>
      <c r="P19" s="69">
        <f t="shared" si="2"/>
        <v>256937</v>
      </c>
      <c r="Q19" s="69">
        <f t="shared" si="2"/>
        <v>1.35E-2</v>
      </c>
      <c r="R19" s="69">
        <f t="shared" si="2"/>
        <v>701102</v>
      </c>
    </row>
    <row r="20" spans="2:38">
      <c r="B20" s="4">
        <v>6</v>
      </c>
      <c r="C20" s="4">
        <v>1.1399999999999999</v>
      </c>
      <c r="D20" s="4">
        <v>370</v>
      </c>
      <c r="E20" s="4">
        <v>1703</v>
      </c>
      <c r="F20" s="4">
        <v>313589</v>
      </c>
      <c r="G20" s="4">
        <v>1.1299999999999999E-2</v>
      </c>
      <c r="H20" s="4">
        <v>1949349</v>
      </c>
      <c r="I20" s="4">
        <f t="shared" si="0"/>
        <v>19.558549990000003</v>
      </c>
      <c r="L20" s="69">
        <v>1</v>
      </c>
      <c r="M20" s="69">
        <f t="shared" si="2"/>
        <v>0.96430000000000005</v>
      </c>
      <c r="N20" s="69">
        <f t="shared" si="2"/>
        <v>733</v>
      </c>
      <c r="O20" s="69">
        <f t="shared" si="2"/>
        <v>2749</v>
      </c>
      <c r="P20" s="69">
        <f t="shared" si="2"/>
        <v>516874</v>
      </c>
      <c r="Q20" s="69">
        <f t="shared" si="2"/>
        <v>8.2000000000000007E-3</v>
      </c>
      <c r="R20" s="69">
        <f t="shared" si="2"/>
        <v>840420</v>
      </c>
    </row>
    <row r="21" spans="2:38">
      <c r="L21" s="69">
        <v>1</v>
      </c>
      <c r="M21" s="69">
        <f t="shared" si="2"/>
        <v>0.89</v>
      </c>
      <c r="N21" s="69">
        <f t="shared" si="2"/>
        <v>612</v>
      </c>
      <c r="O21" s="69">
        <f t="shared" si="2"/>
        <v>2304</v>
      </c>
      <c r="P21" s="69">
        <f t="shared" si="2"/>
        <v>331125</v>
      </c>
      <c r="Q21" s="69">
        <f t="shared" si="2"/>
        <v>8.3000000000000001E-3</v>
      </c>
      <c r="R21" s="69">
        <f t="shared" si="2"/>
        <v>930042</v>
      </c>
    </row>
    <row r="22" spans="2:38">
      <c r="L22" s="69">
        <v>1</v>
      </c>
      <c r="M22" s="69">
        <f t="shared" si="2"/>
        <v>0.88</v>
      </c>
      <c r="N22" s="69">
        <f t="shared" si="2"/>
        <v>560</v>
      </c>
      <c r="O22" s="69">
        <f t="shared" si="2"/>
        <v>2006</v>
      </c>
      <c r="P22" s="69">
        <f t="shared" si="2"/>
        <v>297696</v>
      </c>
      <c r="Q22" s="69">
        <f t="shared" si="2"/>
        <v>8.0000000000000002E-3</v>
      </c>
      <c r="R22" s="69">
        <f t="shared" si="2"/>
        <v>1134005</v>
      </c>
      <c r="V22" s="69">
        <f t="array" ref="V22:AL22">TRANSPOSE(B4:B20)</f>
        <v>1676</v>
      </c>
      <c r="W22" s="69">
        <v>1163</v>
      </c>
      <c r="X22" s="69">
        <v>641</v>
      </c>
      <c r="Y22" s="69">
        <v>355</v>
      </c>
      <c r="Z22" s="69">
        <v>223</v>
      </c>
      <c r="AA22" s="69">
        <v>144</v>
      </c>
      <c r="AB22" s="69">
        <v>77</v>
      </c>
      <c r="AC22" s="69">
        <v>69</v>
      </c>
      <c r="AD22" s="69">
        <v>42</v>
      </c>
      <c r="AE22" s="69">
        <v>37</v>
      </c>
      <c r="AF22" s="69">
        <v>29</v>
      </c>
      <c r="AG22" s="69">
        <v>20</v>
      </c>
      <c r="AH22" s="69">
        <v>12</v>
      </c>
      <c r="AI22" s="69">
        <v>15</v>
      </c>
      <c r="AJ22" s="69">
        <v>15</v>
      </c>
      <c r="AK22" s="69">
        <v>10</v>
      </c>
      <c r="AL22" s="69">
        <v>6</v>
      </c>
    </row>
    <row r="23" spans="2:38">
      <c r="L23" s="69">
        <v>1</v>
      </c>
      <c r="M23" s="69">
        <f t="shared" si="2"/>
        <v>1.0128999999999999</v>
      </c>
      <c r="N23" s="69">
        <f t="shared" si="2"/>
        <v>504</v>
      </c>
      <c r="O23" s="69">
        <f t="shared" si="2"/>
        <v>1730</v>
      </c>
      <c r="P23" s="69">
        <f t="shared" si="2"/>
        <v>258409</v>
      </c>
      <c r="Q23" s="69">
        <f t="shared" si="2"/>
        <v>9.1999999999999998E-3</v>
      </c>
      <c r="R23" s="69">
        <f t="shared" si="2"/>
        <v>1411270</v>
      </c>
    </row>
    <row r="24" spans="2:38">
      <c r="L24" s="69">
        <v>1</v>
      </c>
      <c r="M24" s="69">
        <f t="shared" si="2"/>
        <v>1.1000000000000001</v>
      </c>
      <c r="N24" s="69">
        <f t="shared" si="2"/>
        <v>424</v>
      </c>
      <c r="O24" s="69">
        <f t="shared" si="2"/>
        <v>1535</v>
      </c>
      <c r="P24" s="69">
        <f t="shared" si="2"/>
        <v>268829</v>
      </c>
      <c r="Q24" s="69">
        <f t="shared" si="2"/>
        <v>1.0699999999999999E-2</v>
      </c>
      <c r="R24" s="69">
        <f t="shared" si="2"/>
        <v>1638859</v>
      </c>
    </row>
    <row r="25" spans="2:38">
      <c r="L25" s="69">
        <v>1</v>
      </c>
      <c r="M25" s="69">
        <f t="shared" si="2"/>
        <v>1.1399999999999999</v>
      </c>
      <c r="N25" s="69">
        <f t="shared" si="2"/>
        <v>370</v>
      </c>
      <c r="O25" s="69">
        <f t="shared" si="2"/>
        <v>1703</v>
      </c>
      <c r="P25" s="69">
        <f t="shared" si="2"/>
        <v>313589</v>
      </c>
      <c r="Q25" s="69">
        <f t="shared" si="2"/>
        <v>1.1299999999999999E-2</v>
      </c>
      <c r="R25" s="69">
        <f t="shared" si="2"/>
        <v>1949349</v>
      </c>
    </row>
    <row r="30" spans="2:38">
      <c r="D30" s="69">
        <f t="array" ref="D30:J36">MMULT(V9:AL15,L9:R25)</f>
        <v>17</v>
      </c>
      <c r="E30" s="69">
        <v>14.038800000000002</v>
      </c>
      <c r="F30" s="69">
        <v>33559</v>
      </c>
      <c r="G30" s="69">
        <v>182710</v>
      </c>
      <c r="H30" s="69">
        <v>4296063</v>
      </c>
      <c r="I30" s="69">
        <v>0.62309999999999988</v>
      </c>
      <c r="J30" s="69">
        <v>12297324</v>
      </c>
      <c r="O30" s="69">
        <f t="array" ref="O30:U36">MINVERSE(D30:J36)</f>
        <v>13.255687925542237</v>
      </c>
      <c r="P30" s="69">
        <v>-11.04377121934116</v>
      </c>
      <c r="Q30" s="69">
        <v>-5.3485901470286621E-3</v>
      </c>
      <c r="R30" s="69">
        <v>8.3012899254212885E-4</v>
      </c>
      <c r="S30" s="69">
        <v>-9.3062067579062994E-7</v>
      </c>
      <c r="T30" s="69">
        <v>-61.611349637558519</v>
      </c>
      <c r="U30" s="69">
        <v>7.3439244838328557E-8</v>
      </c>
      <c r="Z30" s="69">
        <f t="array" ref="Z30:Z36">MMULT(V9:AL15,B4:B20)</f>
        <v>4534</v>
      </c>
      <c r="AI30" s="69">
        <f t="array" ref="AI30:AI36">MMULT(O30:U36,Z30:Z36)</f>
        <v>-61.956438261931908</v>
      </c>
    </row>
    <row r="31" spans="2:38">
      <c r="D31" s="69">
        <v>14.038800000000002</v>
      </c>
      <c r="E31" s="69">
        <v>12.398242420000003</v>
      </c>
      <c r="F31" s="69">
        <v>21959.216599999996</v>
      </c>
      <c r="G31" s="69">
        <v>116114.8958</v>
      </c>
      <c r="H31" s="69">
        <v>3726837.5809999998</v>
      </c>
      <c r="I31" s="69">
        <v>0.41386247000000004</v>
      </c>
      <c r="J31" s="69">
        <v>11666877.621900002</v>
      </c>
      <c r="O31" s="69">
        <v>-11.043771219341178</v>
      </c>
      <c r="P31" s="69">
        <v>11.912496155592113</v>
      </c>
      <c r="Q31" s="69">
        <v>3.3723981581846429E-3</v>
      </c>
      <c r="R31" s="69">
        <v>-3.9483252957555796E-4</v>
      </c>
      <c r="S31" s="69">
        <v>-3.3513977182818585E-6</v>
      </c>
      <c r="T31" s="69">
        <v>8.7789981517158502</v>
      </c>
      <c r="U31" s="69">
        <v>-9.4328462229938914E-7</v>
      </c>
      <c r="Z31" s="69">
        <v>2754.2041999999997</v>
      </c>
      <c r="AI31" s="69">
        <v>-18.927149443253029</v>
      </c>
    </row>
    <row r="32" spans="2:38">
      <c r="D32" s="69">
        <v>33559</v>
      </c>
      <c r="E32" s="69">
        <v>21959.216599999996</v>
      </c>
      <c r="F32" s="69">
        <v>129123029</v>
      </c>
      <c r="G32" s="69">
        <v>788897246</v>
      </c>
      <c r="H32" s="69">
        <v>7743040746</v>
      </c>
      <c r="I32" s="69">
        <v>2601.9722999999999</v>
      </c>
      <c r="J32" s="69">
        <v>12547470389</v>
      </c>
      <c r="O32" s="69">
        <v>-5.3485901470286257E-3</v>
      </c>
      <c r="P32" s="69">
        <v>3.3723981581846086E-3</v>
      </c>
      <c r="Q32" s="69">
        <v>3.0936003535666344E-6</v>
      </c>
      <c r="R32" s="69">
        <v>-5.7997402677874956E-7</v>
      </c>
      <c r="S32" s="69">
        <v>1.5594717767423333E-9</v>
      </c>
      <c r="T32" s="69">
        <v>5.7279615550864617E-2</v>
      </c>
      <c r="U32" s="69">
        <v>2.7160477795142018E-10</v>
      </c>
      <c r="Z32" s="69">
        <v>22805267</v>
      </c>
      <c r="AI32" s="69">
        <v>-0.11135021232880205</v>
      </c>
    </row>
    <row r="33" spans="1:35">
      <c r="D33" s="69">
        <v>182710</v>
      </c>
      <c r="E33" s="69">
        <v>116114.8958</v>
      </c>
      <c r="F33" s="69">
        <v>788897246</v>
      </c>
      <c r="G33" s="69">
        <v>4998129324</v>
      </c>
      <c r="H33" s="69">
        <v>43031291955</v>
      </c>
      <c r="I33" s="69">
        <v>16774.184900000007</v>
      </c>
      <c r="J33" s="69">
        <v>58845388607</v>
      </c>
      <c r="O33" s="69">
        <v>8.3012899254212224E-4</v>
      </c>
      <c r="P33" s="69">
        <v>-3.9483252957555254E-4</v>
      </c>
      <c r="Q33" s="69">
        <v>-5.7997402677874797E-7</v>
      </c>
      <c r="R33" s="69">
        <v>1.2343825290264708E-7</v>
      </c>
      <c r="S33" s="69">
        <v>-4.320128894513481E-10</v>
      </c>
      <c r="T33" s="69">
        <v>-1.4409719536499445E-2</v>
      </c>
      <c r="U33" s="69">
        <v>-6.7057023714887399E-11</v>
      </c>
      <c r="Z33" s="69">
        <v>150798620</v>
      </c>
      <c r="AI33" s="69">
        <v>3.2176595591455401E-2</v>
      </c>
    </row>
    <row r="34" spans="1:35">
      <c r="D34" s="69">
        <v>4296063</v>
      </c>
      <c r="E34" s="69">
        <v>3726837.5809999998</v>
      </c>
      <c r="F34" s="69">
        <v>7743040746</v>
      </c>
      <c r="G34" s="69">
        <v>43031291955</v>
      </c>
      <c r="H34" s="69">
        <v>1235801792529</v>
      </c>
      <c r="I34" s="69">
        <v>149298.74280000001</v>
      </c>
      <c r="J34" s="69">
        <v>3437662334433</v>
      </c>
      <c r="O34" s="69">
        <v>-9.3062067579054227E-7</v>
      </c>
      <c r="P34" s="69">
        <v>-3.3513977182819144E-6</v>
      </c>
      <c r="Q34" s="69">
        <v>1.5594717767422857E-9</v>
      </c>
      <c r="R34" s="69">
        <v>-4.3201288945133952E-10</v>
      </c>
      <c r="S34" s="69">
        <v>1.2003820364872178E-11</v>
      </c>
      <c r="T34" s="69">
        <v>5.7297433957434451E-5</v>
      </c>
      <c r="U34" s="69">
        <v>1.787149647162289E-13</v>
      </c>
      <c r="Z34" s="69">
        <v>1099159471</v>
      </c>
      <c r="AI34" s="69">
        <v>1.1780650193536551E-4</v>
      </c>
    </row>
    <row r="35" spans="1:35">
      <c r="D35" s="69">
        <v>0.62309999999999988</v>
      </c>
      <c r="E35" s="69">
        <v>0.41386247000000004</v>
      </c>
      <c r="F35" s="69">
        <v>2601.9722999999999</v>
      </c>
      <c r="G35" s="69">
        <v>16774.184900000007</v>
      </c>
      <c r="H35" s="69">
        <v>149298.74280000001</v>
      </c>
      <c r="I35" s="69">
        <v>5.8012810000000019E-2</v>
      </c>
      <c r="J35" s="69">
        <v>222190.47510000001</v>
      </c>
      <c r="O35" s="69">
        <v>-61.611349637557367</v>
      </c>
      <c r="P35" s="69">
        <v>8.7789981517149638</v>
      </c>
      <c r="Q35" s="69">
        <v>5.7279615550864235E-2</v>
      </c>
      <c r="R35" s="69">
        <v>-1.4409719536499409E-2</v>
      </c>
      <c r="S35" s="69">
        <v>5.7297433957435284E-5</v>
      </c>
      <c r="T35" s="69">
        <v>2027.2929127316982</v>
      </c>
      <c r="U35" s="69">
        <v>1.0192459992591337E-5</v>
      </c>
      <c r="Z35" s="69">
        <v>519.51099999999997</v>
      </c>
      <c r="AI35" s="69">
        <v>5142.8623312350519</v>
      </c>
    </row>
    <row r="36" spans="1:35">
      <c r="D36" s="69">
        <v>12297324</v>
      </c>
      <c r="E36" s="69">
        <v>11666877.621900002</v>
      </c>
      <c r="F36" s="69">
        <v>12547470389</v>
      </c>
      <c r="G36" s="69">
        <v>58845388607</v>
      </c>
      <c r="H36" s="69">
        <v>3437662334433</v>
      </c>
      <c r="I36" s="69">
        <v>222190.47510000001</v>
      </c>
      <c r="J36" s="69">
        <v>13446026905630</v>
      </c>
      <c r="O36" s="69">
        <v>7.3439244838319862E-8</v>
      </c>
      <c r="P36" s="69">
        <v>-9.432846222993849E-7</v>
      </c>
      <c r="Q36" s="69">
        <v>2.7160477795142566E-10</v>
      </c>
      <c r="R36" s="69">
        <v>-6.7057023714888731E-11</v>
      </c>
      <c r="S36" s="69">
        <v>1.787149647162368E-13</v>
      </c>
      <c r="T36" s="69">
        <v>1.0192459992591518E-5</v>
      </c>
      <c r="U36" s="69">
        <v>6.5157496737608073E-13</v>
      </c>
      <c r="Z36" s="69">
        <v>1061419601</v>
      </c>
      <c r="AI36" s="69">
        <v>1.3680892446362759E-8</v>
      </c>
    </row>
    <row r="39" spans="1:35" ht="20.25">
      <c r="B39" s="83" t="str">
        <f>"𝑦 ̂="&amp;ROUND(AI30,4)&amp;"+"&amp;ROUND(AI31,4)&amp;"X1"&amp;"+"&amp;ROUND(AI32,4)&amp;"X2"&amp;"+"&amp;ROUND(AI33,4)&amp;"X3"&amp;"+"&amp;ROUND(AI34,4)&amp;"X4"&amp;"+"&amp;ROUND(AI35,4)&amp;"X5"&amp;"+"&amp;ROUND(AI36,4)&amp;"X6"</f>
        <v>𝑦 ̂=-61,9564+-18,9271X1+-0,1114X2+0,0322X3+0,0001X4+5142,8623X5+0X6</v>
      </c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</row>
    <row r="42" spans="1:35" ht="13.5" thickBot="1"/>
    <row r="43" spans="1:35">
      <c r="A43" s="39" t="s">
        <v>81</v>
      </c>
      <c r="B43" s="41"/>
      <c r="C43" s="41"/>
      <c r="D43" s="41"/>
      <c r="E43" s="41"/>
      <c r="F43" s="42"/>
      <c r="N43" s="3"/>
      <c r="O43" s="14"/>
      <c r="P43" s="29"/>
      <c r="Q43" s="14"/>
      <c r="R43" s="14"/>
      <c r="S43" s="14"/>
      <c r="T43" s="14"/>
      <c r="U43" s="14"/>
      <c r="V43" s="14"/>
      <c r="W43" s="14"/>
      <c r="X43" s="14"/>
    </row>
    <row r="44" spans="1:35">
      <c r="A44" s="43"/>
      <c r="B44" s="14"/>
      <c r="C44" s="14"/>
      <c r="D44" s="14">
        <f>Q46-(Q49*T46^2)</f>
        <v>3575465.5294117648</v>
      </c>
      <c r="E44" s="14"/>
      <c r="F44" s="45"/>
      <c r="N44" s="14"/>
    </row>
    <row r="45" spans="1:35">
      <c r="A45" s="43"/>
      <c r="B45" s="14"/>
      <c r="C45" s="14"/>
      <c r="D45" s="14"/>
      <c r="E45" s="14"/>
      <c r="F45" s="45"/>
      <c r="N45" s="14"/>
    </row>
    <row r="46" spans="1:35" ht="18">
      <c r="A46" s="43"/>
      <c r="B46" s="14"/>
      <c r="C46" s="14"/>
      <c r="D46" s="14">
        <f>Q53-(Q49*T46^2)</f>
        <v>3571806.8987433584</v>
      </c>
      <c r="E46" s="14"/>
      <c r="F46" s="45"/>
      <c r="N46" s="14"/>
      <c r="P46" s="71" t="s">
        <v>73</v>
      </c>
      <c r="Q46" s="69">
        <f>MMULT(V22:AL22,B4:B20)</f>
        <v>4784710</v>
      </c>
      <c r="S46" s="69" t="s">
        <v>74</v>
      </c>
      <c r="T46" s="69">
        <f>AVERAGE(B4:B20)</f>
        <v>266.70588235294116</v>
      </c>
    </row>
    <row r="47" spans="1:35">
      <c r="A47" s="43"/>
      <c r="B47" s="14"/>
      <c r="C47" s="14"/>
      <c r="D47" s="14"/>
      <c r="E47" s="14"/>
      <c r="F47" s="45"/>
      <c r="N47" s="14"/>
    </row>
    <row r="48" spans="1:35">
      <c r="A48" s="43"/>
      <c r="B48" s="14"/>
      <c r="C48" s="14"/>
      <c r="D48" s="14">
        <f>Q46-Q53</f>
        <v>3658.6306684063748</v>
      </c>
      <c r="E48" s="14"/>
      <c r="F48" s="45"/>
      <c r="N48" s="14"/>
    </row>
    <row r="49" spans="1:23">
      <c r="A49" s="43"/>
      <c r="B49" s="14"/>
      <c r="C49" s="14"/>
      <c r="D49" s="14"/>
      <c r="E49" s="14"/>
      <c r="F49" s="45"/>
      <c r="N49" s="14"/>
      <c r="P49" s="71" t="s">
        <v>19</v>
      </c>
      <c r="Q49" s="69">
        <v>17</v>
      </c>
    </row>
    <row r="50" spans="1:23">
      <c r="A50" s="43"/>
      <c r="B50" s="14"/>
      <c r="C50" s="14"/>
      <c r="D50" s="14"/>
      <c r="E50" s="14"/>
      <c r="F50" s="45"/>
      <c r="N50" s="14"/>
    </row>
    <row r="51" spans="1:23">
      <c r="A51" s="43"/>
      <c r="B51" s="14"/>
      <c r="C51" s="14"/>
      <c r="D51" s="14">
        <f>D46/6</f>
        <v>595301.14979055978</v>
      </c>
      <c r="E51" s="14"/>
      <c r="F51" s="45"/>
      <c r="N51" s="14"/>
      <c r="Q51" s="69">
        <f t="array" ref="Q51:W51">TRANSPOSE(AI30:AI36)</f>
        <v>-61.956438261931908</v>
      </c>
      <c r="R51" s="69">
        <v>-18.927149443253029</v>
      </c>
      <c r="S51" s="69">
        <v>-0.11135021232880205</v>
      </c>
      <c r="T51" s="69">
        <v>3.2176595591455401E-2</v>
      </c>
      <c r="U51" s="69">
        <v>1.1780650193536551E-4</v>
      </c>
      <c r="V51" s="69">
        <v>5142.8623312350519</v>
      </c>
      <c r="W51" s="69">
        <v>1.3680892446362759E-8</v>
      </c>
    </row>
    <row r="52" spans="1:23">
      <c r="A52" s="43"/>
      <c r="B52" s="14"/>
      <c r="C52" s="14"/>
      <c r="D52" s="14"/>
      <c r="E52" s="14"/>
      <c r="F52" s="45"/>
      <c r="N52" s="14"/>
    </row>
    <row r="53" spans="1:23">
      <c r="A53" s="43"/>
      <c r="B53" s="14"/>
      <c r="C53" s="14"/>
      <c r="D53" s="14"/>
      <c r="E53" s="14"/>
      <c r="F53" s="45"/>
      <c r="N53" s="14"/>
      <c r="Q53" s="69">
        <f>MMULT(Q51:W51,Z30:Z36)</f>
        <v>4781051.3693315936</v>
      </c>
    </row>
    <row r="54" spans="1:23">
      <c r="A54" s="43"/>
      <c r="B54" s="14"/>
      <c r="C54" s="14"/>
      <c r="D54" s="14">
        <f>D48/(Q49-(B63+1))</f>
        <v>365.86306684063749</v>
      </c>
      <c r="E54" s="14"/>
      <c r="F54" s="45"/>
      <c r="N54" s="14"/>
    </row>
    <row r="55" spans="1:23">
      <c r="A55" s="43"/>
      <c r="B55" s="14"/>
      <c r="C55" s="14"/>
      <c r="D55" s="14"/>
      <c r="E55" s="14"/>
      <c r="F55" s="45"/>
      <c r="N55" s="14"/>
    </row>
    <row r="56" spans="1:23">
      <c r="A56" s="43"/>
      <c r="B56" s="14"/>
      <c r="C56" s="14"/>
      <c r="D56" s="14"/>
      <c r="E56" s="14"/>
      <c r="F56" s="45"/>
      <c r="N56" s="14"/>
    </row>
    <row r="57" spans="1:23">
      <c r="A57" s="43"/>
      <c r="B57" s="14"/>
      <c r="C57" s="14"/>
      <c r="D57" s="14">
        <f>D51/D54</f>
        <v>1627.1146331637265</v>
      </c>
      <c r="E57" s="14"/>
      <c r="F57" s="45"/>
      <c r="N57" s="14"/>
    </row>
    <row r="58" spans="1:23">
      <c r="A58" s="43"/>
      <c r="B58" s="14"/>
      <c r="C58" s="14"/>
      <c r="D58" s="14"/>
      <c r="E58" s="14"/>
      <c r="F58" s="45"/>
      <c r="N58" s="14"/>
    </row>
    <row r="59" spans="1:23">
      <c r="A59" s="43"/>
      <c r="B59" s="14"/>
      <c r="C59" s="14"/>
      <c r="D59" s="14"/>
      <c r="E59" s="14"/>
      <c r="F59" s="45"/>
      <c r="N59" s="14"/>
    </row>
    <row r="60" spans="1:23">
      <c r="A60" s="43"/>
      <c r="B60" s="14"/>
      <c r="C60" s="14"/>
      <c r="D60" s="14"/>
      <c r="E60" s="14"/>
      <c r="F60" s="45"/>
      <c r="N60" s="14"/>
    </row>
    <row r="61" spans="1:23" ht="13.5" thickBot="1">
      <c r="A61" s="43" t="s">
        <v>44</v>
      </c>
      <c r="B61" s="14"/>
      <c r="C61" s="14"/>
      <c r="D61" s="14"/>
      <c r="E61" s="14"/>
      <c r="F61" s="45"/>
      <c r="N61" s="14"/>
    </row>
    <row r="62" spans="1:23">
      <c r="A62" s="56"/>
      <c r="B62" s="20" t="s">
        <v>48</v>
      </c>
      <c r="C62" s="20" t="s">
        <v>49</v>
      </c>
      <c r="D62" s="20" t="s">
        <v>50</v>
      </c>
      <c r="E62" s="20" t="s">
        <v>51</v>
      </c>
      <c r="F62" s="57"/>
      <c r="N62" s="14"/>
    </row>
    <row r="63" spans="1:23">
      <c r="A63" s="58" t="s">
        <v>45</v>
      </c>
      <c r="B63" s="69">
        <v>6</v>
      </c>
      <c r="C63" s="18">
        <f>D46</f>
        <v>3571806.8987433584</v>
      </c>
      <c r="D63" s="18">
        <f>D51</f>
        <v>595301.14979055978</v>
      </c>
      <c r="E63" s="18">
        <f>D63/D64</f>
        <v>1627.1146331637265</v>
      </c>
      <c r="F63" s="59"/>
      <c r="N63" s="14"/>
    </row>
    <row r="64" spans="1:23">
      <c r="A64" s="58" t="s">
        <v>46</v>
      </c>
      <c r="B64" s="69">
        <v>10</v>
      </c>
      <c r="C64" s="18">
        <f>D48</f>
        <v>3658.6306684063748</v>
      </c>
      <c r="D64" s="18">
        <f>D54</f>
        <v>365.86306684063749</v>
      </c>
      <c r="E64" s="18"/>
      <c r="F64" s="59"/>
      <c r="N64" s="14"/>
    </row>
    <row r="65" spans="1:14" ht="13.5" thickBot="1">
      <c r="A65" s="60" t="s">
        <v>47</v>
      </c>
      <c r="B65" s="28">
        <v>16</v>
      </c>
      <c r="C65" s="19">
        <f>D44</f>
        <v>3575465.5294117648</v>
      </c>
      <c r="D65" s="19"/>
      <c r="E65" s="19"/>
      <c r="F65" s="59"/>
      <c r="N65" s="14"/>
    </row>
    <row r="66" spans="1:14" ht="13.5" thickBot="1">
      <c r="A66" s="47"/>
      <c r="B66" s="28"/>
      <c r="C66" s="28"/>
      <c r="D66" s="28"/>
      <c r="E66" s="28"/>
      <c r="F66" s="49"/>
      <c r="N66" s="14"/>
    </row>
    <row r="67" spans="1:14" ht="13.5" thickBot="1">
      <c r="N67" s="14"/>
    </row>
    <row r="68" spans="1:14">
      <c r="A68" s="39" t="s">
        <v>75</v>
      </c>
      <c r="B68" s="41"/>
      <c r="C68" s="41"/>
      <c r="D68" s="41"/>
      <c r="E68" s="41"/>
      <c r="F68" s="42"/>
      <c r="N68" s="14"/>
    </row>
    <row r="69" spans="1:14">
      <c r="A69" s="43"/>
      <c r="B69" s="14"/>
      <c r="C69" s="14"/>
      <c r="D69" s="14"/>
      <c r="E69" s="14"/>
      <c r="F69" s="45"/>
      <c r="N69" s="14"/>
    </row>
    <row r="70" spans="1:14">
      <c r="A70" s="43"/>
      <c r="B70" s="14"/>
      <c r="C70" s="14"/>
      <c r="D70" s="14"/>
      <c r="E70" s="14"/>
      <c r="F70" s="45"/>
      <c r="N70" s="14"/>
    </row>
    <row r="71" spans="1:14">
      <c r="A71" s="43"/>
      <c r="B71" s="14"/>
      <c r="C71" s="14"/>
      <c r="D71" s="14"/>
      <c r="E71" s="14"/>
      <c r="F71" s="45"/>
      <c r="N71" s="14"/>
    </row>
    <row r="72" spans="1:14">
      <c r="A72" s="43"/>
      <c r="B72" s="14"/>
      <c r="C72" s="14"/>
      <c r="D72" s="14"/>
      <c r="E72" s="14"/>
      <c r="F72" s="45"/>
      <c r="N72" s="14"/>
    </row>
    <row r="73" spans="1:14">
      <c r="A73" s="43"/>
      <c r="B73" s="14"/>
      <c r="C73" s="14"/>
      <c r="D73" s="14"/>
      <c r="E73" s="14"/>
      <c r="F73" s="45"/>
      <c r="N73" s="14"/>
    </row>
    <row r="74" spans="1:14">
      <c r="A74" s="43"/>
      <c r="B74" s="14"/>
      <c r="C74" s="14"/>
      <c r="D74" s="14"/>
      <c r="E74" s="14"/>
      <c r="F74" s="45"/>
      <c r="N74" s="14"/>
    </row>
    <row r="75" spans="1:14">
      <c r="A75" s="43"/>
      <c r="B75" s="14"/>
      <c r="C75" s="14"/>
      <c r="D75" s="14"/>
      <c r="E75" s="14"/>
      <c r="F75" s="45"/>
      <c r="N75" s="14"/>
    </row>
    <row r="76" spans="1:14">
      <c r="A76" s="43"/>
      <c r="B76" s="14"/>
      <c r="C76" s="14"/>
      <c r="D76" s="14"/>
      <c r="E76" s="14"/>
      <c r="F76" s="45"/>
      <c r="N76" s="14"/>
    </row>
    <row r="77" spans="1:14">
      <c r="A77" s="43"/>
      <c r="B77" s="14"/>
      <c r="C77" s="14"/>
      <c r="D77" s="14"/>
      <c r="E77" s="14"/>
      <c r="F77" s="45"/>
      <c r="N77" s="14"/>
    </row>
    <row r="78" spans="1:14">
      <c r="A78" s="43"/>
      <c r="B78" s="29" t="s">
        <v>76</v>
      </c>
      <c r="C78" s="14">
        <f>D46/D44</f>
        <v>0.9989767400529217</v>
      </c>
      <c r="D78" s="14"/>
      <c r="E78" s="14"/>
      <c r="F78" s="45"/>
      <c r="N78" s="14"/>
    </row>
    <row r="79" spans="1:14">
      <c r="A79" s="43"/>
      <c r="B79" s="29" t="s">
        <v>77</v>
      </c>
      <c r="C79" s="14">
        <f>1  -         (       (D48/(Q49-B63+1))     /           (D44/(Q49-1))              )</f>
        <v>0.99863565340389548</v>
      </c>
      <c r="D79" s="14"/>
      <c r="E79" s="14"/>
      <c r="F79" s="45"/>
      <c r="N79" s="14"/>
    </row>
    <row r="80" spans="1:14" ht="13.5" thickBot="1">
      <c r="A80" s="47"/>
      <c r="B80" s="28"/>
      <c r="C80" s="28"/>
      <c r="D80" s="28"/>
      <c r="E80" s="28"/>
      <c r="F80" s="49"/>
      <c r="N80" s="14"/>
    </row>
    <row r="81" spans="1:39" ht="13.5" thickBot="1">
      <c r="N81" s="14"/>
    </row>
    <row r="82" spans="1:39">
      <c r="A82" s="39" t="s">
        <v>79</v>
      </c>
      <c r="B82" s="41"/>
      <c r="C82" s="41"/>
      <c r="D82" s="41"/>
      <c r="E82" s="41"/>
      <c r="F82" s="41"/>
      <c r="G82" s="41"/>
      <c r="H82" s="41"/>
      <c r="I82" s="41"/>
      <c r="J82" s="42"/>
      <c r="N82" s="14"/>
    </row>
    <row r="83" spans="1:39">
      <c r="A83" s="43"/>
      <c r="B83" s="14"/>
      <c r="C83" s="14"/>
      <c r="D83" s="14"/>
      <c r="E83" s="14"/>
      <c r="F83" s="14"/>
      <c r="G83" s="14"/>
      <c r="H83" s="14"/>
      <c r="I83" s="14"/>
      <c r="J83" s="45"/>
      <c r="N83" s="14"/>
    </row>
    <row r="84" spans="1:39">
      <c r="A84" s="46" t="s">
        <v>80</v>
      </c>
      <c r="B84" s="14">
        <v>0.05</v>
      </c>
      <c r="C84" s="14"/>
      <c r="D84" s="14"/>
      <c r="E84" s="14"/>
      <c r="F84" s="14"/>
      <c r="G84" s="14"/>
      <c r="H84" s="14"/>
      <c r="I84" s="14"/>
      <c r="J84" s="45"/>
      <c r="N84" s="14"/>
    </row>
    <row r="85" spans="1:39">
      <c r="A85" s="43"/>
      <c r="B85" s="14"/>
      <c r="C85" s="14"/>
      <c r="D85" s="14"/>
      <c r="E85" s="14"/>
      <c r="F85" s="14"/>
      <c r="G85" s="14"/>
      <c r="H85" s="14"/>
      <c r="I85" s="14"/>
      <c r="J85" s="45"/>
      <c r="N85" s="14"/>
    </row>
    <row r="86" spans="1:39">
      <c r="A86" s="43" t="str">
        <f>"f(0,05);("&amp;B63&amp;","&amp;B64&amp;")="</f>
        <v>f(0,05);(6,10)=</v>
      </c>
      <c r="B86" s="29"/>
      <c r="C86" s="14">
        <f>ROUND(_xlfn.F.INV.RT(B84,B63,B64),4)</f>
        <v>3.2172000000000001</v>
      </c>
      <c r="D86" s="14"/>
      <c r="E86" s="14"/>
      <c r="F86" s="14"/>
      <c r="G86" s="14"/>
      <c r="H86" s="14"/>
      <c r="I86" s="14"/>
      <c r="J86" s="45"/>
      <c r="N86" s="14"/>
    </row>
    <row r="87" spans="1:39">
      <c r="A87" s="43"/>
      <c r="B87" s="14"/>
      <c r="C87" s="14"/>
      <c r="D87" s="14"/>
      <c r="E87" s="14"/>
      <c r="F87" s="14"/>
      <c r="G87" s="14"/>
      <c r="H87" s="14"/>
      <c r="I87" s="14"/>
      <c r="J87" s="45"/>
      <c r="N87" s="14"/>
    </row>
    <row r="88" spans="1:39">
      <c r="A88" s="43" t="str">
        <f>IF(C86&lt;=E63, "R: Como  " &amp;ROUND(C86,4) &amp;" &lt; "&amp;ROUND(E63,4)&amp;" o modelo é significativo","R: Como  " &amp;ROUND(C86,4) &amp;" &gt; "&amp;ROUND(E63,4)&amp;" o modelo não é significativo" )</f>
        <v>R: Como  3,2172 &lt; 1627,1146 o modelo é significativo</v>
      </c>
      <c r="B88" s="14"/>
      <c r="C88" s="14"/>
      <c r="D88" s="14"/>
      <c r="E88" s="14"/>
      <c r="F88" s="14"/>
      <c r="G88" s="14"/>
      <c r="H88" s="14"/>
      <c r="I88" s="14"/>
      <c r="J88" s="45"/>
      <c r="N88" s="14"/>
    </row>
    <row r="89" spans="1:39" ht="13.5" thickBot="1">
      <c r="A89" s="47"/>
      <c r="B89" s="28"/>
      <c r="C89" s="28"/>
      <c r="D89" s="28"/>
      <c r="E89" s="28"/>
      <c r="F89" s="28"/>
      <c r="G89" s="28"/>
      <c r="H89" s="28"/>
      <c r="I89" s="28"/>
      <c r="J89" s="49"/>
      <c r="N89" s="14"/>
    </row>
    <row r="90" spans="1:39">
      <c r="N90" s="14"/>
    </row>
    <row r="91" spans="1:39">
      <c r="N91" s="14"/>
    </row>
    <row r="92" spans="1:39" ht="13.5" thickBot="1">
      <c r="N92" s="14"/>
    </row>
    <row r="93" spans="1:39">
      <c r="A93" s="21" t="s">
        <v>78</v>
      </c>
      <c r="B93" s="39"/>
      <c r="C93" s="40" t="s">
        <v>61</v>
      </c>
      <c r="D93" s="41">
        <v>0.95</v>
      </c>
      <c r="E93" s="41"/>
      <c r="F93" s="41"/>
      <c r="G93" s="41"/>
      <c r="H93" s="41"/>
      <c r="I93" s="41"/>
      <c r="J93" s="41"/>
      <c r="K93" s="42"/>
      <c r="N93" s="39"/>
      <c r="O93" s="40" t="s">
        <v>61</v>
      </c>
      <c r="P93" s="41">
        <v>0.9</v>
      </c>
      <c r="Q93" s="41"/>
      <c r="R93" s="41"/>
      <c r="S93" s="41"/>
      <c r="T93" s="41"/>
      <c r="U93" s="41"/>
      <c r="V93" s="41"/>
      <c r="W93" s="42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</row>
    <row r="94" spans="1:39">
      <c r="A94" s="69" t="s">
        <v>82</v>
      </c>
      <c r="B94" s="43"/>
      <c r="C94" s="44" t="s">
        <v>62</v>
      </c>
      <c r="D94" s="14">
        <f>1-D93</f>
        <v>5.0000000000000044E-2</v>
      </c>
      <c r="E94" s="14"/>
      <c r="F94" s="14"/>
      <c r="G94" s="29" t="str">
        <f>A97&amp;"="</f>
        <v>β0=</v>
      </c>
      <c r="H94" s="14">
        <f>AI30</f>
        <v>-61.956438261931908</v>
      </c>
      <c r="I94" s="14"/>
      <c r="J94" s="14"/>
      <c r="K94" s="45"/>
      <c r="N94" s="43"/>
      <c r="O94" s="44" t="s">
        <v>62</v>
      </c>
      <c r="P94" s="14">
        <f>1-P93</f>
        <v>9.9999999999999978E-2</v>
      </c>
      <c r="Q94" s="14"/>
      <c r="R94" s="14"/>
      <c r="S94" s="29" t="str">
        <f>G94</f>
        <v>β0=</v>
      </c>
      <c r="T94" s="29">
        <f>H94</f>
        <v>-61.956438261931908</v>
      </c>
      <c r="U94" s="14"/>
      <c r="V94" s="14"/>
      <c r="W94" s="45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</row>
    <row r="95" spans="1:39">
      <c r="A95" s="21" t="s">
        <v>83</v>
      </c>
      <c r="B95" s="43"/>
      <c r="C95" s="14"/>
      <c r="D95" s="14">
        <f>ROUND(_xlfn.T.INV(1-D94/2,17-(6+1)),2)</f>
        <v>2.23</v>
      </c>
      <c r="E95" s="14"/>
      <c r="F95" s="14"/>
      <c r="G95" s="14"/>
      <c r="H95" s="14"/>
      <c r="I95" s="14"/>
      <c r="J95" s="14"/>
      <c r="K95" s="45"/>
      <c r="N95" s="43"/>
      <c r="O95" s="14"/>
      <c r="P95" s="14">
        <f>ROUND(_xlfn.T.INV(1-P94/2,17-(6+1)),2)</f>
        <v>1.81</v>
      </c>
      <c r="Q95" s="14"/>
      <c r="R95" s="14"/>
      <c r="S95" s="14"/>
      <c r="T95" s="14"/>
      <c r="U95" s="14"/>
      <c r="V95" s="14"/>
      <c r="W95" s="45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</row>
    <row r="96" spans="1:39">
      <c r="A96" s="69" t="s">
        <v>45</v>
      </c>
      <c r="B96" s="43"/>
      <c r="C96" s="14"/>
      <c r="D96" s="14"/>
      <c r="E96" s="14"/>
      <c r="F96" s="14"/>
      <c r="G96" s="14"/>
      <c r="H96" s="14"/>
      <c r="I96" s="14"/>
      <c r="J96" s="14"/>
      <c r="K96" s="45"/>
      <c r="N96" s="43"/>
      <c r="O96" s="14"/>
      <c r="P96" s="14"/>
      <c r="Q96" s="14"/>
      <c r="R96" s="14"/>
      <c r="S96" s="14"/>
      <c r="T96" s="14"/>
      <c r="U96" s="14"/>
      <c r="V96" s="14"/>
      <c r="W96" s="45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</row>
    <row r="97" spans="1:39">
      <c r="A97" s="21" t="s">
        <v>84</v>
      </c>
      <c r="B97" s="43"/>
      <c r="C97" s="14"/>
      <c r="D97" s="14">
        <f>D54</f>
        <v>365.86306684063749</v>
      </c>
      <c r="E97" s="14"/>
      <c r="F97" s="14"/>
      <c r="G97" s="14"/>
      <c r="H97" s="14"/>
      <c r="I97" s="14"/>
      <c r="J97" s="14"/>
      <c r="K97" s="45"/>
      <c r="N97" s="43"/>
      <c r="O97" s="14"/>
      <c r="P97" s="14">
        <f>D97</f>
        <v>365.86306684063749</v>
      </c>
      <c r="Q97" s="14"/>
      <c r="R97" s="14"/>
      <c r="S97" s="14"/>
      <c r="T97" s="14"/>
      <c r="U97" s="14"/>
      <c r="V97" s="14"/>
      <c r="W97" s="45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</row>
    <row r="98" spans="1:39">
      <c r="B98" s="43"/>
      <c r="C98" s="14"/>
      <c r="D98" s="14"/>
      <c r="E98" s="14"/>
      <c r="F98" s="14"/>
      <c r="G98" s="14"/>
      <c r="H98" s="14"/>
      <c r="I98" s="14"/>
      <c r="J98" s="14"/>
      <c r="K98" s="45"/>
      <c r="N98" s="43"/>
      <c r="O98" s="14"/>
      <c r="P98" s="14"/>
      <c r="Q98" s="14"/>
      <c r="R98" s="14"/>
      <c r="S98" s="14"/>
      <c r="T98" s="14"/>
      <c r="U98" s="14"/>
      <c r="V98" s="14"/>
      <c r="W98" s="45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</row>
    <row r="99" spans="1:39">
      <c r="B99" s="43"/>
      <c r="C99" s="14"/>
      <c r="D99" s="14">
        <f>O30</f>
        <v>13.255687925542237</v>
      </c>
      <c r="E99" s="14"/>
      <c r="F99" s="14"/>
      <c r="G99" s="14"/>
      <c r="H99" s="14"/>
      <c r="I99" s="14"/>
      <c r="J99" s="14"/>
      <c r="K99" s="45"/>
      <c r="N99" s="43"/>
      <c r="O99" s="14"/>
      <c r="P99" s="14">
        <f>D99</f>
        <v>13.255687925542237</v>
      </c>
      <c r="Q99" s="14"/>
      <c r="R99" s="14"/>
      <c r="S99" s="14"/>
      <c r="T99" s="14"/>
      <c r="U99" s="14"/>
      <c r="V99" s="14"/>
      <c r="W99" s="45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</row>
    <row r="100" spans="1:39">
      <c r="B100" s="43"/>
      <c r="C100" s="14"/>
      <c r="D100" s="14"/>
      <c r="E100" s="14"/>
      <c r="F100" s="29" t="s">
        <v>67</v>
      </c>
      <c r="G100" s="14">
        <f>H94-D101</f>
        <v>-217.25423126534076</v>
      </c>
      <c r="H100" s="14"/>
      <c r="I100" s="14"/>
      <c r="J100" s="14"/>
      <c r="K100" s="45"/>
      <c r="N100" s="43"/>
      <c r="O100" s="14"/>
      <c r="P100" s="14"/>
      <c r="Q100" s="14"/>
      <c r="R100" s="29" t="s">
        <v>67</v>
      </c>
      <c r="S100" s="14">
        <f>T94-P101</f>
        <v>-188.00531957860008</v>
      </c>
      <c r="T100" s="14"/>
      <c r="U100" s="14"/>
      <c r="V100" s="14"/>
      <c r="W100" s="45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</row>
    <row r="101" spans="1:39" ht="13.5" thickBot="1">
      <c r="B101" s="47"/>
      <c r="C101" s="48" t="s">
        <v>60</v>
      </c>
      <c r="D101" s="28">
        <f>D95*SQRT(D97*D99)</f>
        <v>155.29779300340886</v>
      </c>
      <c r="E101" s="28"/>
      <c r="F101" s="48" t="s">
        <v>68</v>
      </c>
      <c r="G101" s="28">
        <f>H94+D101</f>
        <v>93.341354741476948</v>
      </c>
      <c r="H101" s="28"/>
      <c r="I101" s="28"/>
      <c r="J101" s="28"/>
      <c r="K101" s="49"/>
      <c r="N101" s="47"/>
      <c r="O101" s="48" t="s">
        <v>60</v>
      </c>
      <c r="P101" s="28">
        <f>P95*SQRT(P97*P99)</f>
        <v>126.04888131666817</v>
      </c>
      <c r="Q101" s="28"/>
      <c r="R101" s="48" t="s">
        <v>68</v>
      </c>
      <c r="S101" s="28">
        <f>T94+P101</f>
        <v>64.092443054736265</v>
      </c>
      <c r="T101" s="28"/>
      <c r="U101" s="28"/>
      <c r="V101" s="28"/>
      <c r="W101" s="49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</row>
    <row r="102" spans="1:39" ht="13.5" thickBot="1"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</row>
    <row r="103" spans="1:39">
      <c r="A103" s="21" t="s">
        <v>78</v>
      </c>
      <c r="B103" s="39"/>
      <c r="C103" s="40" t="s">
        <v>61</v>
      </c>
      <c r="D103" s="41">
        <v>0.95</v>
      </c>
      <c r="E103" s="41"/>
      <c r="F103" s="41"/>
      <c r="G103" s="41"/>
      <c r="H103" s="41"/>
      <c r="I103" s="41"/>
      <c r="J103" s="41"/>
      <c r="K103" s="42"/>
      <c r="N103" s="39"/>
      <c r="O103" s="40" t="s">
        <v>61</v>
      </c>
      <c r="P103" s="41">
        <v>0.9</v>
      </c>
      <c r="Q103" s="41"/>
      <c r="R103" s="41"/>
      <c r="S103" s="41"/>
      <c r="T103" s="41"/>
      <c r="U103" s="41"/>
      <c r="V103" s="41"/>
      <c r="W103" s="42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</row>
    <row r="104" spans="1:39">
      <c r="A104" s="69" t="s">
        <v>82</v>
      </c>
      <c r="B104" s="43"/>
      <c r="C104" s="44" t="s">
        <v>62</v>
      </c>
      <c r="D104" s="14">
        <f>1-D103</f>
        <v>5.0000000000000044E-2</v>
      </c>
      <c r="E104" s="14"/>
      <c r="F104" s="14"/>
      <c r="G104" s="29" t="str">
        <f>A107&amp;"="</f>
        <v>β1=</v>
      </c>
      <c r="H104" s="14">
        <f>AI31</f>
        <v>-18.927149443253029</v>
      </c>
      <c r="I104" s="14"/>
      <c r="J104" s="14"/>
      <c r="K104" s="45"/>
      <c r="N104" s="43"/>
      <c r="O104" s="44" t="s">
        <v>62</v>
      </c>
      <c r="P104" s="14">
        <f>1-P103</f>
        <v>9.9999999999999978E-2</v>
      </c>
      <c r="Q104" s="14"/>
      <c r="R104" s="14"/>
      <c r="S104" s="29" t="str">
        <f>G104</f>
        <v>β1=</v>
      </c>
      <c r="T104" s="29">
        <f>H104</f>
        <v>-18.927149443253029</v>
      </c>
      <c r="U104" s="14"/>
      <c r="V104" s="14"/>
      <c r="W104" s="45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</row>
    <row r="105" spans="1:39">
      <c r="A105" s="21" t="s">
        <v>83</v>
      </c>
      <c r="B105" s="43"/>
      <c r="C105" s="14"/>
      <c r="D105" s="14">
        <f>ROUND(_xlfn.T.INV(1-D104/2,17-(6+1)),2)</f>
        <v>2.23</v>
      </c>
      <c r="E105" s="14"/>
      <c r="F105" s="14"/>
      <c r="G105" s="14"/>
      <c r="H105" s="14"/>
      <c r="I105" s="14"/>
      <c r="J105" s="14"/>
      <c r="K105" s="45"/>
      <c r="N105" s="43"/>
      <c r="O105" s="14"/>
      <c r="P105" s="14">
        <f>ROUND(_xlfn.T.INV(1-P104/2,17-(6+1)),2)</f>
        <v>1.81</v>
      </c>
      <c r="Q105" s="14"/>
      <c r="R105" s="14"/>
      <c r="S105" s="14"/>
      <c r="T105" s="14"/>
      <c r="U105" s="14"/>
      <c r="V105" s="14"/>
      <c r="W105" s="45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</row>
    <row r="106" spans="1:39">
      <c r="A106" s="69" t="s">
        <v>45</v>
      </c>
      <c r="B106" s="43"/>
      <c r="C106" s="14"/>
      <c r="D106" s="14"/>
      <c r="E106" s="14"/>
      <c r="F106" s="14"/>
      <c r="G106" s="14"/>
      <c r="H106" s="14"/>
      <c r="I106" s="14"/>
      <c r="J106" s="14"/>
      <c r="K106" s="45"/>
      <c r="N106" s="43"/>
      <c r="O106" s="14"/>
      <c r="P106" s="14"/>
      <c r="Q106" s="14"/>
      <c r="R106" s="14"/>
      <c r="S106" s="14"/>
      <c r="T106" s="14"/>
      <c r="U106" s="14"/>
      <c r="V106" s="14"/>
      <c r="W106" s="45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</row>
    <row r="107" spans="1:39">
      <c r="A107" s="21" t="s">
        <v>85</v>
      </c>
      <c r="B107" s="43"/>
      <c r="C107" s="14"/>
      <c r="D107" s="14">
        <f>D54</f>
        <v>365.86306684063749</v>
      </c>
      <c r="E107" s="14"/>
      <c r="F107" s="14"/>
      <c r="G107" s="14"/>
      <c r="H107" s="14"/>
      <c r="I107" s="14"/>
      <c r="J107" s="14"/>
      <c r="K107" s="45"/>
      <c r="N107" s="43"/>
      <c r="O107" s="14"/>
      <c r="P107" s="14">
        <f>D107</f>
        <v>365.86306684063749</v>
      </c>
      <c r="Q107" s="14"/>
      <c r="R107" s="14"/>
      <c r="S107" s="14"/>
      <c r="T107" s="14"/>
      <c r="U107" s="14"/>
      <c r="V107" s="14"/>
      <c r="W107" s="45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</row>
    <row r="108" spans="1:39">
      <c r="B108" s="43"/>
      <c r="C108" s="14"/>
      <c r="D108" s="14"/>
      <c r="E108" s="14"/>
      <c r="F108" s="14"/>
      <c r="G108" s="14"/>
      <c r="H108" s="14"/>
      <c r="I108" s="14"/>
      <c r="J108" s="14"/>
      <c r="K108" s="45"/>
      <c r="N108" s="43"/>
      <c r="O108" s="14"/>
      <c r="P108" s="14"/>
      <c r="Q108" s="14"/>
      <c r="R108" s="14"/>
      <c r="S108" s="14"/>
      <c r="T108" s="14"/>
      <c r="U108" s="14"/>
      <c r="V108" s="14"/>
      <c r="W108" s="45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</row>
    <row r="109" spans="1:39">
      <c r="B109" s="43"/>
      <c r="C109" s="14"/>
      <c r="D109" s="14">
        <f>P31</f>
        <v>11.912496155592113</v>
      </c>
      <c r="E109" s="14"/>
      <c r="F109" s="14"/>
      <c r="G109" s="14"/>
      <c r="H109" s="14"/>
      <c r="I109" s="14"/>
      <c r="J109" s="14"/>
      <c r="K109" s="45"/>
      <c r="N109" s="43"/>
      <c r="O109" s="14"/>
      <c r="P109" s="14">
        <f>D109</f>
        <v>11.912496155592113</v>
      </c>
      <c r="Q109" s="14"/>
      <c r="R109" s="14"/>
      <c r="S109" s="14"/>
      <c r="T109" s="14"/>
      <c r="U109" s="14"/>
      <c r="V109" s="14"/>
      <c r="W109" s="45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</row>
    <row r="110" spans="1:39">
      <c r="B110" s="43"/>
      <c r="C110" s="14"/>
      <c r="D110" s="14"/>
      <c r="E110" s="14"/>
      <c r="F110" s="29" t="s">
        <v>67</v>
      </c>
      <c r="G110" s="14">
        <f>H104-D111</f>
        <v>-166.14671610352656</v>
      </c>
      <c r="H110" s="14"/>
      <c r="I110" s="14"/>
      <c r="J110" s="14"/>
      <c r="K110" s="45"/>
      <c r="N110" s="43"/>
      <c r="O110" s="14"/>
      <c r="P110" s="14"/>
      <c r="Q110" s="14"/>
      <c r="R110" s="29" t="s">
        <v>67</v>
      </c>
      <c r="S110" s="14">
        <f>T104-P111</f>
        <v>-138.41926408679342</v>
      </c>
      <c r="T110" s="14"/>
      <c r="U110" s="14"/>
      <c r="V110" s="14"/>
      <c r="W110" s="45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</row>
    <row r="111" spans="1:39" ht="13.5" thickBot="1">
      <c r="B111" s="47"/>
      <c r="C111" s="48" t="s">
        <v>60</v>
      </c>
      <c r="D111" s="28">
        <f>D105*SQRT(D107*D109)</f>
        <v>147.21956666027353</v>
      </c>
      <c r="E111" s="28"/>
      <c r="F111" s="48" t="s">
        <v>68</v>
      </c>
      <c r="G111" s="28">
        <f>H104+D111</f>
        <v>128.2924172170205</v>
      </c>
      <c r="H111" s="28"/>
      <c r="I111" s="28"/>
      <c r="J111" s="28"/>
      <c r="K111" s="49"/>
      <c r="N111" s="47"/>
      <c r="O111" s="48" t="s">
        <v>60</v>
      </c>
      <c r="P111" s="28">
        <f>P105*SQRT(P107*P109)</f>
        <v>119.4921146435404</v>
      </c>
      <c r="Q111" s="28"/>
      <c r="R111" s="48" t="s">
        <v>68</v>
      </c>
      <c r="S111" s="28">
        <f>T104+P111</f>
        <v>100.56496520028738</v>
      </c>
      <c r="T111" s="28"/>
      <c r="U111" s="28"/>
      <c r="V111" s="28"/>
      <c r="W111" s="49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</row>
    <row r="112" spans="1:39" ht="13.5" thickBot="1"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</row>
    <row r="113" spans="1:39">
      <c r="A113" s="21" t="s">
        <v>78</v>
      </c>
      <c r="B113" s="39"/>
      <c r="C113" s="40" t="s">
        <v>61</v>
      </c>
      <c r="D113" s="41">
        <v>0.95</v>
      </c>
      <c r="E113" s="41"/>
      <c r="F113" s="41"/>
      <c r="G113" s="41"/>
      <c r="H113" s="41"/>
      <c r="I113" s="41"/>
      <c r="J113" s="41"/>
      <c r="K113" s="42"/>
      <c r="N113" s="39"/>
      <c r="O113" s="40" t="s">
        <v>61</v>
      </c>
      <c r="P113" s="41">
        <v>0.9</v>
      </c>
      <c r="Q113" s="41"/>
      <c r="R113" s="41"/>
      <c r="S113" s="41"/>
      <c r="T113" s="41"/>
      <c r="U113" s="41"/>
      <c r="V113" s="41"/>
      <c r="W113" s="42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</row>
    <row r="114" spans="1:39">
      <c r="A114" s="69" t="s">
        <v>82</v>
      </c>
      <c r="B114" s="43"/>
      <c r="C114" s="44" t="s">
        <v>62</v>
      </c>
      <c r="D114" s="14">
        <f>1-D113</f>
        <v>5.0000000000000044E-2</v>
      </c>
      <c r="E114" s="14"/>
      <c r="F114" s="14"/>
      <c r="G114" s="29" t="str">
        <f>A117&amp;"="</f>
        <v>β2=</v>
      </c>
      <c r="H114" s="14">
        <f>AI32</f>
        <v>-0.11135021232880205</v>
      </c>
      <c r="I114" s="14"/>
      <c r="J114" s="14"/>
      <c r="K114" s="45"/>
      <c r="N114" s="43"/>
      <c r="O114" s="44" t="s">
        <v>62</v>
      </c>
      <c r="P114" s="14">
        <f>1-P113</f>
        <v>9.9999999999999978E-2</v>
      </c>
      <c r="Q114" s="14"/>
      <c r="R114" s="14"/>
      <c r="S114" s="29" t="str">
        <f>G114</f>
        <v>β2=</v>
      </c>
      <c r="T114" s="29">
        <f>H114</f>
        <v>-0.11135021232880205</v>
      </c>
      <c r="U114" s="14"/>
      <c r="V114" s="14"/>
      <c r="W114" s="45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</row>
    <row r="115" spans="1:39">
      <c r="A115" s="21" t="s">
        <v>83</v>
      </c>
      <c r="B115" s="43"/>
      <c r="C115" s="14"/>
      <c r="D115" s="14">
        <f>ROUND(_xlfn.T.INV(1-D114/2,17-(6+1)),2)</f>
        <v>2.23</v>
      </c>
      <c r="E115" s="14"/>
      <c r="F115" s="14"/>
      <c r="G115" s="14"/>
      <c r="H115" s="14"/>
      <c r="I115" s="14"/>
      <c r="J115" s="14"/>
      <c r="K115" s="45"/>
      <c r="N115" s="43"/>
      <c r="O115" s="14"/>
      <c r="P115" s="14">
        <f>ROUND(_xlfn.T.INV(1-P114/2,17-(6+1)),2)</f>
        <v>1.81</v>
      </c>
      <c r="Q115" s="14"/>
      <c r="R115" s="14"/>
      <c r="S115" s="14"/>
      <c r="T115" s="14"/>
      <c r="U115" s="14"/>
      <c r="V115" s="14"/>
      <c r="W115" s="45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</row>
    <row r="116" spans="1:39">
      <c r="A116" s="69" t="s">
        <v>45</v>
      </c>
      <c r="B116" s="43"/>
      <c r="C116" s="14"/>
      <c r="D116" s="14"/>
      <c r="E116" s="14"/>
      <c r="F116" s="14"/>
      <c r="G116" s="14"/>
      <c r="H116" s="14"/>
      <c r="I116" s="14"/>
      <c r="J116" s="14"/>
      <c r="K116" s="45"/>
      <c r="N116" s="43"/>
      <c r="O116" s="14"/>
      <c r="P116" s="14"/>
      <c r="Q116" s="14"/>
      <c r="R116" s="14"/>
      <c r="S116" s="14"/>
      <c r="T116" s="14"/>
      <c r="U116" s="14"/>
      <c r="V116" s="14"/>
      <c r="W116" s="45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</row>
    <row r="117" spans="1:39">
      <c r="A117" s="21" t="s">
        <v>86</v>
      </c>
      <c r="B117" s="43"/>
      <c r="C117" s="14"/>
      <c r="D117" s="14">
        <f>D54</f>
        <v>365.86306684063749</v>
      </c>
      <c r="E117" s="14"/>
      <c r="F117" s="14"/>
      <c r="G117" s="14"/>
      <c r="H117" s="14"/>
      <c r="I117" s="14"/>
      <c r="J117" s="14"/>
      <c r="K117" s="45"/>
      <c r="N117" s="43"/>
      <c r="O117" s="14"/>
      <c r="P117" s="14">
        <f>D117</f>
        <v>365.86306684063749</v>
      </c>
      <c r="Q117" s="14"/>
      <c r="R117" s="14"/>
      <c r="S117" s="14"/>
      <c r="T117" s="14"/>
      <c r="U117" s="14"/>
      <c r="V117" s="14"/>
      <c r="W117" s="45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</row>
    <row r="118" spans="1:39">
      <c r="B118" s="43"/>
      <c r="C118" s="14"/>
      <c r="D118" s="14"/>
      <c r="E118" s="14"/>
      <c r="F118" s="14"/>
      <c r="G118" s="14"/>
      <c r="H118" s="14"/>
      <c r="I118" s="14"/>
      <c r="J118" s="14"/>
      <c r="K118" s="45"/>
      <c r="N118" s="43"/>
      <c r="O118" s="14"/>
      <c r="P118" s="14"/>
      <c r="Q118" s="14"/>
      <c r="R118" s="14"/>
      <c r="S118" s="14"/>
      <c r="T118" s="14"/>
      <c r="U118" s="14"/>
      <c r="V118" s="14"/>
      <c r="W118" s="45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</row>
    <row r="119" spans="1:39">
      <c r="B119" s="43"/>
      <c r="C119" s="14"/>
      <c r="D119" s="14">
        <f>Q32</f>
        <v>3.0936003535666344E-6</v>
      </c>
      <c r="E119" s="14"/>
      <c r="F119" s="14"/>
      <c r="G119" s="14"/>
      <c r="H119" s="14"/>
      <c r="I119" s="14"/>
      <c r="J119" s="14"/>
      <c r="K119" s="45"/>
      <c r="N119" s="43"/>
      <c r="O119" s="14"/>
      <c r="P119" s="14">
        <f>D119</f>
        <v>3.0936003535666344E-6</v>
      </c>
      <c r="Q119" s="14"/>
      <c r="R119" s="14"/>
      <c r="S119" s="14"/>
      <c r="T119" s="14"/>
      <c r="U119" s="14"/>
      <c r="V119" s="14"/>
      <c r="W119" s="45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</row>
    <row r="120" spans="1:39">
      <c r="B120" s="43"/>
      <c r="C120" s="14"/>
      <c r="D120" s="14"/>
      <c r="E120" s="14"/>
      <c r="F120" s="29" t="s">
        <v>67</v>
      </c>
      <c r="G120" s="14">
        <f>H114-D121</f>
        <v>-0.18637352777283786</v>
      </c>
      <c r="H120" s="14"/>
      <c r="I120" s="14"/>
      <c r="J120" s="14"/>
      <c r="K120" s="45"/>
      <c r="N120" s="43"/>
      <c r="O120" s="14"/>
      <c r="P120" s="14"/>
      <c r="Q120" s="14"/>
      <c r="R120" s="29" t="s">
        <v>67</v>
      </c>
      <c r="S120" s="14">
        <f>T114-P121</f>
        <v>-0.17224357598517193</v>
      </c>
      <c r="T120" s="14"/>
      <c r="U120" s="14"/>
      <c r="V120" s="14"/>
      <c r="W120" s="45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</row>
    <row r="121" spans="1:39" ht="13.5" thickBot="1">
      <c r="B121" s="47"/>
      <c r="C121" s="48" t="s">
        <v>60</v>
      </c>
      <c r="D121" s="28">
        <f>D115*SQRT(D117*D119)</f>
        <v>7.5023315444035815E-2</v>
      </c>
      <c r="E121" s="28"/>
      <c r="F121" s="48" t="s">
        <v>68</v>
      </c>
      <c r="G121" s="28">
        <f>H114+D121</f>
        <v>-3.632689688476623E-2</v>
      </c>
      <c r="H121" s="28"/>
      <c r="I121" s="28"/>
      <c r="J121" s="28"/>
      <c r="K121" s="49"/>
      <c r="N121" s="47"/>
      <c r="O121" s="48" t="s">
        <v>60</v>
      </c>
      <c r="P121" s="28">
        <f>P115*SQRT(P117*P119)</f>
        <v>6.0893363656369881E-2</v>
      </c>
      <c r="Q121" s="28"/>
      <c r="R121" s="48" t="s">
        <v>68</v>
      </c>
      <c r="S121" s="28">
        <f>T114+P121</f>
        <v>-5.0456848672432164E-2</v>
      </c>
      <c r="T121" s="28"/>
      <c r="U121" s="28"/>
      <c r="V121" s="28"/>
      <c r="W121" s="49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</row>
    <row r="122" spans="1:39" ht="13.5" thickBot="1"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</row>
    <row r="123" spans="1:39">
      <c r="A123" s="21" t="s">
        <v>78</v>
      </c>
      <c r="B123" s="39"/>
      <c r="C123" s="40" t="s">
        <v>61</v>
      </c>
      <c r="D123" s="41">
        <v>0.95</v>
      </c>
      <c r="E123" s="41"/>
      <c r="F123" s="41"/>
      <c r="G123" s="41"/>
      <c r="H123" s="41"/>
      <c r="I123" s="41"/>
      <c r="J123" s="41"/>
      <c r="K123" s="42"/>
      <c r="N123" s="39"/>
      <c r="O123" s="40" t="s">
        <v>61</v>
      </c>
      <c r="P123" s="41">
        <v>0.9</v>
      </c>
      <c r="Q123" s="41"/>
      <c r="R123" s="41"/>
      <c r="S123" s="41"/>
      <c r="T123" s="41"/>
      <c r="U123" s="41"/>
      <c r="V123" s="41"/>
      <c r="W123" s="42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</row>
    <row r="124" spans="1:39">
      <c r="A124" s="69" t="s">
        <v>82</v>
      </c>
      <c r="B124" s="43"/>
      <c r="C124" s="44" t="s">
        <v>62</v>
      </c>
      <c r="D124" s="14">
        <f>1-D123</f>
        <v>5.0000000000000044E-2</v>
      </c>
      <c r="E124" s="14"/>
      <c r="F124" s="14"/>
      <c r="G124" s="29" t="str">
        <f>A127&amp;"="</f>
        <v>β3=</v>
      </c>
      <c r="H124" s="14">
        <f>AI33</f>
        <v>3.2176595591455401E-2</v>
      </c>
      <c r="I124" s="14"/>
      <c r="J124" s="14"/>
      <c r="K124" s="45"/>
      <c r="N124" s="43"/>
      <c r="O124" s="44" t="s">
        <v>62</v>
      </c>
      <c r="P124" s="14">
        <f>1-P123</f>
        <v>9.9999999999999978E-2</v>
      </c>
      <c r="Q124" s="14"/>
      <c r="R124" s="14"/>
      <c r="S124" s="29" t="str">
        <f>G124</f>
        <v>β3=</v>
      </c>
      <c r="T124" s="29">
        <f>H124</f>
        <v>3.2176595591455401E-2</v>
      </c>
      <c r="U124" s="14"/>
      <c r="V124" s="14"/>
      <c r="W124" s="45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</row>
    <row r="125" spans="1:39">
      <c r="A125" s="21" t="s">
        <v>83</v>
      </c>
      <c r="B125" s="43"/>
      <c r="C125" s="14"/>
      <c r="D125" s="14">
        <f>ROUND(_xlfn.T.INV(1-D124/2,17-(6+1)),2)</f>
        <v>2.23</v>
      </c>
      <c r="E125" s="14"/>
      <c r="F125" s="14"/>
      <c r="G125" s="14"/>
      <c r="H125" s="14"/>
      <c r="I125" s="14"/>
      <c r="J125" s="14"/>
      <c r="K125" s="45"/>
      <c r="N125" s="43"/>
      <c r="O125" s="14"/>
      <c r="P125" s="14">
        <f>ROUND(_xlfn.T.INV(1-P124/2,17-(6+1)),2)</f>
        <v>1.81</v>
      </c>
      <c r="Q125" s="14"/>
      <c r="R125" s="14"/>
      <c r="S125" s="14"/>
      <c r="T125" s="14"/>
      <c r="U125" s="14"/>
      <c r="V125" s="14"/>
      <c r="W125" s="45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</row>
    <row r="126" spans="1:39">
      <c r="A126" s="69" t="s">
        <v>45</v>
      </c>
      <c r="B126" s="43"/>
      <c r="C126" s="14"/>
      <c r="D126" s="14"/>
      <c r="E126" s="14"/>
      <c r="F126" s="14"/>
      <c r="G126" s="14"/>
      <c r="H126" s="14"/>
      <c r="I126" s="14"/>
      <c r="J126" s="14"/>
      <c r="K126" s="45"/>
      <c r="N126" s="43"/>
      <c r="O126" s="14"/>
      <c r="P126" s="14"/>
      <c r="Q126" s="14"/>
      <c r="R126" s="14"/>
      <c r="S126" s="14"/>
      <c r="T126" s="14"/>
      <c r="U126" s="14"/>
      <c r="V126" s="14"/>
      <c r="W126" s="45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</row>
    <row r="127" spans="1:39">
      <c r="A127" s="21" t="s">
        <v>87</v>
      </c>
      <c r="B127" s="43"/>
      <c r="C127" s="14"/>
      <c r="D127" s="14">
        <f>D54</f>
        <v>365.86306684063749</v>
      </c>
      <c r="E127" s="14"/>
      <c r="F127" s="14"/>
      <c r="G127" s="14"/>
      <c r="H127" s="14"/>
      <c r="I127" s="14"/>
      <c r="J127" s="14"/>
      <c r="K127" s="45"/>
      <c r="N127" s="43"/>
      <c r="O127" s="14"/>
      <c r="P127" s="14">
        <f>D127</f>
        <v>365.86306684063749</v>
      </c>
      <c r="Q127" s="14"/>
      <c r="R127" s="14"/>
      <c r="S127" s="14"/>
      <c r="T127" s="14"/>
      <c r="U127" s="14"/>
      <c r="V127" s="14"/>
      <c r="W127" s="45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</row>
    <row r="128" spans="1:39">
      <c r="B128" s="43"/>
      <c r="C128" s="14"/>
      <c r="D128" s="14"/>
      <c r="E128" s="14"/>
      <c r="F128" s="14"/>
      <c r="G128" s="14"/>
      <c r="H128" s="14"/>
      <c r="I128" s="14"/>
      <c r="J128" s="14"/>
      <c r="K128" s="45"/>
      <c r="N128" s="43"/>
      <c r="O128" s="14"/>
      <c r="P128" s="14"/>
      <c r="Q128" s="14"/>
      <c r="R128" s="14"/>
      <c r="S128" s="14"/>
      <c r="T128" s="14"/>
      <c r="U128" s="14"/>
      <c r="V128" s="14"/>
      <c r="W128" s="45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</row>
    <row r="129" spans="1:39">
      <c r="B129" s="43"/>
      <c r="C129" s="14"/>
      <c r="D129" s="14">
        <f>R33</f>
        <v>1.2343825290264708E-7</v>
      </c>
      <c r="E129" s="14"/>
      <c r="F129" s="14"/>
      <c r="G129" s="14"/>
      <c r="H129" s="14"/>
      <c r="I129" s="14"/>
      <c r="J129" s="14"/>
      <c r="K129" s="45"/>
      <c r="N129" s="43"/>
      <c r="O129" s="14"/>
      <c r="P129" s="14">
        <f>D129</f>
        <v>1.2343825290264708E-7</v>
      </c>
      <c r="Q129" s="14"/>
      <c r="R129" s="14"/>
      <c r="S129" s="14"/>
      <c r="T129" s="14"/>
      <c r="U129" s="14"/>
      <c r="V129" s="14"/>
      <c r="W129" s="45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</row>
    <row r="130" spans="1:39">
      <c r="B130" s="43"/>
      <c r="C130" s="14"/>
      <c r="D130" s="14"/>
      <c r="E130" s="14"/>
      <c r="F130" s="29" t="s">
        <v>67</v>
      </c>
      <c r="G130" s="14">
        <f>H124-D131</f>
        <v>1.7190481609757842E-2</v>
      </c>
      <c r="H130" s="14"/>
      <c r="I130" s="14"/>
      <c r="J130" s="14"/>
      <c r="K130" s="45"/>
      <c r="N130" s="43"/>
      <c r="O130" s="14"/>
      <c r="P130" s="14"/>
      <c r="Q130" s="14"/>
      <c r="R130" s="29" t="s">
        <v>67</v>
      </c>
      <c r="S130" s="14">
        <f>T124-P131</f>
        <v>2.0012978413485635E-2</v>
      </c>
      <c r="T130" s="14"/>
      <c r="U130" s="14"/>
      <c r="V130" s="14"/>
      <c r="W130" s="45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</row>
    <row r="131" spans="1:39" ht="13.5" thickBot="1">
      <c r="B131" s="47"/>
      <c r="C131" s="48" t="s">
        <v>60</v>
      </c>
      <c r="D131" s="28">
        <f>D125*SQRT(D127*D129)</f>
        <v>1.4986113981697557E-2</v>
      </c>
      <c r="E131" s="28"/>
      <c r="F131" s="48" t="s">
        <v>68</v>
      </c>
      <c r="G131" s="28">
        <f>H124+D131</f>
        <v>4.716270957315296E-2</v>
      </c>
      <c r="H131" s="28"/>
      <c r="I131" s="28"/>
      <c r="J131" s="28"/>
      <c r="K131" s="49"/>
      <c r="N131" s="47"/>
      <c r="O131" s="48" t="s">
        <v>60</v>
      </c>
      <c r="P131" s="28">
        <f>P125*SQRT(P127*P129)</f>
        <v>1.2163617177969767E-2</v>
      </c>
      <c r="Q131" s="28"/>
      <c r="R131" s="48" t="s">
        <v>68</v>
      </c>
      <c r="S131" s="28">
        <f>T124+P131</f>
        <v>4.4340212769425166E-2</v>
      </c>
      <c r="T131" s="28"/>
      <c r="U131" s="28"/>
      <c r="V131" s="28"/>
      <c r="W131" s="49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</row>
    <row r="132" spans="1:39" ht="13.5" thickBot="1"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</row>
    <row r="133" spans="1:39">
      <c r="A133" s="21" t="s">
        <v>78</v>
      </c>
      <c r="B133" s="39"/>
      <c r="C133" s="40" t="s">
        <v>61</v>
      </c>
      <c r="D133" s="41">
        <v>0.95</v>
      </c>
      <c r="E133" s="41"/>
      <c r="F133" s="41"/>
      <c r="G133" s="41"/>
      <c r="H133" s="41"/>
      <c r="I133" s="41"/>
      <c r="J133" s="41"/>
      <c r="K133" s="42"/>
      <c r="N133" s="39"/>
      <c r="O133" s="40" t="s">
        <v>61</v>
      </c>
      <c r="P133" s="41">
        <v>0.9</v>
      </c>
      <c r="Q133" s="41"/>
      <c r="R133" s="41"/>
      <c r="S133" s="41"/>
      <c r="T133" s="41"/>
      <c r="U133" s="41"/>
      <c r="V133" s="41"/>
      <c r="W133" s="42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</row>
    <row r="134" spans="1:39">
      <c r="A134" s="69" t="s">
        <v>82</v>
      </c>
      <c r="B134" s="43"/>
      <c r="C134" s="44" t="s">
        <v>62</v>
      </c>
      <c r="D134" s="14">
        <f>1-D133</f>
        <v>5.0000000000000044E-2</v>
      </c>
      <c r="E134" s="14"/>
      <c r="F134" s="14"/>
      <c r="G134" s="29" t="str">
        <f>A137&amp;"="</f>
        <v>β4=</v>
      </c>
      <c r="H134" s="14">
        <f>AI34</f>
        <v>1.1780650193536551E-4</v>
      </c>
      <c r="I134" s="14"/>
      <c r="J134" s="14"/>
      <c r="K134" s="45"/>
      <c r="N134" s="43"/>
      <c r="O134" s="44" t="s">
        <v>62</v>
      </c>
      <c r="P134" s="14">
        <f>1-P133</f>
        <v>9.9999999999999978E-2</v>
      </c>
      <c r="Q134" s="14"/>
      <c r="R134" s="14"/>
      <c r="S134" s="29" t="str">
        <f>G134</f>
        <v>β4=</v>
      </c>
      <c r="T134" s="29">
        <f>H134</f>
        <v>1.1780650193536551E-4</v>
      </c>
      <c r="U134" s="14"/>
      <c r="V134" s="14"/>
      <c r="W134" s="45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</row>
    <row r="135" spans="1:39">
      <c r="A135" s="21" t="s">
        <v>83</v>
      </c>
      <c r="B135" s="43"/>
      <c r="C135" s="14"/>
      <c r="D135" s="14">
        <f>ROUND(_xlfn.T.INV(1-D134/2,17-(6+1)),2)</f>
        <v>2.23</v>
      </c>
      <c r="E135" s="14"/>
      <c r="F135" s="14"/>
      <c r="G135" s="14"/>
      <c r="H135" s="14"/>
      <c r="I135" s="14"/>
      <c r="J135" s="14"/>
      <c r="K135" s="45"/>
      <c r="N135" s="43"/>
      <c r="O135" s="14"/>
      <c r="P135" s="14">
        <f>ROUND(_xlfn.T.INV(1-P134/2,17-(6+1)),2)</f>
        <v>1.81</v>
      </c>
      <c r="Q135" s="14"/>
      <c r="R135" s="14"/>
      <c r="S135" s="14"/>
      <c r="T135" s="14"/>
      <c r="U135" s="14"/>
      <c r="V135" s="14"/>
      <c r="W135" s="45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</row>
    <row r="136" spans="1:39">
      <c r="A136" s="69" t="s">
        <v>45</v>
      </c>
      <c r="B136" s="43"/>
      <c r="C136" s="14"/>
      <c r="D136" s="14"/>
      <c r="E136" s="14"/>
      <c r="F136" s="14"/>
      <c r="G136" s="14"/>
      <c r="H136" s="14"/>
      <c r="I136" s="14"/>
      <c r="J136" s="14"/>
      <c r="K136" s="45"/>
      <c r="N136" s="43"/>
      <c r="O136" s="14"/>
      <c r="P136" s="14"/>
      <c r="Q136" s="14"/>
      <c r="R136" s="14"/>
      <c r="S136" s="14"/>
      <c r="T136" s="14"/>
      <c r="U136" s="14"/>
      <c r="V136" s="14"/>
      <c r="W136" s="45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</row>
    <row r="137" spans="1:39">
      <c r="A137" s="21" t="s">
        <v>90</v>
      </c>
      <c r="B137" s="43"/>
      <c r="C137" s="14"/>
      <c r="D137" s="14">
        <f>D54</f>
        <v>365.86306684063749</v>
      </c>
      <c r="E137" s="14"/>
      <c r="F137" s="14"/>
      <c r="G137" s="14"/>
      <c r="H137" s="14"/>
      <c r="I137" s="14"/>
      <c r="J137" s="14"/>
      <c r="K137" s="45"/>
      <c r="N137" s="43"/>
      <c r="O137" s="14"/>
      <c r="P137" s="14">
        <f>D137</f>
        <v>365.86306684063749</v>
      </c>
      <c r="Q137" s="14"/>
      <c r="R137" s="14"/>
      <c r="S137" s="14"/>
      <c r="T137" s="14"/>
      <c r="U137" s="14"/>
      <c r="V137" s="14"/>
      <c r="W137" s="45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</row>
    <row r="138" spans="1:39">
      <c r="B138" s="43"/>
      <c r="C138" s="14"/>
      <c r="D138" s="14"/>
      <c r="E138" s="14"/>
      <c r="F138" s="14"/>
      <c r="G138" s="14"/>
      <c r="H138" s="14"/>
      <c r="I138" s="14"/>
      <c r="J138" s="14"/>
      <c r="K138" s="45"/>
      <c r="N138" s="43"/>
      <c r="O138" s="14"/>
      <c r="P138" s="14"/>
      <c r="Q138" s="14"/>
      <c r="R138" s="14"/>
      <c r="S138" s="14"/>
      <c r="T138" s="14"/>
      <c r="U138" s="14"/>
      <c r="V138" s="14"/>
      <c r="W138" s="45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</row>
    <row r="139" spans="1:39">
      <c r="B139" s="43"/>
      <c r="C139" s="14"/>
      <c r="D139" s="14">
        <f>S34</f>
        <v>1.2003820364872178E-11</v>
      </c>
      <c r="E139" s="14"/>
      <c r="F139" s="14"/>
      <c r="G139" s="14"/>
      <c r="H139" s="14"/>
      <c r="I139" s="14"/>
      <c r="J139" s="14"/>
      <c r="K139" s="45"/>
      <c r="N139" s="43"/>
      <c r="O139" s="14"/>
      <c r="P139" s="14">
        <f>D139</f>
        <v>1.2003820364872178E-11</v>
      </c>
      <c r="Q139" s="14"/>
      <c r="R139" s="14"/>
      <c r="S139" s="14"/>
      <c r="T139" s="14"/>
      <c r="U139" s="14"/>
      <c r="V139" s="14"/>
      <c r="W139" s="45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</row>
    <row r="140" spans="1:39">
      <c r="B140" s="43"/>
      <c r="C140" s="14"/>
      <c r="D140" s="14"/>
      <c r="E140" s="14"/>
      <c r="F140" s="29" t="s">
        <v>67</v>
      </c>
      <c r="G140" s="14">
        <f>H134-D141</f>
        <v>-2.9976298534278189E-5</v>
      </c>
      <c r="H140" s="14"/>
      <c r="I140" s="14"/>
      <c r="J140" s="14"/>
      <c r="K140" s="45"/>
      <c r="N140" s="43"/>
      <c r="O140" s="14"/>
      <c r="P140" s="14"/>
      <c r="Q140" s="14"/>
      <c r="R140" s="29" t="s">
        <v>67</v>
      </c>
      <c r="S140" s="14">
        <f>T134-P141</f>
        <v>-2.1427666072601015E-6</v>
      </c>
      <c r="T140" s="14"/>
      <c r="U140" s="14"/>
      <c r="V140" s="14"/>
      <c r="W140" s="45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</row>
    <row r="141" spans="1:39" ht="13.5" thickBot="1">
      <c r="B141" s="47"/>
      <c r="C141" s="48" t="s">
        <v>60</v>
      </c>
      <c r="D141" s="28">
        <f>D135*SQRT(D137*D139)</f>
        <v>1.477828004696437E-4</v>
      </c>
      <c r="E141" s="28"/>
      <c r="F141" s="48" t="s">
        <v>68</v>
      </c>
      <c r="G141" s="28">
        <f>H134+D141</f>
        <v>2.6558930240500923E-4</v>
      </c>
      <c r="H141" s="28"/>
      <c r="I141" s="28"/>
      <c r="J141" s="28"/>
      <c r="K141" s="49"/>
      <c r="N141" s="47"/>
      <c r="O141" s="48" t="s">
        <v>60</v>
      </c>
      <c r="P141" s="28">
        <f>P135*SQRT(P137*P139)</f>
        <v>1.1994926854262561E-4</v>
      </c>
      <c r="Q141" s="28"/>
      <c r="R141" s="48" t="s">
        <v>68</v>
      </c>
      <c r="S141" s="28">
        <f>T134+P141</f>
        <v>2.3775577047799112E-4</v>
      </c>
      <c r="T141" s="28"/>
      <c r="U141" s="28"/>
      <c r="V141" s="28"/>
      <c r="W141" s="49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</row>
    <row r="142" spans="1:39" ht="13.5" thickBot="1"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</row>
    <row r="143" spans="1:39">
      <c r="A143" s="21" t="s">
        <v>78</v>
      </c>
      <c r="B143" s="39"/>
      <c r="C143" s="40" t="s">
        <v>61</v>
      </c>
      <c r="D143" s="41">
        <v>0.95</v>
      </c>
      <c r="E143" s="41"/>
      <c r="F143" s="41"/>
      <c r="G143" s="41"/>
      <c r="H143" s="41"/>
      <c r="I143" s="41"/>
      <c r="J143" s="41"/>
      <c r="K143" s="42"/>
      <c r="N143" s="39"/>
      <c r="O143" s="40" t="s">
        <v>61</v>
      </c>
      <c r="P143" s="41">
        <v>0.9</v>
      </c>
      <c r="Q143" s="41"/>
      <c r="R143" s="41"/>
      <c r="S143" s="41"/>
      <c r="T143" s="41"/>
      <c r="U143" s="41"/>
      <c r="V143" s="41"/>
      <c r="W143" s="42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</row>
    <row r="144" spans="1:39">
      <c r="A144" s="69" t="s">
        <v>82</v>
      </c>
      <c r="B144" s="43"/>
      <c r="C144" s="44" t="s">
        <v>62</v>
      </c>
      <c r="D144" s="14">
        <f>1-D143</f>
        <v>5.0000000000000044E-2</v>
      </c>
      <c r="E144" s="14"/>
      <c r="F144" s="14"/>
      <c r="G144" s="29" t="str">
        <f>A147&amp;"="</f>
        <v>β5=</v>
      </c>
      <c r="H144" s="14">
        <f>AI35</f>
        <v>5142.8623312350519</v>
      </c>
      <c r="I144" s="14"/>
      <c r="J144" s="14"/>
      <c r="K144" s="45"/>
      <c r="N144" s="43"/>
      <c r="O144" s="44" t="s">
        <v>62</v>
      </c>
      <c r="P144" s="14">
        <f>1-P143</f>
        <v>9.9999999999999978E-2</v>
      </c>
      <c r="Q144" s="14"/>
      <c r="R144" s="14"/>
      <c r="S144" s="29" t="str">
        <f>G144</f>
        <v>β5=</v>
      </c>
      <c r="T144" s="29">
        <f>H144</f>
        <v>5142.8623312350519</v>
      </c>
      <c r="U144" s="14"/>
      <c r="V144" s="14"/>
      <c r="W144" s="45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</row>
    <row r="145" spans="1:39">
      <c r="A145" s="21" t="s">
        <v>83</v>
      </c>
      <c r="B145" s="43"/>
      <c r="C145" s="14"/>
      <c r="D145" s="14">
        <f>ROUND(_xlfn.T.INV(1-D144/2,17-(6+1)),2)</f>
        <v>2.23</v>
      </c>
      <c r="E145" s="14"/>
      <c r="F145" s="14"/>
      <c r="G145" s="14"/>
      <c r="H145" s="14"/>
      <c r="I145" s="14"/>
      <c r="J145" s="14"/>
      <c r="K145" s="45"/>
      <c r="N145" s="43"/>
      <c r="O145" s="14"/>
      <c r="P145" s="14">
        <f>ROUND(_xlfn.T.INV(1-P144/2,17-(6+1)),2)</f>
        <v>1.81</v>
      </c>
      <c r="Q145" s="14"/>
      <c r="R145" s="14"/>
      <c r="S145" s="14"/>
      <c r="T145" s="14"/>
      <c r="U145" s="14"/>
      <c r="V145" s="14"/>
      <c r="W145" s="45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</row>
    <row r="146" spans="1:39">
      <c r="A146" s="69" t="s">
        <v>45</v>
      </c>
      <c r="B146" s="43"/>
      <c r="C146" s="14"/>
      <c r="D146" s="14"/>
      <c r="E146" s="14"/>
      <c r="F146" s="14"/>
      <c r="G146" s="14"/>
      <c r="H146" s="14"/>
      <c r="I146" s="14"/>
      <c r="J146" s="14"/>
      <c r="K146" s="45"/>
      <c r="N146" s="43"/>
      <c r="O146" s="14"/>
      <c r="P146" s="14"/>
      <c r="Q146" s="14"/>
      <c r="R146" s="14"/>
      <c r="S146" s="14"/>
      <c r="T146" s="14"/>
      <c r="U146" s="14"/>
      <c r="V146" s="14"/>
      <c r="W146" s="45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</row>
    <row r="147" spans="1:39">
      <c r="A147" s="21" t="s">
        <v>89</v>
      </c>
      <c r="B147" s="43"/>
      <c r="C147" s="14"/>
      <c r="D147" s="14">
        <f>D54</f>
        <v>365.86306684063749</v>
      </c>
      <c r="E147" s="14"/>
      <c r="F147" s="14"/>
      <c r="G147" s="14"/>
      <c r="H147" s="14"/>
      <c r="I147" s="14"/>
      <c r="J147" s="14"/>
      <c r="K147" s="45"/>
      <c r="N147" s="43"/>
      <c r="O147" s="14"/>
      <c r="P147" s="14">
        <f>D147</f>
        <v>365.86306684063749</v>
      </c>
      <c r="Q147" s="14"/>
      <c r="R147" s="14"/>
      <c r="S147" s="14"/>
      <c r="T147" s="14"/>
      <c r="U147" s="14"/>
      <c r="V147" s="14"/>
      <c r="W147" s="45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</row>
    <row r="148" spans="1:39">
      <c r="B148" s="43"/>
      <c r="C148" s="14"/>
      <c r="D148" s="14"/>
      <c r="E148" s="14"/>
      <c r="F148" s="14"/>
      <c r="G148" s="14"/>
      <c r="H148" s="14"/>
      <c r="I148" s="14"/>
      <c r="J148" s="14"/>
      <c r="K148" s="45"/>
      <c r="N148" s="43"/>
      <c r="O148" s="14"/>
      <c r="P148" s="14"/>
      <c r="Q148" s="14"/>
      <c r="R148" s="14"/>
      <c r="S148" s="14"/>
      <c r="T148" s="14"/>
      <c r="U148" s="14"/>
      <c r="V148" s="14"/>
      <c r="W148" s="45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</row>
    <row r="149" spans="1:39">
      <c r="B149" s="43"/>
      <c r="C149" s="14"/>
      <c r="D149" s="14">
        <f>T35</f>
        <v>2027.2929127316982</v>
      </c>
      <c r="E149" s="14"/>
      <c r="F149" s="14"/>
      <c r="G149" s="14"/>
      <c r="H149" s="14"/>
      <c r="I149" s="14"/>
      <c r="J149" s="14"/>
      <c r="K149" s="45"/>
      <c r="N149" s="43"/>
      <c r="O149" s="14"/>
      <c r="P149" s="14">
        <f>D149</f>
        <v>2027.2929127316982</v>
      </c>
      <c r="Q149" s="14"/>
      <c r="R149" s="14"/>
      <c r="S149" s="14"/>
      <c r="T149" s="14"/>
      <c r="U149" s="14"/>
      <c r="V149" s="14"/>
      <c r="W149" s="45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</row>
    <row r="150" spans="1:39">
      <c r="B150" s="43"/>
      <c r="C150" s="14"/>
      <c r="D150" s="14"/>
      <c r="E150" s="14"/>
      <c r="F150" s="29" t="s">
        <v>67</v>
      </c>
      <c r="G150" s="14">
        <f>H144-D151</f>
        <v>3222.3265654250226</v>
      </c>
      <c r="H150" s="14"/>
      <c r="I150" s="14"/>
      <c r="J150" s="14"/>
      <c r="K150" s="45"/>
      <c r="N150" s="43"/>
      <c r="O150" s="14"/>
      <c r="P150" s="14"/>
      <c r="Q150" s="14"/>
      <c r="R150" s="29" t="s">
        <v>67</v>
      </c>
      <c r="S150" s="14">
        <f>T144-P151</f>
        <v>3584.0418217659249</v>
      </c>
      <c r="T150" s="14"/>
      <c r="U150" s="14"/>
      <c r="V150" s="14"/>
      <c r="W150" s="45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</row>
    <row r="151" spans="1:39" ht="13.5" thickBot="1">
      <c r="B151" s="47"/>
      <c r="C151" s="48" t="s">
        <v>60</v>
      </c>
      <c r="D151" s="28">
        <f>D145*SQRT(D147*D149)</f>
        <v>1920.5357658100293</v>
      </c>
      <c r="E151" s="28"/>
      <c r="F151" s="48" t="s">
        <v>68</v>
      </c>
      <c r="G151" s="28">
        <f>H144+D151</f>
        <v>7063.3980970450812</v>
      </c>
      <c r="H151" s="28"/>
      <c r="I151" s="28"/>
      <c r="J151" s="28"/>
      <c r="K151" s="49"/>
      <c r="N151" s="47"/>
      <c r="O151" s="48" t="s">
        <v>60</v>
      </c>
      <c r="P151" s="28">
        <f>P145*SQRT(P147*P149)</f>
        <v>1558.820509469127</v>
      </c>
      <c r="Q151" s="28"/>
      <c r="R151" s="48" t="s">
        <v>68</v>
      </c>
      <c r="S151" s="28">
        <f>T144+P151</f>
        <v>6701.6828407041794</v>
      </c>
      <c r="T151" s="28"/>
      <c r="U151" s="28"/>
      <c r="V151" s="28"/>
      <c r="W151" s="49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</row>
    <row r="152" spans="1:39" ht="13.5" thickBot="1"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</row>
    <row r="153" spans="1:39">
      <c r="A153" s="21" t="s">
        <v>78</v>
      </c>
      <c r="B153" s="39"/>
      <c r="C153" s="40" t="s">
        <v>61</v>
      </c>
      <c r="D153" s="41">
        <v>0.95</v>
      </c>
      <c r="E153" s="41"/>
      <c r="F153" s="41"/>
      <c r="G153" s="41"/>
      <c r="H153" s="41"/>
      <c r="I153" s="41"/>
      <c r="J153" s="41"/>
      <c r="K153" s="42"/>
      <c r="N153" s="39"/>
      <c r="O153" s="40" t="s">
        <v>61</v>
      </c>
      <c r="P153" s="41">
        <v>0.9</v>
      </c>
      <c r="Q153" s="41"/>
      <c r="R153" s="41"/>
      <c r="S153" s="41"/>
      <c r="T153" s="41"/>
      <c r="U153" s="41"/>
      <c r="V153" s="41"/>
      <c r="W153" s="42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</row>
    <row r="154" spans="1:39">
      <c r="A154" s="69" t="s">
        <v>82</v>
      </c>
      <c r="B154" s="43"/>
      <c r="C154" s="44" t="s">
        <v>62</v>
      </c>
      <c r="D154" s="14">
        <f>1-D153</f>
        <v>5.0000000000000044E-2</v>
      </c>
      <c r="E154" s="14"/>
      <c r="F154" s="14"/>
      <c r="G154" s="29" t="str">
        <f>A157&amp;"="</f>
        <v>β6=</v>
      </c>
      <c r="H154" s="14">
        <f>AI36</f>
        <v>1.3680892446362759E-8</v>
      </c>
      <c r="I154" s="14"/>
      <c r="J154" s="14"/>
      <c r="K154" s="45"/>
      <c r="N154" s="43"/>
      <c r="O154" s="44" t="s">
        <v>62</v>
      </c>
      <c r="P154" s="14">
        <f>1-P153</f>
        <v>9.9999999999999978E-2</v>
      </c>
      <c r="Q154" s="14"/>
      <c r="R154" s="14"/>
      <c r="S154" s="29" t="str">
        <f>G154</f>
        <v>β6=</v>
      </c>
      <c r="T154" s="29">
        <f>H154</f>
        <v>1.3680892446362759E-8</v>
      </c>
      <c r="U154" s="14"/>
      <c r="V154" s="14"/>
      <c r="W154" s="45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</row>
    <row r="155" spans="1:39">
      <c r="A155" s="21" t="s">
        <v>83</v>
      </c>
      <c r="B155" s="43"/>
      <c r="C155" s="14"/>
      <c r="D155" s="14">
        <f>ROUND(_xlfn.T.INV(1-D154/2,17-(6+1)),2)</f>
        <v>2.23</v>
      </c>
      <c r="E155" s="14"/>
      <c r="F155" s="14"/>
      <c r="G155" s="14"/>
      <c r="H155" s="14"/>
      <c r="I155" s="14"/>
      <c r="J155" s="14"/>
      <c r="K155" s="45"/>
      <c r="N155" s="43"/>
      <c r="O155" s="14"/>
      <c r="P155" s="14">
        <f>ROUND(_xlfn.T.INV(1-P154/2,17-(6+1)),2)</f>
        <v>1.81</v>
      </c>
      <c r="Q155" s="14"/>
      <c r="R155" s="14"/>
      <c r="S155" s="14"/>
      <c r="T155" s="14"/>
      <c r="U155" s="14"/>
      <c r="V155" s="14"/>
      <c r="W155" s="45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</row>
    <row r="156" spans="1:39">
      <c r="A156" s="69" t="s">
        <v>45</v>
      </c>
      <c r="B156" s="43"/>
      <c r="C156" s="14"/>
      <c r="D156" s="14"/>
      <c r="E156" s="14"/>
      <c r="F156" s="14"/>
      <c r="G156" s="14"/>
      <c r="H156" s="14"/>
      <c r="I156" s="14"/>
      <c r="J156" s="14"/>
      <c r="K156" s="45"/>
      <c r="N156" s="43"/>
      <c r="O156" s="14"/>
      <c r="P156" s="14"/>
      <c r="Q156" s="14"/>
      <c r="R156" s="14"/>
      <c r="S156" s="14"/>
      <c r="T156" s="14"/>
      <c r="U156" s="14"/>
      <c r="V156" s="14"/>
      <c r="W156" s="45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</row>
    <row r="157" spans="1:39">
      <c r="A157" s="21" t="s">
        <v>88</v>
      </c>
      <c r="B157" s="43"/>
      <c r="C157" s="14"/>
      <c r="D157" s="14">
        <f>D54</f>
        <v>365.86306684063749</v>
      </c>
      <c r="E157" s="14"/>
      <c r="F157" s="14"/>
      <c r="G157" s="14"/>
      <c r="H157" s="14"/>
      <c r="I157" s="14"/>
      <c r="J157" s="14"/>
      <c r="K157" s="45"/>
      <c r="N157" s="43"/>
      <c r="O157" s="14"/>
      <c r="P157" s="14">
        <f>D157</f>
        <v>365.86306684063749</v>
      </c>
      <c r="Q157" s="14"/>
      <c r="R157" s="14"/>
      <c r="S157" s="14"/>
      <c r="T157" s="14"/>
      <c r="U157" s="14"/>
      <c r="V157" s="14"/>
      <c r="W157" s="45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</row>
    <row r="158" spans="1:39">
      <c r="B158" s="43"/>
      <c r="C158" s="14"/>
      <c r="D158" s="14"/>
      <c r="E158" s="14"/>
      <c r="F158" s="14"/>
      <c r="G158" s="14"/>
      <c r="H158" s="14"/>
      <c r="I158" s="14"/>
      <c r="J158" s="14"/>
      <c r="K158" s="45"/>
      <c r="N158" s="43"/>
      <c r="O158" s="14"/>
      <c r="P158" s="14"/>
      <c r="Q158" s="14"/>
      <c r="R158" s="14"/>
      <c r="S158" s="14"/>
      <c r="T158" s="14"/>
      <c r="U158" s="14"/>
      <c r="V158" s="14"/>
      <c r="W158" s="45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</row>
    <row r="159" spans="1:39">
      <c r="B159" s="43"/>
      <c r="C159" s="14"/>
      <c r="D159" s="14">
        <f>U36</f>
        <v>6.5157496737608073E-13</v>
      </c>
      <c r="E159" s="14"/>
      <c r="F159" s="14"/>
      <c r="G159" s="14"/>
      <c r="H159" s="14"/>
      <c r="I159" s="14"/>
      <c r="J159" s="14"/>
      <c r="K159" s="45"/>
      <c r="N159" s="43"/>
      <c r="O159" s="14"/>
      <c r="P159" s="14">
        <f>D159</f>
        <v>6.5157496737608073E-13</v>
      </c>
      <c r="Q159" s="14"/>
      <c r="R159" s="14"/>
      <c r="S159" s="14"/>
      <c r="T159" s="14"/>
      <c r="U159" s="14"/>
      <c r="V159" s="14"/>
      <c r="W159" s="45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</row>
    <row r="160" spans="1:39">
      <c r="B160" s="43"/>
      <c r="C160" s="14"/>
      <c r="D160" s="14"/>
      <c r="E160" s="14"/>
      <c r="F160" s="29" t="s">
        <v>67</v>
      </c>
      <c r="G160" s="14">
        <f>H154-D161</f>
        <v>-3.4417058072245064E-5</v>
      </c>
      <c r="H160" s="14"/>
      <c r="I160" s="14"/>
      <c r="J160" s="14"/>
      <c r="K160" s="45"/>
      <c r="N160" s="43"/>
      <c r="O160" s="14"/>
      <c r="P160" s="14"/>
      <c r="Q160" s="14"/>
      <c r="R160" s="29" t="s">
        <v>67</v>
      </c>
      <c r="S160" s="14">
        <f>T154-P161</f>
        <v>-2.7932344904007216E-5</v>
      </c>
      <c r="T160" s="14"/>
      <c r="U160" s="14"/>
      <c r="V160" s="14"/>
      <c r="W160" s="45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</row>
    <row r="161" spans="1:39" ht="13.5" thickBot="1">
      <c r="B161" s="47"/>
      <c r="C161" s="48" t="s">
        <v>60</v>
      </c>
      <c r="D161" s="28">
        <f>D155*SQRT(D157*D159)</f>
        <v>3.4430738964691427E-5</v>
      </c>
      <c r="E161" s="28"/>
      <c r="F161" s="48" t="s">
        <v>68</v>
      </c>
      <c r="G161" s="28">
        <f>H154+D161</f>
        <v>3.444441985713779E-5</v>
      </c>
      <c r="H161" s="28"/>
      <c r="I161" s="28"/>
      <c r="J161" s="28"/>
      <c r="K161" s="49"/>
      <c r="N161" s="47"/>
      <c r="O161" s="48" t="s">
        <v>60</v>
      </c>
      <c r="P161" s="28">
        <f>P155*SQRT(P157*P159)</f>
        <v>2.7946025796453579E-5</v>
      </c>
      <c r="Q161" s="28"/>
      <c r="R161" s="48" t="s">
        <v>68</v>
      </c>
      <c r="S161" s="28">
        <f>T154+P161</f>
        <v>2.7959706688899942E-5</v>
      </c>
      <c r="T161" s="28"/>
      <c r="U161" s="28"/>
      <c r="V161" s="28"/>
      <c r="W161" s="49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</row>
    <row r="162" spans="1:39"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</row>
    <row r="163" spans="1:39"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</row>
    <row r="164" spans="1:39"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</row>
    <row r="165" spans="1:39" ht="13.5" thickBot="1"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</row>
    <row r="166" spans="1:39">
      <c r="A166" s="21" t="s">
        <v>78</v>
      </c>
      <c r="B166" s="39"/>
      <c r="C166" s="40" t="s">
        <v>61</v>
      </c>
      <c r="D166" s="41">
        <v>0.95</v>
      </c>
      <c r="E166" s="41"/>
      <c r="F166" s="64" t="s">
        <v>95</v>
      </c>
      <c r="G166" s="41">
        <f>D170</f>
        <v>0.68710000000000004</v>
      </c>
      <c r="H166" s="74" t="s">
        <v>134</v>
      </c>
      <c r="I166" s="41">
        <f>G170</f>
        <v>304215</v>
      </c>
      <c r="J166" s="41"/>
      <c r="K166" s="42">
        <f>D54</f>
        <v>365.86306684063749</v>
      </c>
      <c r="N166" s="39"/>
      <c r="O166" s="40" t="s">
        <v>61</v>
      </c>
      <c r="P166" s="41">
        <v>0.9</v>
      </c>
      <c r="Q166" s="41"/>
      <c r="R166" s="64" t="s">
        <v>95</v>
      </c>
      <c r="S166" s="41">
        <f>P170</f>
        <v>0.68710000000000004</v>
      </c>
      <c r="T166" s="74" t="s">
        <v>134</v>
      </c>
      <c r="U166" s="41">
        <f>S170</f>
        <v>304215</v>
      </c>
      <c r="V166" s="41"/>
      <c r="W166" s="42">
        <f>P54</f>
        <v>0</v>
      </c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</row>
    <row r="167" spans="1:39">
      <c r="A167" s="21" t="s">
        <v>91</v>
      </c>
      <c r="B167" s="43"/>
      <c r="C167" s="44" t="s">
        <v>62</v>
      </c>
      <c r="D167" s="14">
        <f>1-D166</f>
        <v>5.0000000000000044E-2</v>
      </c>
      <c r="E167" s="14"/>
      <c r="F167" s="29" t="s">
        <v>96</v>
      </c>
      <c r="G167" s="14">
        <f>E170</f>
        <v>6117</v>
      </c>
      <c r="H167" s="73" t="s">
        <v>135</v>
      </c>
      <c r="I167" s="14">
        <f>H170</f>
        <v>0.17910000000000001</v>
      </c>
      <c r="J167" s="14"/>
      <c r="K167" s="45"/>
      <c r="N167" s="43"/>
      <c r="O167" s="44" t="s">
        <v>62</v>
      </c>
      <c r="P167" s="14">
        <f>1-P166</f>
        <v>9.9999999999999978E-2</v>
      </c>
      <c r="Q167" s="14"/>
      <c r="R167" s="29" t="s">
        <v>96</v>
      </c>
      <c r="S167" s="14">
        <f>Q170</f>
        <v>6117</v>
      </c>
      <c r="T167" s="73" t="s">
        <v>135</v>
      </c>
      <c r="U167" s="14">
        <f>T170</f>
        <v>0.17910000000000001</v>
      </c>
      <c r="V167" s="14"/>
      <c r="W167" s="45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</row>
    <row r="168" spans="1:39">
      <c r="A168" s="21" t="s">
        <v>92</v>
      </c>
      <c r="B168" s="43"/>
      <c r="C168" s="14"/>
      <c r="D168" s="14">
        <f>ROUND(_xlfn.T.INV(1-D167/2,17-(6+1)),2)</f>
        <v>2.23</v>
      </c>
      <c r="E168" s="14"/>
      <c r="F168" s="29" t="s">
        <v>97</v>
      </c>
      <c r="G168" s="14">
        <f>F170</f>
        <v>45642</v>
      </c>
      <c r="H168" s="73" t="s">
        <v>136</v>
      </c>
      <c r="I168" s="14">
        <f>I170</f>
        <v>116262</v>
      </c>
      <c r="J168" s="14"/>
      <c r="K168" s="4">
        <f>C170</f>
        <v>1</v>
      </c>
      <c r="N168" s="43"/>
      <c r="O168" s="14"/>
      <c r="P168" s="14">
        <f>ROUND(_xlfn.T.INV(1-P167/2,17-(6+1)),2)</f>
        <v>1.81</v>
      </c>
      <c r="Q168" s="14"/>
      <c r="R168" s="29" t="s">
        <v>97</v>
      </c>
      <c r="S168" s="14">
        <f>R170</f>
        <v>45642</v>
      </c>
      <c r="T168" s="73" t="s">
        <v>136</v>
      </c>
      <c r="U168" s="14">
        <f>U170</f>
        <v>116262</v>
      </c>
      <c r="V168" s="14"/>
      <c r="W168" s="4">
        <f>O170</f>
        <v>1</v>
      </c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</row>
    <row r="169" spans="1:39">
      <c r="A169" s="21" t="s">
        <v>93</v>
      </c>
      <c r="B169" s="43"/>
      <c r="C169" s="14"/>
      <c r="D169" s="14"/>
      <c r="E169" s="14"/>
      <c r="F169" s="73"/>
      <c r="G169" s="14"/>
      <c r="H169" s="14"/>
      <c r="I169" s="14"/>
      <c r="J169" s="14"/>
      <c r="K169" s="4">
        <f>D170</f>
        <v>0.68710000000000004</v>
      </c>
      <c r="N169" s="43"/>
      <c r="O169" s="14"/>
      <c r="P169" s="14"/>
      <c r="Q169" s="14"/>
      <c r="R169" s="73"/>
      <c r="S169" s="14"/>
      <c r="T169" s="14"/>
      <c r="U169" s="14"/>
      <c r="V169" s="14"/>
      <c r="W169" s="4">
        <f>P170</f>
        <v>0.68710000000000004</v>
      </c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</row>
    <row r="170" spans="1:39">
      <c r="A170" s="21" t="s">
        <v>94</v>
      </c>
      <c r="B170" s="43"/>
      <c r="C170" s="4">
        <v>1</v>
      </c>
      <c r="D170" s="4">
        <f t="shared" ref="D170:I170" si="3">M9</f>
        <v>0.68710000000000004</v>
      </c>
      <c r="E170" s="4">
        <f t="shared" si="3"/>
        <v>6117</v>
      </c>
      <c r="F170" s="4">
        <f t="shared" si="3"/>
        <v>45642</v>
      </c>
      <c r="G170" s="4">
        <f t="shared" si="3"/>
        <v>304215</v>
      </c>
      <c r="H170" s="4">
        <f t="shared" si="3"/>
        <v>0.17910000000000001</v>
      </c>
      <c r="I170" s="4">
        <f t="shared" si="3"/>
        <v>116262</v>
      </c>
      <c r="J170" s="14"/>
      <c r="K170" s="4">
        <f>E170</f>
        <v>6117</v>
      </c>
      <c r="N170" s="43"/>
      <c r="O170" s="4">
        <v>1</v>
      </c>
      <c r="P170" s="4">
        <f>D170</f>
        <v>0.68710000000000004</v>
      </c>
      <c r="Q170" s="4">
        <f t="shared" ref="Q170:U170" si="4">E170</f>
        <v>6117</v>
      </c>
      <c r="R170" s="4">
        <f t="shared" si="4"/>
        <v>45642</v>
      </c>
      <c r="S170" s="4">
        <f t="shared" si="4"/>
        <v>304215</v>
      </c>
      <c r="T170" s="4">
        <f t="shared" si="4"/>
        <v>0.17910000000000001</v>
      </c>
      <c r="U170" s="4">
        <f t="shared" si="4"/>
        <v>116262</v>
      </c>
      <c r="V170" s="14"/>
      <c r="W170" s="4">
        <f>Q170</f>
        <v>6117</v>
      </c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</row>
    <row r="171" spans="1:39">
      <c r="B171" s="43"/>
      <c r="C171" s="14"/>
      <c r="D171" s="14"/>
      <c r="E171" s="14"/>
      <c r="F171" s="73"/>
      <c r="G171" s="14"/>
      <c r="H171" s="14"/>
      <c r="I171" s="14"/>
      <c r="J171" s="14"/>
      <c r="K171" s="4">
        <f>F170</f>
        <v>45642</v>
      </c>
      <c r="N171" s="43"/>
      <c r="O171" s="14"/>
      <c r="P171" s="14"/>
      <c r="Q171" s="14"/>
      <c r="R171" s="73"/>
      <c r="S171" s="14"/>
      <c r="T171" s="14"/>
      <c r="U171" s="14"/>
      <c r="V171" s="14"/>
      <c r="W171" s="4">
        <f>R170</f>
        <v>45642</v>
      </c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</row>
    <row r="172" spans="1:39">
      <c r="B172" s="43"/>
      <c r="C172" s="14"/>
      <c r="D172" s="14">
        <f>ROUND(MMULT(C184:I184,AI30:AI36),4)</f>
        <v>3458.6451000000002</v>
      </c>
      <c r="E172" s="14"/>
      <c r="F172" s="14"/>
      <c r="G172" s="14"/>
      <c r="H172" s="14"/>
      <c r="I172" s="14"/>
      <c r="J172" s="14"/>
      <c r="K172" s="4">
        <f>G170</f>
        <v>304215</v>
      </c>
      <c r="N172" s="43"/>
      <c r="O172" s="14"/>
      <c r="P172" s="14">
        <f>D172</f>
        <v>3458.6451000000002</v>
      </c>
      <c r="Q172" s="14"/>
      <c r="R172" s="14"/>
      <c r="S172" s="14"/>
      <c r="T172" s="14"/>
      <c r="U172" s="14"/>
      <c r="V172" s="14"/>
      <c r="W172" s="4">
        <f>S170</f>
        <v>304215</v>
      </c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</row>
    <row r="173" spans="1:39">
      <c r="B173" s="43"/>
      <c r="C173" s="14"/>
      <c r="D173" s="14"/>
      <c r="E173" s="14"/>
      <c r="F173" s="14"/>
      <c r="G173" s="14"/>
      <c r="H173" s="14"/>
      <c r="I173" s="14"/>
      <c r="J173" s="14"/>
      <c r="K173" s="4">
        <f>H170</f>
        <v>0.17910000000000001</v>
      </c>
      <c r="N173" s="43"/>
      <c r="O173" s="14"/>
      <c r="P173" s="14"/>
      <c r="Q173" s="14"/>
      <c r="R173" s="14"/>
      <c r="S173" s="14"/>
      <c r="T173" s="14"/>
      <c r="U173" s="14"/>
      <c r="V173" s="14"/>
      <c r="W173" s="4">
        <f>T170</f>
        <v>0.17910000000000001</v>
      </c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</row>
    <row r="174" spans="1:39">
      <c r="B174" s="43"/>
      <c r="C174" s="14"/>
      <c r="D174" s="14">
        <f>MMULT(MMULT(C184:I184,O30:U36),K182:K188)</f>
        <v>884.4613482439072</v>
      </c>
      <c r="E174" s="14"/>
      <c r="F174" s="14"/>
      <c r="G174" s="14"/>
      <c r="H174" s="14"/>
      <c r="I174" s="14"/>
      <c r="J174" s="14"/>
      <c r="K174" s="4">
        <f>I170</f>
        <v>116262</v>
      </c>
      <c r="N174" s="43"/>
      <c r="O174" s="14"/>
      <c r="P174" s="14">
        <f>D174</f>
        <v>884.4613482439072</v>
      </c>
      <c r="Q174" s="14"/>
      <c r="R174" s="14"/>
      <c r="S174" s="14"/>
      <c r="T174" s="14"/>
      <c r="U174" s="14"/>
      <c r="V174" s="14"/>
      <c r="W174" s="4">
        <f>U170</f>
        <v>116262</v>
      </c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</row>
    <row r="175" spans="1:39">
      <c r="B175" s="43"/>
      <c r="C175" s="14"/>
      <c r="D175" s="14"/>
      <c r="E175" s="14"/>
      <c r="F175" s="14"/>
      <c r="G175" s="14"/>
      <c r="H175" s="14"/>
      <c r="I175" s="14"/>
      <c r="J175" s="14"/>
      <c r="K175" s="45"/>
      <c r="N175" s="43"/>
      <c r="O175" s="14"/>
      <c r="P175" s="14"/>
      <c r="Q175" s="14"/>
      <c r="R175" s="14"/>
      <c r="S175" s="14"/>
      <c r="T175" s="14"/>
      <c r="U175" s="14"/>
      <c r="V175" s="14"/>
      <c r="W175" s="45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</row>
    <row r="176" spans="1:39">
      <c r="B176" s="43"/>
      <c r="C176" s="14"/>
      <c r="D176" s="14">
        <f>K166*D174</f>
        <v>323591.74137052096</v>
      </c>
      <c r="E176" s="14"/>
      <c r="F176" s="14"/>
      <c r="G176" s="14"/>
      <c r="H176" s="14"/>
      <c r="I176" s="14"/>
      <c r="J176" s="14"/>
      <c r="K176" s="45"/>
      <c r="N176" s="43"/>
      <c r="O176" s="14"/>
      <c r="P176" s="14">
        <f>D176</f>
        <v>323591.74137052096</v>
      </c>
      <c r="Q176" s="14"/>
      <c r="R176" s="14"/>
      <c r="S176" s="14"/>
      <c r="T176" s="14"/>
      <c r="U176" s="14"/>
      <c r="V176" s="14"/>
      <c r="W176" s="45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</row>
    <row r="177" spans="1:39" ht="15.75">
      <c r="B177" s="43"/>
      <c r="C177" s="14"/>
      <c r="D177" s="14"/>
      <c r="E177" s="14"/>
      <c r="F177" s="29" t="s">
        <v>67</v>
      </c>
      <c r="G177" s="14">
        <f>D172-D178</f>
        <v>2190.1068000000005</v>
      </c>
      <c r="H177" s="14"/>
      <c r="I177" s="14" t="s">
        <v>98</v>
      </c>
      <c r="J177" s="75" t="str">
        <f>"]"&amp;G177&amp;";"&amp;G178&amp;"["</f>
        <v>]2190,1068;4727,1834[</v>
      </c>
      <c r="K177" s="45"/>
      <c r="N177" s="43"/>
      <c r="O177" s="14"/>
      <c r="P177" s="14"/>
      <c r="Q177" s="14"/>
      <c r="R177" s="29" t="s">
        <v>67</v>
      </c>
      <c r="S177" s="14">
        <f>P172-P178</f>
        <v>2429.0243</v>
      </c>
      <c r="T177" s="14"/>
      <c r="U177" s="14" t="s">
        <v>139</v>
      </c>
      <c r="V177" s="75" t="str">
        <f>"]"&amp;S177&amp;";"&amp;S178&amp;"["</f>
        <v>]2429,0243;4488,2659[</v>
      </c>
      <c r="W177" s="45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</row>
    <row r="178" spans="1:39" ht="13.5" thickBot="1">
      <c r="B178" s="47"/>
      <c r="C178" s="48" t="s">
        <v>60</v>
      </c>
      <c r="D178" s="28">
        <f>ROUND(D168*SQRT(D176),4)</f>
        <v>1268.5382999999999</v>
      </c>
      <c r="E178" s="28"/>
      <c r="F178" s="48" t="s">
        <v>68</v>
      </c>
      <c r="G178" s="28">
        <f>D172+D178</f>
        <v>4727.1833999999999</v>
      </c>
      <c r="H178" s="28"/>
      <c r="I178" s="28"/>
      <c r="J178" s="28"/>
      <c r="K178" s="49"/>
      <c r="N178" s="47"/>
      <c r="O178" s="48" t="s">
        <v>60</v>
      </c>
      <c r="P178" s="28">
        <f>ROUND(P168*SQRT(P176),4)</f>
        <v>1029.6207999999999</v>
      </c>
      <c r="Q178" s="28"/>
      <c r="R178" s="48" t="s">
        <v>68</v>
      </c>
      <c r="S178" s="28">
        <f>P172+P178</f>
        <v>4488.2659000000003</v>
      </c>
      <c r="T178" s="28"/>
      <c r="U178" s="28"/>
      <c r="V178" s="28"/>
      <c r="W178" s="49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</row>
    <row r="179" spans="1:39" ht="13.5" thickBot="1"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</row>
    <row r="180" spans="1:39">
      <c r="A180" s="21" t="s">
        <v>78</v>
      </c>
      <c r="B180" s="39"/>
      <c r="C180" s="40" t="s">
        <v>61</v>
      </c>
      <c r="D180" s="41">
        <v>0.95</v>
      </c>
      <c r="E180" s="41"/>
      <c r="F180" s="64" t="s">
        <v>95</v>
      </c>
      <c r="G180" s="41">
        <f>G166</f>
        <v>0.68710000000000004</v>
      </c>
      <c r="H180" s="74" t="s">
        <v>134</v>
      </c>
      <c r="I180" s="41">
        <f>I166</f>
        <v>304215</v>
      </c>
      <c r="J180" s="41"/>
      <c r="K180" s="42">
        <f>D54</f>
        <v>365.86306684063749</v>
      </c>
      <c r="N180" s="39"/>
      <c r="O180" s="40" t="s">
        <v>61</v>
      </c>
      <c r="P180" s="41">
        <v>0.9</v>
      </c>
      <c r="Q180" s="41"/>
      <c r="R180" s="64" t="s">
        <v>95</v>
      </c>
      <c r="S180" s="41">
        <f>S166</f>
        <v>0.68710000000000004</v>
      </c>
      <c r="T180" s="74" t="s">
        <v>134</v>
      </c>
      <c r="U180" s="41">
        <f>U166</f>
        <v>304215</v>
      </c>
      <c r="V180" s="41"/>
      <c r="W180" s="42">
        <f>P54</f>
        <v>0</v>
      </c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</row>
    <row r="181" spans="1:39">
      <c r="A181" s="21" t="s">
        <v>99</v>
      </c>
      <c r="B181" s="43"/>
      <c r="C181" s="44" t="s">
        <v>62</v>
      </c>
      <c r="D181" s="14">
        <f>1-D180</f>
        <v>5.0000000000000044E-2</v>
      </c>
      <c r="E181" s="14"/>
      <c r="F181" s="29" t="s">
        <v>96</v>
      </c>
      <c r="G181" s="14">
        <f>G167</f>
        <v>6117</v>
      </c>
      <c r="H181" s="73" t="s">
        <v>135</v>
      </c>
      <c r="I181" s="14">
        <f>I167</f>
        <v>0.17910000000000001</v>
      </c>
      <c r="J181" s="14"/>
      <c r="K181" s="45"/>
      <c r="N181" s="43"/>
      <c r="O181" s="44" t="s">
        <v>62</v>
      </c>
      <c r="P181" s="14">
        <f>1-P180</f>
        <v>9.9999999999999978E-2</v>
      </c>
      <c r="Q181" s="14"/>
      <c r="R181" s="29" t="s">
        <v>96</v>
      </c>
      <c r="S181" s="14">
        <f>S167</f>
        <v>6117</v>
      </c>
      <c r="T181" s="73" t="s">
        <v>135</v>
      </c>
      <c r="U181" s="14">
        <f>U167</f>
        <v>0.17910000000000001</v>
      </c>
      <c r="V181" s="14"/>
      <c r="W181" s="45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</row>
    <row r="182" spans="1:39">
      <c r="A182" s="21" t="s">
        <v>100</v>
      </c>
      <c r="B182" s="43"/>
      <c r="C182" s="14"/>
      <c r="D182" s="14">
        <f>ROUND(_xlfn.T.INV(1-D181/2,17-(6+1)),2)</f>
        <v>2.23</v>
      </c>
      <c r="E182" s="14"/>
      <c r="F182" s="29" t="s">
        <v>97</v>
      </c>
      <c r="G182" s="14">
        <f>G168</f>
        <v>45642</v>
      </c>
      <c r="H182" s="73" t="s">
        <v>136</v>
      </c>
      <c r="I182" s="14">
        <f>I168</f>
        <v>116262</v>
      </c>
      <c r="J182" s="14"/>
      <c r="K182" s="4">
        <f>C184</f>
        <v>1</v>
      </c>
      <c r="N182" s="43"/>
      <c r="O182" s="14"/>
      <c r="P182" s="14">
        <f>ROUND(_xlfn.T.INV(1-P181/2,17-(6+1)),2)</f>
        <v>1.81</v>
      </c>
      <c r="Q182" s="14"/>
      <c r="R182" s="29" t="s">
        <v>97</v>
      </c>
      <c r="S182" s="14">
        <f>S168</f>
        <v>45642</v>
      </c>
      <c r="T182" s="73" t="s">
        <v>136</v>
      </c>
      <c r="U182" s="14">
        <f>U168</f>
        <v>116262</v>
      </c>
      <c r="V182" s="14"/>
      <c r="W182" s="4">
        <f>O184</f>
        <v>1</v>
      </c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</row>
    <row r="183" spans="1:39">
      <c r="A183" s="21" t="s">
        <v>101</v>
      </c>
      <c r="B183" s="43"/>
      <c r="C183" s="14"/>
      <c r="D183" s="14"/>
      <c r="E183" s="14"/>
      <c r="F183" s="73"/>
      <c r="G183" s="14"/>
      <c r="H183" s="14"/>
      <c r="I183" s="14"/>
      <c r="J183" s="14"/>
      <c r="K183" s="4">
        <f>D184</f>
        <v>0.68710000000000004</v>
      </c>
      <c r="N183" s="43"/>
      <c r="O183" s="14"/>
      <c r="P183" s="14"/>
      <c r="Q183" s="14"/>
      <c r="R183" s="73"/>
      <c r="S183" s="14"/>
      <c r="T183" s="14"/>
      <c r="U183" s="14"/>
      <c r="V183" s="14"/>
      <c r="W183" s="4">
        <f>P184</f>
        <v>0.68710000000000004</v>
      </c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</row>
    <row r="184" spans="1:39">
      <c r="A184" s="21" t="s">
        <v>102</v>
      </c>
      <c r="B184" s="43"/>
      <c r="C184" s="4">
        <v>1</v>
      </c>
      <c r="D184" s="4">
        <f>M9</f>
        <v>0.68710000000000004</v>
      </c>
      <c r="E184" s="4">
        <f>M9</f>
        <v>0.68710000000000004</v>
      </c>
      <c r="F184" s="4">
        <f>M9</f>
        <v>0.68710000000000004</v>
      </c>
      <c r="G184" s="4">
        <f>M9</f>
        <v>0.68710000000000004</v>
      </c>
      <c r="H184" s="4">
        <f>M9</f>
        <v>0.68710000000000004</v>
      </c>
      <c r="I184" s="4">
        <f>M9</f>
        <v>0.68710000000000004</v>
      </c>
      <c r="J184" s="14"/>
      <c r="K184" s="4">
        <f>E184</f>
        <v>0.68710000000000004</v>
      </c>
      <c r="N184" s="43"/>
      <c r="O184" s="4">
        <v>1</v>
      </c>
      <c r="P184" s="4">
        <f>D184</f>
        <v>0.68710000000000004</v>
      </c>
      <c r="Q184" s="4">
        <f t="shared" ref="Q184:U184" si="5">E184</f>
        <v>0.68710000000000004</v>
      </c>
      <c r="R184" s="4">
        <f t="shared" si="5"/>
        <v>0.68710000000000004</v>
      </c>
      <c r="S184" s="4">
        <f t="shared" si="5"/>
        <v>0.68710000000000004</v>
      </c>
      <c r="T184" s="4">
        <f t="shared" si="5"/>
        <v>0.68710000000000004</v>
      </c>
      <c r="U184" s="4">
        <f t="shared" si="5"/>
        <v>0.68710000000000004</v>
      </c>
      <c r="V184" s="14"/>
      <c r="W184" s="4">
        <f>Q184</f>
        <v>0.68710000000000004</v>
      </c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</row>
    <row r="185" spans="1:39">
      <c r="A185" s="21" t="s">
        <v>94</v>
      </c>
      <c r="B185" s="43"/>
      <c r="C185" s="14"/>
      <c r="D185" s="14"/>
      <c r="E185" s="14"/>
      <c r="F185" s="73"/>
      <c r="G185" s="14"/>
      <c r="H185" s="14"/>
      <c r="I185" s="14"/>
      <c r="J185" s="14"/>
      <c r="K185" s="4">
        <f>F184</f>
        <v>0.68710000000000004</v>
      </c>
      <c r="N185" s="43"/>
      <c r="O185" s="14"/>
      <c r="P185" s="14"/>
      <c r="Q185" s="14"/>
      <c r="R185" s="73"/>
      <c r="S185" s="14"/>
      <c r="T185" s="14"/>
      <c r="U185" s="14"/>
      <c r="V185" s="14"/>
      <c r="W185" s="4">
        <f>R184</f>
        <v>0.68710000000000004</v>
      </c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</row>
    <row r="186" spans="1:39">
      <c r="B186" s="43"/>
      <c r="C186" s="14"/>
      <c r="D186" s="14">
        <f>ROUND(MMULT(C184:I184,AI30:AI36),4)</f>
        <v>3458.6451000000002</v>
      </c>
      <c r="E186" s="14"/>
      <c r="F186" s="14"/>
      <c r="G186" s="14"/>
      <c r="H186" s="14"/>
      <c r="I186" s="14"/>
      <c r="J186" s="14"/>
      <c r="K186" s="4">
        <f>G184</f>
        <v>0.68710000000000004</v>
      </c>
      <c r="N186" s="43"/>
      <c r="O186" s="14"/>
      <c r="P186" s="14">
        <f>D186</f>
        <v>3458.6451000000002</v>
      </c>
      <c r="Q186" s="14"/>
      <c r="R186" s="14"/>
      <c r="S186" s="14"/>
      <c r="T186" s="14"/>
      <c r="U186" s="14"/>
      <c r="V186" s="14"/>
      <c r="W186" s="4">
        <f>S184</f>
        <v>0.68710000000000004</v>
      </c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</row>
    <row r="187" spans="1:39">
      <c r="B187" s="43"/>
      <c r="C187" s="14"/>
      <c r="D187" s="14"/>
      <c r="E187" s="14"/>
      <c r="F187" s="14"/>
      <c r="G187" s="14"/>
      <c r="H187" s="14"/>
      <c r="I187" s="14"/>
      <c r="J187" s="14"/>
      <c r="K187" s="4">
        <f>H184</f>
        <v>0.68710000000000004</v>
      </c>
      <c r="N187" s="43"/>
      <c r="O187" s="14"/>
      <c r="P187" s="14"/>
      <c r="Q187" s="14"/>
      <c r="R187" s="14"/>
      <c r="S187" s="14"/>
      <c r="T187" s="14"/>
      <c r="U187" s="14"/>
      <c r="V187" s="14"/>
      <c r="W187" s="4">
        <f>T184</f>
        <v>0.68710000000000004</v>
      </c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</row>
    <row r="188" spans="1:39">
      <c r="B188" s="43"/>
      <c r="C188" s="14"/>
      <c r="D188" s="14">
        <f>MMULT(MMULT(C184:I184,O30:U36),K182:K188)</f>
        <v>884.4613482439072</v>
      </c>
      <c r="E188" s="14"/>
      <c r="F188" s="14"/>
      <c r="G188" s="14"/>
      <c r="H188" s="14"/>
      <c r="I188" s="14"/>
      <c r="J188" s="14"/>
      <c r="K188" s="4">
        <f>I184</f>
        <v>0.68710000000000004</v>
      </c>
      <c r="N188" s="43"/>
      <c r="O188" s="14"/>
      <c r="P188" s="14">
        <f>D188</f>
        <v>884.4613482439072</v>
      </c>
      <c r="Q188" s="14"/>
      <c r="R188" s="14"/>
      <c r="S188" s="14"/>
      <c r="T188" s="14"/>
      <c r="U188" s="14"/>
      <c r="V188" s="14"/>
      <c r="W188" s="4">
        <f>U184</f>
        <v>0.68710000000000004</v>
      </c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</row>
    <row r="189" spans="1:39">
      <c r="B189" s="43"/>
      <c r="C189" s="14"/>
      <c r="D189" s="14"/>
      <c r="E189" s="14"/>
      <c r="F189" s="14"/>
      <c r="G189" s="14"/>
      <c r="H189" s="14"/>
      <c r="I189" s="14"/>
      <c r="J189" s="14"/>
      <c r="K189" s="45"/>
      <c r="N189" s="43"/>
      <c r="O189" s="14"/>
      <c r="P189" s="14"/>
      <c r="Q189" s="14"/>
      <c r="R189" s="14"/>
      <c r="S189" s="14"/>
      <c r="T189" s="14"/>
      <c r="U189" s="14"/>
      <c r="V189" s="14"/>
      <c r="W189" s="45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</row>
    <row r="190" spans="1:39">
      <c r="B190" s="43"/>
      <c r="C190" s="14"/>
      <c r="D190" s="14">
        <f>K180*(1+D188)</f>
        <v>323957.60443736159</v>
      </c>
      <c r="E190" s="14"/>
      <c r="F190" s="14"/>
      <c r="G190" s="14"/>
      <c r="H190" s="14"/>
      <c r="I190" s="14"/>
      <c r="J190" s="14"/>
      <c r="K190" s="45"/>
      <c r="N190" s="43"/>
      <c r="O190" s="14"/>
      <c r="P190" s="14">
        <f>D190</f>
        <v>323957.60443736159</v>
      </c>
      <c r="Q190" s="14"/>
      <c r="R190" s="14"/>
      <c r="S190" s="14"/>
      <c r="T190" s="14"/>
      <c r="U190" s="14"/>
      <c r="V190" s="14"/>
      <c r="W190" s="45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</row>
    <row r="191" spans="1:39" ht="15.75">
      <c r="B191" s="43"/>
      <c r="C191" s="14"/>
      <c r="D191" s="14"/>
      <c r="E191" s="14"/>
      <c r="F191" s="29" t="s">
        <v>67</v>
      </c>
      <c r="G191" s="14">
        <f>D186-D192</f>
        <v>2189.3899000000001</v>
      </c>
      <c r="H191" s="14"/>
      <c r="I191" s="14" t="s">
        <v>98</v>
      </c>
      <c r="J191" s="75" t="str">
        <f>"]"&amp;G191&amp;";"&amp;G192&amp;"["</f>
        <v>]2189,3899;4727,9003[</v>
      </c>
      <c r="K191" s="45"/>
      <c r="N191" s="43"/>
      <c r="O191" s="14"/>
      <c r="P191" s="14"/>
      <c r="Q191" s="14"/>
      <c r="R191" s="29" t="s">
        <v>67</v>
      </c>
      <c r="S191" s="14">
        <f>P186-P192</f>
        <v>2428.4423999999999</v>
      </c>
      <c r="T191" s="14"/>
      <c r="U191" s="14" t="s">
        <v>139</v>
      </c>
      <c r="V191" s="75" t="str">
        <f>"]"&amp;S191&amp;";"&amp;S192&amp;"["</f>
        <v>]2428,4424;4488,8478[</v>
      </c>
      <c r="W191" s="45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</row>
    <row r="192" spans="1:39" ht="13.5" thickBot="1">
      <c r="B192" s="47"/>
      <c r="C192" s="48" t="s">
        <v>60</v>
      </c>
      <c r="D192" s="28">
        <f>ROUND(D182*SQRT(D190),4)</f>
        <v>1269.2552000000001</v>
      </c>
      <c r="E192" s="28"/>
      <c r="F192" s="48" t="s">
        <v>68</v>
      </c>
      <c r="G192" s="28">
        <f>D186+D192</f>
        <v>4727.9003000000002</v>
      </c>
      <c r="H192" s="28"/>
      <c r="I192" s="28"/>
      <c r="J192" s="28"/>
      <c r="K192" s="49"/>
      <c r="N192" s="47"/>
      <c r="O192" s="48" t="s">
        <v>60</v>
      </c>
      <c r="P192" s="28">
        <f>ROUND(P182*SQRT(P190),4)</f>
        <v>1030.2027</v>
      </c>
      <c r="Q192" s="28"/>
      <c r="R192" s="48" t="s">
        <v>68</v>
      </c>
      <c r="S192" s="28">
        <f>P186+P192</f>
        <v>4488.8478000000005</v>
      </c>
      <c r="T192" s="28"/>
      <c r="U192" s="28"/>
      <c r="V192" s="28"/>
      <c r="W192" s="49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</row>
    <row r="193" spans="1:39" ht="13.5" thickBot="1"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</row>
    <row r="194" spans="1:39">
      <c r="B194" s="39"/>
      <c r="C194" s="41"/>
      <c r="D194" s="41"/>
      <c r="E194" s="41"/>
      <c r="F194" s="41"/>
      <c r="G194" s="41"/>
      <c r="H194" s="41"/>
      <c r="I194" s="41"/>
      <c r="J194" s="41"/>
      <c r="K194" s="41"/>
      <c r="L194" s="42"/>
      <c r="N194" s="39"/>
      <c r="O194" s="41"/>
      <c r="P194" s="41"/>
      <c r="Q194" s="41"/>
      <c r="R194" s="41"/>
      <c r="S194" s="41"/>
      <c r="T194" s="41"/>
      <c r="U194" s="41"/>
      <c r="V194" s="41"/>
      <c r="W194" s="41"/>
      <c r="X194" s="42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</row>
    <row r="195" spans="1:39">
      <c r="A195" s="21" t="s">
        <v>103</v>
      </c>
      <c r="B195" s="43"/>
      <c r="C195" s="14"/>
      <c r="D195" s="14"/>
      <c r="E195" s="14"/>
      <c r="F195" s="14"/>
      <c r="G195" s="29" t="str">
        <f>A198&amp;"="</f>
        <v>β0=</v>
      </c>
      <c r="H195" s="14">
        <f>H94</f>
        <v>-61.956438261931908</v>
      </c>
      <c r="I195" s="14"/>
      <c r="J195" s="14"/>
      <c r="K195" s="14"/>
      <c r="L195" s="45"/>
      <c r="N195" s="43"/>
      <c r="O195" s="14"/>
      <c r="P195" s="14"/>
      <c r="Q195" s="14"/>
      <c r="R195" s="14"/>
      <c r="S195" s="29" t="str">
        <f>G195</f>
        <v>β0=</v>
      </c>
      <c r="T195" s="29">
        <f>H195</f>
        <v>-61.956438261931908</v>
      </c>
      <c r="U195" s="14"/>
      <c r="V195" s="14"/>
      <c r="W195" s="14"/>
      <c r="X195" s="45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</row>
    <row r="196" spans="1:39">
      <c r="A196" s="21" t="s">
        <v>83</v>
      </c>
      <c r="B196" s="43"/>
      <c r="C196" s="14"/>
      <c r="D196" s="14"/>
      <c r="E196" s="14"/>
      <c r="F196" s="14"/>
      <c r="G196" s="14"/>
      <c r="H196" s="14"/>
      <c r="I196" s="14"/>
      <c r="J196" s="14"/>
      <c r="K196" s="14"/>
      <c r="L196" s="45"/>
      <c r="N196" s="43"/>
      <c r="O196" s="14"/>
      <c r="P196" s="14"/>
      <c r="Q196" s="14"/>
      <c r="R196" s="14"/>
      <c r="S196" s="14"/>
      <c r="T196" s="14"/>
      <c r="U196" s="14"/>
      <c r="V196" s="14"/>
      <c r="W196" s="14"/>
      <c r="X196" s="45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</row>
    <row r="197" spans="1:39">
      <c r="A197" s="21" t="s">
        <v>104</v>
      </c>
      <c r="B197" s="43"/>
      <c r="C197" s="14"/>
      <c r="D197" s="14"/>
      <c r="E197" s="14"/>
      <c r="F197" s="14"/>
      <c r="G197" s="14"/>
      <c r="H197" s="14">
        <f>D99</f>
        <v>13.255687925542237</v>
      </c>
      <c r="I197" s="14"/>
      <c r="J197" s="14"/>
      <c r="K197" s="14"/>
      <c r="L197" s="45"/>
      <c r="N197" s="43"/>
      <c r="O197" s="14"/>
      <c r="P197" s="14"/>
      <c r="Q197" s="14"/>
      <c r="R197" s="14"/>
      <c r="S197" s="14"/>
      <c r="T197" s="29">
        <f>H197</f>
        <v>13.255687925542237</v>
      </c>
      <c r="U197" s="14"/>
      <c r="V197" s="14"/>
      <c r="W197" s="14"/>
      <c r="X197" s="45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</row>
    <row r="198" spans="1:39">
      <c r="A198" s="21" t="s">
        <v>84</v>
      </c>
      <c r="B198" s="43"/>
      <c r="C198" s="14"/>
      <c r="D198" s="14"/>
      <c r="E198" s="14"/>
      <c r="F198" s="14"/>
      <c r="G198" s="14"/>
      <c r="H198" s="14"/>
      <c r="I198" s="14"/>
      <c r="J198" s="14"/>
      <c r="K198" s="14"/>
      <c r="L198" s="45"/>
      <c r="N198" s="43"/>
      <c r="O198" s="14"/>
      <c r="P198" s="14"/>
      <c r="Q198" s="14"/>
      <c r="R198" s="14"/>
      <c r="S198" s="14"/>
      <c r="T198" s="14"/>
      <c r="U198" s="14"/>
      <c r="V198" s="14"/>
      <c r="W198" s="14"/>
      <c r="X198" s="45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</row>
    <row r="199" spans="1:39">
      <c r="B199" s="43"/>
      <c r="C199" s="14"/>
      <c r="D199" s="14"/>
      <c r="E199" s="14"/>
      <c r="F199" s="14"/>
      <c r="G199" s="14"/>
      <c r="H199" s="14"/>
      <c r="I199" s="14"/>
      <c r="J199" s="14"/>
      <c r="K199" s="14"/>
      <c r="L199" s="45"/>
      <c r="N199" s="43"/>
      <c r="O199" s="14"/>
      <c r="P199" s="14"/>
      <c r="Q199" s="14"/>
      <c r="R199" s="14"/>
      <c r="S199" s="14"/>
      <c r="T199" s="14"/>
      <c r="U199" s="14"/>
      <c r="V199" s="14"/>
      <c r="W199" s="14"/>
      <c r="X199" s="45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</row>
    <row r="200" spans="1:39">
      <c r="B200" s="43"/>
      <c r="C200" s="14">
        <f>D54</f>
        <v>365.86306684063749</v>
      </c>
      <c r="D200" s="14"/>
      <c r="E200" s="14"/>
      <c r="F200" s="14"/>
      <c r="G200" s="14"/>
      <c r="H200" s="14"/>
      <c r="I200" s="14"/>
      <c r="J200" s="14"/>
      <c r="K200" s="14"/>
      <c r="L200" s="45"/>
      <c r="N200" s="43"/>
      <c r="O200" s="29">
        <f>C200</f>
        <v>365.86306684063749</v>
      </c>
      <c r="P200" s="14"/>
      <c r="Q200" s="14"/>
      <c r="R200" s="14"/>
      <c r="S200" s="14"/>
      <c r="T200" s="14"/>
      <c r="U200" s="14"/>
      <c r="V200" s="14"/>
      <c r="W200" s="14"/>
      <c r="X200" s="45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</row>
    <row r="201" spans="1:39">
      <c r="B201" s="43"/>
      <c r="C201" s="14"/>
      <c r="D201" s="14"/>
      <c r="E201" s="14"/>
      <c r="F201" s="14"/>
      <c r="G201" s="14"/>
      <c r="H201" s="14"/>
      <c r="I201" s="14"/>
      <c r="J201" s="14"/>
      <c r="K201" s="14"/>
      <c r="L201" s="45"/>
      <c r="N201" s="43"/>
      <c r="O201" s="14"/>
      <c r="P201" s="14"/>
      <c r="Q201" s="14"/>
      <c r="R201" s="14"/>
      <c r="S201" s="14"/>
      <c r="T201" s="14"/>
      <c r="U201" s="14"/>
      <c r="V201" s="14"/>
      <c r="W201" s="14"/>
      <c r="X201" s="45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</row>
    <row r="202" spans="1:39">
      <c r="B202" s="43"/>
      <c r="C202" s="44" t="s">
        <v>105</v>
      </c>
      <c r="D202" s="14">
        <v>0.05</v>
      </c>
      <c r="E202" s="14"/>
      <c r="F202" s="14"/>
      <c r="G202" s="29" t="s">
        <v>108</v>
      </c>
      <c r="H202" s="14" t="str">
        <f>"]-∞;-"&amp;ROUND(D204,4)&amp;"[ U ]"&amp;ROUND(D204,4)&amp;";+∞["</f>
        <v>]-∞;-2,23[ U ]2,23;+∞[</v>
      </c>
      <c r="I202" s="14"/>
      <c r="J202" s="14"/>
      <c r="K202" s="14"/>
      <c r="L202" s="45"/>
      <c r="N202" s="43"/>
      <c r="O202" s="44" t="s">
        <v>105</v>
      </c>
      <c r="P202" s="14">
        <v>0.01</v>
      </c>
      <c r="Q202" s="14"/>
      <c r="R202" s="14"/>
      <c r="S202" s="29" t="s">
        <v>108</v>
      </c>
      <c r="T202" s="14" t="str">
        <f>"]-∞;-"&amp;ROUND(P204,4)&amp;"[ U ]"&amp;ROUND(P204,4)&amp;";+∞["</f>
        <v>]-∞;-3,17[ U ]3,17;+∞[</v>
      </c>
      <c r="U202" s="14"/>
      <c r="V202" s="14"/>
      <c r="W202" s="14"/>
      <c r="X202" s="45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  <c r="AL202" s="77"/>
      <c r="AM202" s="77"/>
    </row>
    <row r="203" spans="1:39">
      <c r="B203" s="43"/>
      <c r="C203" s="44"/>
      <c r="D203" s="14"/>
      <c r="E203" s="14"/>
      <c r="F203" s="14"/>
      <c r="G203" s="14"/>
      <c r="H203" s="14"/>
      <c r="I203" s="14"/>
      <c r="J203" s="14"/>
      <c r="K203" s="14"/>
      <c r="L203" s="45"/>
      <c r="N203" s="43"/>
      <c r="O203" s="44"/>
      <c r="P203" s="14"/>
      <c r="Q203" s="14"/>
      <c r="R203" s="14"/>
      <c r="S203" s="14"/>
      <c r="T203" s="14"/>
      <c r="U203" s="14"/>
      <c r="V203" s="14"/>
      <c r="W203" s="14"/>
      <c r="X203" s="45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  <c r="AL203" s="77"/>
      <c r="AM203" s="77"/>
    </row>
    <row r="204" spans="1:39">
      <c r="B204" s="43"/>
      <c r="C204" s="14"/>
      <c r="D204" s="14">
        <f>ROUND(_xlfn.T.INV(1-D202/2,17-(6+1)),2)</f>
        <v>2.23</v>
      </c>
      <c r="E204" s="14"/>
      <c r="F204" s="14"/>
      <c r="G204" s="14"/>
      <c r="H204" s="14"/>
      <c r="I204" s="14"/>
      <c r="J204" s="14"/>
      <c r="K204" s="14"/>
      <c r="L204" s="45"/>
      <c r="N204" s="43"/>
      <c r="O204" s="14"/>
      <c r="P204" s="14">
        <f>ROUND(_xlfn.T.INV(1-P202/2,17-(6+1)),2)</f>
        <v>3.17</v>
      </c>
      <c r="Q204" s="14"/>
      <c r="R204" s="14"/>
      <c r="S204" s="14"/>
      <c r="T204" s="14"/>
      <c r="U204" s="14"/>
      <c r="V204" s="14"/>
      <c r="W204" s="14"/>
      <c r="X204" s="45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  <c r="AL204" s="77"/>
      <c r="AM204" s="77"/>
    </row>
    <row r="205" spans="1:39">
      <c r="B205" s="43"/>
      <c r="C205" s="29"/>
      <c r="D205" s="14"/>
      <c r="E205" s="14"/>
      <c r="F205" s="14"/>
      <c r="G205" s="14"/>
      <c r="H205" s="14"/>
      <c r="I205" s="14"/>
      <c r="J205" s="14"/>
      <c r="K205" s="14"/>
      <c r="L205" s="45"/>
      <c r="N205" s="43"/>
      <c r="O205" s="29"/>
      <c r="P205" s="14"/>
      <c r="Q205" s="14"/>
      <c r="R205" s="14"/>
      <c r="S205" s="14"/>
      <c r="T205" s="14"/>
      <c r="U205" s="14"/>
      <c r="V205" s="14"/>
      <c r="W205" s="14"/>
      <c r="X205" s="45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</row>
    <row r="206" spans="1:39">
      <c r="B206" s="43"/>
      <c r="C206" s="14"/>
      <c r="D206" s="14"/>
      <c r="E206" s="14"/>
      <c r="F206" s="14"/>
      <c r="G206" s="14"/>
      <c r="H206" s="14"/>
      <c r="I206" s="14"/>
      <c r="J206" s="14"/>
      <c r="K206" s="14"/>
      <c r="L206" s="45"/>
      <c r="N206" s="43"/>
      <c r="O206" s="14"/>
      <c r="P206" s="14"/>
      <c r="Q206" s="14"/>
      <c r="R206" s="14"/>
      <c r="S206" s="14"/>
      <c r="T206" s="14"/>
      <c r="U206" s="14"/>
      <c r="V206" s="14"/>
      <c r="W206" s="14"/>
      <c r="X206" s="45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  <c r="AL206" s="77"/>
      <c r="AM206" s="77"/>
    </row>
    <row r="207" spans="1:39">
      <c r="B207" s="43"/>
      <c r="C207" s="14"/>
      <c r="D207" s="14"/>
      <c r="E207" s="14"/>
      <c r="F207" s="14"/>
      <c r="G207" s="14"/>
      <c r="H207" s="14"/>
      <c r="I207" s="14"/>
      <c r="J207" s="14"/>
      <c r="K207" s="14"/>
      <c r="L207" s="45"/>
      <c r="N207" s="43"/>
      <c r="O207" s="14"/>
      <c r="P207" s="14"/>
      <c r="Q207" s="14"/>
      <c r="R207" s="14"/>
      <c r="S207" s="14"/>
      <c r="T207" s="14"/>
      <c r="U207" s="14"/>
      <c r="V207" s="14"/>
      <c r="W207" s="14"/>
      <c r="X207" s="45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  <c r="AL207" s="77"/>
      <c r="AM207" s="77"/>
    </row>
    <row r="208" spans="1:39">
      <c r="B208" s="43"/>
      <c r="C208" s="29" t="s">
        <v>106</v>
      </c>
      <c r="D208" s="14">
        <f>ROUND(H195/SQRT(C200*H197),4)</f>
        <v>-0.88970000000000005</v>
      </c>
      <c r="E208" s="14"/>
      <c r="F208" s="14"/>
      <c r="G208" s="14"/>
      <c r="H208" s="14"/>
      <c r="I208" s="14"/>
      <c r="J208" s="14"/>
      <c r="K208" s="14"/>
      <c r="L208" s="45"/>
      <c r="N208" s="43"/>
      <c r="O208" s="29" t="s">
        <v>106</v>
      </c>
      <c r="P208" s="14">
        <f>ROUND(T195/SQRT(O200*T197),4)</f>
        <v>-0.88970000000000005</v>
      </c>
      <c r="Q208" s="14"/>
      <c r="R208" s="14"/>
      <c r="S208" s="14"/>
      <c r="T208" s="14"/>
      <c r="U208" s="14"/>
      <c r="V208" s="14"/>
      <c r="W208" s="14"/>
      <c r="X208" s="45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  <c r="AL208" s="77"/>
      <c r="AM208" s="77"/>
    </row>
    <row r="209" spans="1:39">
      <c r="B209" s="43"/>
      <c r="C209" s="29" t="s">
        <v>107</v>
      </c>
      <c r="D209" s="14">
        <f>ABS(D208)</f>
        <v>0.88970000000000005</v>
      </c>
      <c r="E209" s="14"/>
      <c r="F209" s="14"/>
      <c r="G209" s="14"/>
      <c r="H209" s="14"/>
      <c r="I209" s="14"/>
      <c r="J209" s="14"/>
      <c r="K209" s="14"/>
      <c r="L209" s="45"/>
      <c r="N209" s="43"/>
      <c r="O209" s="29" t="s">
        <v>107</v>
      </c>
      <c r="P209" s="14">
        <f>ABS(P208)</f>
        <v>0.88970000000000005</v>
      </c>
      <c r="Q209" s="14"/>
      <c r="R209" s="14"/>
      <c r="S209" s="14"/>
      <c r="T209" s="14"/>
      <c r="U209" s="14"/>
      <c r="V209" s="14"/>
      <c r="W209" s="14"/>
      <c r="X209" s="45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  <c r="AL209" s="77"/>
      <c r="AM209" s="77"/>
    </row>
    <row r="210" spans="1:39" ht="13.5" thickBot="1">
      <c r="B210" s="47" t="str">
        <f>IF(ABS(D208)&gt;ROUND(D204,4), "Como |"&amp;ROUND(D208,2)&amp;"| &gt; "&amp;ROUND(D204,4)&amp;" então rejeita-se H0, logo a um nível de significância de "&amp;D202*100&amp;"% há evidencia estatística suficiente para se concluir que "&amp;G195&amp;" é não nulo","Como |"&amp;ROUND(D208,2)&amp;"|  ≤ "&amp;ROUND(D204,4)&amp;" então não se rejeita H0, logo a um nível de significância de "&amp;D202*100&amp;"% há evidencia estatística suficiente para se concluir que "&amp;G195&amp;" é nulo")</f>
        <v>Como |-0,89|  ≤ 2,23 então não se rejeita H0, logo a um nível de significância de 5% há evidencia estatística suficiente para se concluir que β0= é nulo</v>
      </c>
      <c r="C210" s="28"/>
      <c r="D210" s="28"/>
      <c r="E210" s="28"/>
      <c r="F210" s="28"/>
      <c r="G210" s="28"/>
      <c r="H210" s="28"/>
      <c r="I210" s="28"/>
      <c r="J210" s="28"/>
      <c r="K210" s="49"/>
      <c r="L210" s="49"/>
      <c r="N210" s="47" t="str">
        <f>IF(ABS(P208)&gt;ROUND(P204,4), "Como |"&amp;ROUND(P208,2)&amp;"| &gt; "&amp;ROUND(P204,4)&amp;" então rejeita-se H0, logo a um nível de significância de "&amp;P202*100&amp;"% há evidencia estatística suficiente para se concluir que "&amp;S195&amp;" é não nulo","Como |"&amp;ROUND(P208,2)&amp;"|  ≤ "&amp;ROUND(P204,4)&amp;" então não se rejeita H0, logo a um nível de significância de "&amp;P202*100&amp;"% há evidencia estatística suficiente para se concluir que "&amp;S195&amp;" é nulo")</f>
        <v>Como |-0,89|  ≤ 3,17 então não se rejeita H0, logo a um nível de significância de 1% há evidencia estatística suficiente para se concluir que β0= é nulo</v>
      </c>
      <c r="O210" s="28"/>
      <c r="P210" s="28"/>
      <c r="Q210" s="28"/>
      <c r="R210" s="28"/>
      <c r="S210" s="28"/>
      <c r="T210" s="28"/>
      <c r="U210" s="28"/>
      <c r="V210" s="28"/>
      <c r="W210" s="49"/>
      <c r="X210" s="49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  <c r="AL210" s="77"/>
      <c r="AM210" s="77"/>
    </row>
    <row r="211" spans="1:39" ht="13.5" thickBot="1"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  <c r="AL211" s="77"/>
      <c r="AM211" s="77"/>
    </row>
    <row r="212" spans="1:39">
      <c r="B212" s="39"/>
      <c r="C212" s="41"/>
      <c r="D212" s="41"/>
      <c r="E212" s="41"/>
      <c r="F212" s="41"/>
      <c r="G212" s="41"/>
      <c r="H212" s="41"/>
      <c r="I212" s="41"/>
      <c r="J212" s="41"/>
      <c r="K212" s="41"/>
      <c r="L212" s="42"/>
      <c r="N212" s="39"/>
      <c r="O212" s="41"/>
      <c r="P212" s="41"/>
      <c r="Q212" s="41"/>
      <c r="R212" s="41"/>
      <c r="S212" s="41"/>
      <c r="T212" s="41"/>
      <c r="U212" s="41"/>
      <c r="V212" s="41"/>
      <c r="W212" s="41"/>
      <c r="X212" s="42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  <c r="AL212" s="77"/>
      <c r="AM212" s="77"/>
    </row>
    <row r="213" spans="1:39">
      <c r="A213" s="21" t="s">
        <v>103</v>
      </c>
      <c r="B213" s="43"/>
      <c r="C213" s="14"/>
      <c r="D213" s="14"/>
      <c r="E213" s="14"/>
      <c r="F213" s="14"/>
      <c r="G213" s="29" t="str">
        <f>A216&amp;"="</f>
        <v>β1=</v>
      </c>
      <c r="H213" s="14">
        <f>H104</f>
        <v>-18.927149443253029</v>
      </c>
      <c r="I213" s="14"/>
      <c r="J213" s="14"/>
      <c r="K213" s="14"/>
      <c r="L213" s="45"/>
      <c r="N213" s="43"/>
      <c r="O213" s="14"/>
      <c r="P213" s="14"/>
      <c r="Q213" s="14"/>
      <c r="R213" s="14"/>
      <c r="S213" s="29" t="str">
        <f>G213</f>
        <v>β1=</v>
      </c>
      <c r="T213" s="29">
        <f>H213</f>
        <v>-18.927149443253029</v>
      </c>
      <c r="U213" s="14"/>
      <c r="V213" s="14"/>
      <c r="W213" s="14"/>
      <c r="X213" s="45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</row>
    <row r="214" spans="1:39">
      <c r="A214" s="21" t="s">
        <v>83</v>
      </c>
      <c r="B214" s="43"/>
      <c r="C214" s="14"/>
      <c r="D214" s="14"/>
      <c r="E214" s="14"/>
      <c r="F214" s="14"/>
      <c r="G214" s="14"/>
      <c r="H214" s="14"/>
      <c r="I214" s="14"/>
      <c r="J214" s="14"/>
      <c r="K214" s="14"/>
      <c r="L214" s="45"/>
      <c r="N214" s="43"/>
      <c r="O214" s="14"/>
      <c r="P214" s="14"/>
      <c r="Q214" s="14"/>
      <c r="R214" s="14"/>
      <c r="S214" s="14"/>
      <c r="T214" s="14"/>
      <c r="U214" s="14"/>
      <c r="V214" s="14"/>
      <c r="W214" s="14"/>
      <c r="X214" s="45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  <c r="AL214" s="77"/>
      <c r="AM214" s="77"/>
    </row>
    <row r="215" spans="1:39">
      <c r="A215" s="21" t="s">
        <v>104</v>
      </c>
      <c r="B215" s="43"/>
      <c r="C215" s="14"/>
      <c r="D215" s="14"/>
      <c r="E215" s="14"/>
      <c r="F215" s="14"/>
      <c r="G215" s="14"/>
      <c r="H215" s="14">
        <f>D109</f>
        <v>11.912496155592113</v>
      </c>
      <c r="I215" s="14"/>
      <c r="J215" s="14"/>
      <c r="K215" s="14"/>
      <c r="L215" s="45"/>
      <c r="N215" s="43"/>
      <c r="O215" s="14"/>
      <c r="P215" s="14"/>
      <c r="Q215" s="14"/>
      <c r="R215" s="14"/>
      <c r="S215" s="14"/>
      <c r="T215" s="29">
        <f>H215</f>
        <v>11.912496155592113</v>
      </c>
      <c r="U215" s="14"/>
      <c r="V215" s="14"/>
      <c r="W215" s="14"/>
      <c r="X215" s="45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  <c r="AL215" s="77"/>
      <c r="AM215" s="77"/>
    </row>
    <row r="216" spans="1:39">
      <c r="A216" s="21" t="s">
        <v>85</v>
      </c>
      <c r="B216" s="43"/>
      <c r="C216" s="14"/>
      <c r="D216" s="14"/>
      <c r="E216" s="14"/>
      <c r="F216" s="14"/>
      <c r="G216" s="14"/>
      <c r="H216" s="14"/>
      <c r="I216" s="14"/>
      <c r="J216" s="14"/>
      <c r="K216" s="14"/>
      <c r="L216" s="45"/>
      <c r="N216" s="43"/>
      <c r="O216" s="14"/>
      <c r="P216" s="14"/>
      <c r="Q216" s="14"/>
      <c r="R216" s="14"/>
      <c r="S216" s="14"/>
      <c r="T216" s="14"/>
      <c r="U216" s="14"/>
      <c r="V216" s="14"/>
      <c r="W216" s="14"/>
      <c r="X216" s="45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  <c r="AL216" s="77"/>
      <c r="AM216" s="77"/>
    </row>
    <row r="217" spans="1:39">
      <c r="B217" s="43"/>
      <c r="C217" s="14"/>
      <c r="D217" s="14"/>
      <c r="E217" s="14"/>
      <c r="F217" s="14"/>
      <c r="G217" s="14"/>
      <c r="H217" s="14"/>
      <c r="I217" s="14"/>
      <c r="J217" s="14"/>
      <c r="K217" s="14"/>
      <c r="L217" s="45"/>
      <c r="N217" s="43"/>
      <c r="O217" s="14"/>
      <c r="P217" s="14"/>
      <c r="Q217" s="14"/>
      <c r="R217" s="14"/>
      <c r="S217" s="14"/>
      <c r="T217" s="14"/>
      <c r="U217" s="14"/>
      <c r="V217" s="14"/>
      <c r="W217" s="14"/>
      <c r="X217" s="45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  <c r="AL217" s="77"/>
      <c r="AM217" s="77"/>
    </row>
    <row r="218" spans="1:39">
      <c r="B218" s="43"/>
      <c r="C218" s="14">
        <f>D54</f>
        <v>365.86306684063749</v>
      </c>
      <c r="D218" s="14"/>
      <c r="E218" s="14"/>
      <c r="F218" s="14"/>
      <c r="G218" s="14"/>
      <c r="H218" s="14"/>
      <c r="I218" s="14"/>
      <c r="J218" s="14"/>
      <c r="K218" s="14"/>
      <c r="L218" s="45"/>
      <c r="N218" s="43"/>
      <c r="O218" s="29">
        <f>C218</f>
        <v>365.86306684063749</v>
      </c>
      <c r="P218" s="14"/>
      <c r="Q218" s="14"/>
      <c r="R218" s="14"/>
      <c r="S218" s="14"/>
      <c r="T218" s="14"/>
      <c r="U218" s="14"/>
      <c r="V218" s="14"/>
      <c r="W218" s="14"/>
      <c r="X218" s="45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  <c r="AL218" s="77"/>
      <c r="AM218" s="77"/>
    </row>
    <row r="219" spans="1:39">
      <c r="B219" s="43"/>
      <c r="C219" s="14"/>
      <c r="D219" s="14"/>
      <c r="E219" s="14"/>
      <c r="F219" s="14"/>
      <c r="G219" s="14"/>
      <c r="H219" s="14"/>
      <c r="I219" s="14"/>
      <c r="J219" s="14"/>
      <c r="K219" s="14"/>
      <c r="L219" s="45"/>
      <c r="N219" s="43"/>
      <c r="O219" s="14"/>
      <c r="P219" s="14"/>
      <c r="Q219" s="14"/>
      <c r="R219" s="14"/>
      <c r="S219" s="14"/>
      <c r="T219" s="14"/>
      <c r="U219" s="14"/>
      <c r="V219" s="14"/>
      <c r="W219" s="14"/>
      <c r="X219" s="45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  <c r="AL219" s="77"/>
      <c r="AM219" s="77"/>
    </row>
    <row r="220" spans="1:39">
      <c r="B220" s="43"/>
      <c r="C220" s="44" t="s">
        <v>105</v>
      </c>
      <c r="D220" s="14">
        <v>0.05</v>
      </c>
      <c r="E220" s="14"/>
      <c r="F220" s="14"/>
      <c r="G220" s="29" t="s">
        <v>108</v>
      </c>
      <c r="H220" s="14" t="str">
        <f>"]-∞;-"&amp;ROUND(D222,4)&amp;"[ U ]"&amp;ROUND(D222,4)&amp;";+∞["</f>
        <v>]-∞;-2,23[ U ]2,23;+∞[</v>
      </c>
      <c r="I220" s="14"/>
      <c r="J220" s="14"/>
      <c r="K220" s="14"/>
      <c r="L220" s="45"/>
      <c r="N220" s="43"/>
      <c r="O220" s="44" t="s">
        <v>105</v>
      </c>
      <c r="P220" s="14">
        <v>0.01</v>
      </c>
      <c r="Q220" s="14"/>
      <c r="R220" s="14"/>
      <c r="S220" s="29" t="s">
        <v>108</v>
      </c>
      <c r="T220" s="14" t="str">
        <f>"]-∞;-"&amp;ROUND(P222,4)&amp;"[ U ]"&amp;ROUND(P222,4)&amp;";+∞["</f>
        <v>]-∞;-3,17[ U ]3,17;+∞[</v>
      </c>
      <c r="U220" s="14"/>
      <c r="V220" s="14"/>
      <c r="W220" s="14"/>
      <c r="X220" s="45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  <c r="AL220" s="77"/>
      <c r="AM220" s="77"/>
    </row>
    <row r="221" spans="1:39">
      <c r="B221" s="43"/>
      <c r="C221" s="44"/>
      <c r="D221" s="14"/>
      <c r="E221" s="14"/>
      <c r="F221" s="14"/>
      <c r="G221" s="14"/>
      <c r="H221" s="14"/>
      <c r="I221" s="14"/>
      <c r="J221" s="14"/>
      <c r="K221" s="14"/>
      <c r="L221" s="45"/>
      <c r="N221" s="43"/>
      <c r="O221" s="44"/>
      <c r="P221" s="14"/>
      <c r="Q221" s="14"/>
      <c r="R221" s="14"/>
      <c r="S221" s="14"/>
      <c r="T221" s="14"/>
      <c r="U221" s="14"/>
      <c r="V221" s="14"/>
      <c r="W221" s="14"/>
      <c r="X221" s="45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  <c r="AL221" s="77"/>
      <c r="AM221" s="77"/>
    </row>
    <row r="222" spans="1:39">
      <c r="B222" s="43"/>
      <c r="C222" s="14"/>
      <c r="D222" s="14">
        <f>ROUND(_xlfn.T.INV(1-D220/2,17-(6+1)),2)</f>
        <v>2.23</v>
      </c>
      <c r="E222" s="14"/>
      <c r="F222" s="14"/>
      <c r="G222" s="14"/>
      <c r="H222" s="14"/>
      <c r="I222" s="14"/>
      <c r="J222" s="14"/>
      <c r="K222" s="14"/>
      <c r="L222" s="45"/>
      <c r="N222" s="43"/>
      <c r="O222" s="14"/>
      <c r="P222" s="14">
        <f>ROUND(_xlfn.T.INV(1-P220/2,17-(6+1)),2)</f>
        <v>3.17</v>
      </c>
      <c r="Q222" s="14"/>
      <c r="R222" s="14"/>
      <c r="S222" s="14"/>
      <c r="T222" s="14"/>
      <c r="U222" s="14"/>
      <c r="V222" s="14"/>
      <c r="W222" s="14"/>
      <c r="X222" s="45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  <c r="AL222" s="77"/>
      <c r="AM222" s="77"/>
    </row>
    <row r="223" spans="1:39">
      <c r="B223" s="43"/>
      <c r="C223" s="29"/>
      <c r="D223" s="14"/>
      <c r="E223" s="14"/>
      <c r="F223" s="14"/>
      <c r="G223" s="14"/>
      <c r="H223" s="14"/>
      <c r="I223" s="14"/>
      <c r="J223" s="14"/>
      <c r="K223" s="14"/>
      <c r="L223" s="45"/>
      <c r="N223" s="43"/>
      <c r="O223" s="29"/>
      <c r="P223" s="14"/>
      <c r="Q223" s="14"/>
      <c r="R223" s="14"/>
      <c r="S223" s="14"/>
      <c r="T223" s="14"/>
      <c r="U223" s="14"/>
      <c r="V223" s="14"/>
      <c r="W223" s="14"/>
      <c r="X223" s="45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</row>
    <row r="224" spans="1:39">
      <c r="B224" s="43"/>
      <c r="C224" s="14"/>
      <c r="D224" s="14"/>
      <c r="E224" s="14"/>
      <c r="F224" s="14"/>
      <c r="G224" s="14"/>
      <c r="H224" s="14"/>
      <c r="I224" s="14"/>
      <c r="J224" s="14"/>
      <c r="K224" s="14"/>
      <c r="L224" s="45"/>
      <c r="N224" s="43"/>
      <c r="O224" s="14"/>
      <c r="P224" s="14"/>
      <c r="Q224" s="14"/>
      <c r="R224" s="14"/>
      <c r="S224" s="14"/>
      <c r="T224" s="14"/>
      <c r="U224" s="14"/>
      <c r="V224" s="14"/>
      <c r="W224" s="14"/>
      <c r="X224" s="45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  <c r="AL224" s="77"/>
      <c r="AM224" s="77"/>
    </row>
    <row r="225" spans="1:39">
      <c r="B225" s="43"/>
      <c r="C225" s="14"/>
      <c r="D225" s="14"/>
      <c r="E225" s="14"/>
      <c r="F225" s="14"/>
      <c r="G225" s="14"/>
      <c r="H225" s="14"/>
      <c r="I225" s="14"/>
      <c r="J225" s="14"/>
      <c r="K225" s="14"/>
      <c r="L225" s="45"/>
      <c r="N225" s="43"/>
      <c r="O225" s="14"/>
      <c r="P225" s="14"/>
      <c r="Q225" s="14"/>
      <c r="R225" s="14"/>
      <c r="S225" s="14"/>
      <c r="T225" s="14"/>
      <c r="U225" s="14"/>
      <c r="V225" s="14"/>
      <c r="W225" s="14"/>
      <c r="X225" s="45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  <c r="AL225" s="77"/>
      <c r="AM225" s="77"/>
    </row>
    <row r="226" spans="1:39">
      <c r="B226" s="43"/>
      <c r="C226" s="29" t="s">
        <v>106</v>
      </c>
      <c r="D226" s="14">
        <f>ROUND(H213/SQRT(C218*H215),4)</f>
        <v>-0.28670000000000001</v>
      </c>
      <c r="E226" s="14"/>
      <c r="F226" s="14"/>
      <c r="G226" s="14"/>
      <c r="H226" s="14"/>
      <c r="I226" s="14"/>
      <c r="J226" s="14"/>
      <c r="K226" s="14"/>
      <c r="L226" s="45"/>
      <c r="N226" s="43"/>
      <c r="O226" s="29" t="s">
        <v>106</v>
      </c>
      <c r="P226" s="14">
        <f>ROUND(T213/SQRT(O218*T215),4)</f>
        <v>-0.28670000000000001</v>
      </c>
      <c r="Q226" s="14"/>
      <c r="R226" s="14"/>
      <c r="S226" s="14"/>
      <c r="T226" s="14"/>
      <c r="U226" s="14"/>
      <c r="V226" s="14"/>
      <c r="W226" s="14"/>
      <c r="X226" s="45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  <c r="AL226" s="77"/>
      <c r="AM226" s="77"/>
    </row>
    <row r="227" spans="1:39">
      <c r="B227" s="43"/>
      <c r="C227" s="29" t="s">
        <v>107</v>
      </c>
      <c r="D227" s="14">
        <f>ABS(D226)</f>
        <v>0.28670000000000001</v>
      </c>
      <c r="E227" s="14"/>
      <c r="F227" s="14"/>
      <c r="G227" s="14"/>
      <c r="H227" s="14"/>
      <c r="I227" s="14"/>
      <c r="J227" s="14"/>
      <c r="K227" s="14"/>
      <c r="L227" s="45"/>
      <c r="N227" s="43"/>
      <c r="O227" s="29" t="s">
        <v>107</v>
      </c>
      <c r="P227" s="14">
        <f>ABS(P226)</f>
        <v>0.28670000000000001</v>
      </c>
      <c r="Q227" s="14"/>
      <c r="R227" s="14"/>
      <c r="S227" s="14"/>
      <c r="T227" s="14"/>
      <c r="U227" s="14"/>
      <c r="V227" s="14"/>
      <c r="W227" s="14"/>
      <c r="X227" s="45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7"/>
      <c r="AM227" s="77"/>
    </row>
    <row r="228" spans="1:39" ht="13.5" thickBot="1">
      <c r="B228" s="47" t="str">
        <f>IF(ABS(D226)&gt;ROUND(D222,4), "Como |"&amp;ROUND(D226,2)&amp;"| &gt; "&amp;ROUND(D222,4)&amp;" então rejeita-se H0, logo a um nível de significância de "&amp;D220*100&amp;"% há evidencia estatística suficiente para se concluir que "&amp;G213&amp;" é não nulo","Como |"&amp;ROUND(D226,2)&amp;"|  ≤ "&amp;ROUND(D222,4)&amp;" então não se rejeita H0, logo a um nível de significância de "&amp;D220*100&amp;"% há evidencia estatística suficiente para se concluir que "&amp;G213&amp;" é nulo")</f>
        <v>Como |-0,29|  ≤ 2,23 então não se rejeita H0, logo a um nível de significância de 5% há evidencia estatística suficiente para se concluir que β1= é nulo</v>
      </c>
      <c r="C228" s="28"/>
      <c r="D228" s="28"/>
      <c r="E228" s="28"/>
      <c r="F228" s="28"/>
      <c r="G228" s="28"/>
      <c r="H228" s="28"/>
      <c r="I228" s="28"/>
      <c r="J228" s="28"/>
      <c r="K228" s="49"/>
      <c r="L228" s="49"/>
      <c r="N228" s="47" t="str">
        <f>IF(ABS(P226)&gt;ROUND(P222,4), "Como |"&amp;ROUND(P226,2)&amp;"| &gt; "&amp;ROUND(P222,4)&amp;" então rejeita-se H0, logo a um nível de significância de "&amp;P220*100&amp;"% há evidencia estatística suficiente para se concluir que "&amp;S213&amp;" é não nulo","Como |"&amp;ROUND(P226,2)&amp;"|  ≤ "&amp;ROUND(P222,4)&amp;" então não se rejeita H0, logo a um nível de significância de "&amp;P220*100&amp;"% há evidencia estatística suficiente para se concluir que "&amp;S213&amp;" é nulo")</f>
        <v>Como |-0,29|  ≤ 3,17 então não se rejeita H0, logo a um nível de significância de 1% há evidencia estatística suficiente para se concluir que β1= é nulo</v>
      </c>
      <c r="O228" s="28"/>
      <c r="P228" s="28"/>
      <c r="Q228" s="28"/>
      <c r="R228" s="28"/>
      <c r="S228" s="28"/>
      <c r="T228" s="28"/>
      <c r="U228" s="28"/>
      <c r="V228" s="28"/>
      <c r="W228" s="49"/>
      <c r="X228" s="49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7"/>
      <c r="AM228" s="77"/>
    </row>
    <row r="229" spans="1:39" ht="13.5" thickBot="1"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7"/>
      <c r="AM229" s="77"/>
    </row>
    <row r="230" spans="1:39">
      <c r="B230" s="39"/>
      <c r="C230" s="41"/>
      <c r="D230" s="41"/>
      <c r="E230" s="41"/>
      <c r="F230" s="41"/>
      <c r="G230" s="41"/>
      <c r="H230" s="41"/>
      <c r="I230" s="41"/>
      <c r="J230" s="41"/>
      <c r="K230" s="41"/>
      <c r="L230" s="42"/>
      <c r="N230" s="39"/>
      <c r="O230" s="41"/>
      <c r="P230" s="41"/>
      <c r="Q230" s="41"/>
      <c r="R230" s="41"/>
      <c r="S230" s="41"/>
      <c r="T230" s="41"/>
      <c r="U230" s="41"/>
      <c r="V230" s="41"/>
      <c r="W230" s="41"/>
      <c r="X230" s="42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  <c r="AL230" s="77"/>
      <c r="AM230" s="77"/>
    </row>
    <row r="231" spans="1:39">
      <c r="A231" s="21" t="s">
        <v>103</v>
      </c>
      <c r="B231" s="43"/>
      <c r="C231" s="14"/>
      <c r="D231" s="14"/>
      <c r="E231" s="14"/>
      <c r="F231" s="14"/>
      <c r="G231" s="29" t="str">
        <f>A234&amp;"="</f>
        <v>β2=</v>
      </c>
      <c r="H231" s="14">
        <f>H114</f>
        <v>-0.11135021232880205</v>
      </c>
      <c r="I231" s="14"/>
      <c r="J231" s="14"/>
      <c r="K231" s="14"/>
      <c r="L231" s="45"/>
      <c r="N231" s="43"/>
      <c r="O231" s="14"/>
      <c r="P231" s="14"/>
      <c r="Q231" s="14"/>
      <c r="R231" s="14"/>
      <c r="S231" s="29" t="str">
        <f>G231</f>
        <v>β2=</v>
      </c>
      <c r="T231" s="29">
        <f>H231</f>
        <v>-0.11135021232880205</v>
      </c>
      <c r="U231" s="14"/>
      <c r="V231" s="14"/>
      <c r="W231" s="14"/>
      <c r="X231" s="45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  <c r="AL231" s="77"/>
      <c r="AM231" s="77"/>
    </row>
    <row r="232" spans="1:39">
      <c r="A232" s="21" t="s">
        <v>83</v>
      </c>
      <c r="B232" s="43"/>
      <c r="C232" s="14"/>
      <c r="D232" s="14"/>
      <c r="E232" s="14"/>
      <c r="F232" s="14"/>
      <c r="G232" s="14"/>
      <c r="H232" s="14"/>
      <c r="I232" s="14"/>
      <c r="J232" s="14"/>
      <c r="K232" s="14"/>
      <c r="L232" s="45"/>
      <c r="N232" s="43"/>
      <c r="O232" s="14"/>
      <c r="P232" s="14"/>
      <c r="Q232" s="14"/>
      <c r="R232" s="14"/>
      <c r="S232" s="14"/>
      <c r="T232" s="14"/>
      <c r="U232" s="14"/>
      <c r="V232" s="14"/>
      <c r="W232" s="14"/>
      <c r="X232" s="45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  <c r="AL232" s="77"/>
      <c r="AM232" s="77"/>
    </row>
    <row r="233" spans="1:39">
      <c r="A233" s="21" t="s">
        <v>104</v>
      </c>
      <c r="B233" s="43"/>
      <c r="C233" s="14"/>
      <c r="D233" s="14"/>
      <c r="E233" s="14"/>
      <c r="F233" s="14"/>
      <c r="G233" s="14"/>
      <c r="H233" s="14">
        <f>D119</f>
        <v>3.0936003535666344E-6</v>
      </c>
      <c r="I233" s="14"/>
      <c r="J233" s="14"/>
      <c r="K233" s="14"/>
      <c r="L233" s="45"/>
      <c r="N233" s="43"/>
      <c r="O233" s="14"/>
      <c r="P233" s="14"/>
      <c r="Q233" s="14"/>
      <c r="R233" s="14"/>
      <c r="S233" s="14"/>
      <c r="T233" s="29">
        <f>H233</f>
        <v>3.0936003535666344E-6</v>
      </c>
      <c r="U233" s="14"/>
      <c r="V233" s="14"/>
      <c r="W233" s="14"/>
      <c r="X233" s="45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  <c r="AL233" s="77"/>
      <c r="AM233" s="77"/>
    </row>
    <row r="234" spans="1:39">
      <c r="A234" s="21" t="s">
        <v>86</v>
      </c>
      <c r="B234" s="43"/>
      <c r="C234" s="14"/>
      <c r="D234" s="14"/>
      <c r="E234" s="14"/>
      <c r="F234" s="14"/>
      <c r="G234" s="14"/>
      <c r="H234" s="14"/>
      <c r="I234" s="14"/>
      <c r="J234" s="14"/>
      <c r="K234" s="14"/>
      <c r="L234" s="45"/>
      <c r="N234" s="43"/>
      <c r="O234" s="14"/>
      <c r="P234" s="14"/>
      <c r="Q234" s="14"/>
      <c r="R234" s="14"/>
      <c r="S234" s="14"/>
      <c r="T234" s="14"/>
      <c r="U234" s="14"/>
      <c r="V234" s="14"/>
      <c r="W234" s="14"/>
      <c r="X234" s="45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  <c r="AL234" s="77"/>
      <c r="AM234" s="77"/>
    </row>
    <row r="235" spans="1:39">
      <c r="B235" s="43"/>
      <c r="C235" s="14"/>
      <c r="D235" s="14"/>
      <c r="E235" s="14"/>
      <c r="F235" s="14"/>
      <c r="G235" s="14"/>
      <c r="H235" s="14"/>
      <c r="I235" s="14"/>
      <c r="J235" s="14"/>
      <c r="K235" s="14"/>
      <c r="L235" s="45"/>
      <c r="N235" s="43"/>
      <c r="O235" s="14"/>
      <c r="P235" s="14"/>
      <c r="Q235" s="14"/>
      <c r="R235" s="14"/>
      <c r="S235" s="14"/>
      <c r="T235" s="14"/>
      <c r="U235" s="14"/>
      <c r="V235" s="14"/>
      <c r="W235" s="14"/>
      <c r="X235" s="45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  <c r="AL235" s="77"/>
      <c r="AM235" s="77"/>
    </row>
    <row r="236" spans="1:39">
      <c r="B236" s="43"/>
      <c r="C236" s="14">
        <f>D54</f>
        <v>365.86306684063749</v>
      </c>
      <c r="D236" s="14"/>
      <c r="E236" s="14"/>
      <c r="F236" s="14"/>
      <c r="G236" s="14"/>
      <c r="H236" s="14"/>
      <c r="I236" s="14"/>
      <c r="J236" s="14"/>
      <c r="K236" s="14"/>
      <c r="L236" s="45"/>
      <c r="N236" s="43"/>
      <c r="O236" s="29">
        <f>C236</f>
        <v>365.86306684063749</v>
      </c>
      <c r="P236" s="14"/>
      <c r="Q236" s="14"/>
      <c r="R236" s="14"/>
      <c r="S236" s="14"/>
      <c r="T236" s="14"/>
      <c r="U236" s="14"/>
      <c r="V236" s="14"/>
      <c r="W236" s="14"/>
      <c r="X236" s="45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  <c r="AL236" s="77"/>
      <c r="AM236" s="77"/>
    </row>
    <row r="237" spans="1:39">
      <c r="B237" s="43"/>
      <c r="C237" s="14"/>
      <c r="D237" s="14"/>
      <c r="E237" s="14"/>
      <c r="F237" s="14"/>
      <c r="G237" s="14"/>
      <c r="H237" s="14"/>
      <c r="I237" s="14"/>
      <c r="J237" s="14"/>
      <c r="K237" s="14"/>
      <c r="L237" s="45"/>
      <c r="N237" s="43"/>
      <c r="O237" s="14"/>
      <c r="P237" s="14"/>
      <c r="Q237" s="14"/>
      <c r="R237" s="14"/>
      <c r="S237" s="14"/>
      <c r="T237" s="14"/>
      <c r="U237" s="14"/>
      <c r="V237" s="14"/>
      <c r="W237" s="14"/>
      <c r="X237" s="45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  <c r="AL237" s="77"/>
      <c r="AM237" s="77"/>
    </row>
    <row r="238" spans="1:39">
      <c r="B238" s="43"/>
      <c r="C238" s="44" t="s">
        <v>105</v>
      </c>
      <c r="D238" s="14">
        <v>0.05</v>
      </c>
      <c r="E238" s="14"/>
      <c r="F238" s="14"/>
      <c r="G238" s="29" t="s">
        <v>108</v>
      </c>
      <c r="H238" s="14" t="str">
        <f>"]-∞;-"&amp;ROUND(D240,4)&amp;"[ U ]"&amp;ROUND(D240,4)&amp;";+∞["</f>
        <v>]-∞;-2,23[ U ]2,23;+∞[</v>
      </c>
      <c r="I238" s="14"/>
      <c r="J238" s="14"/>
      <c r="K238" s="14"/>
      <c r="L238" s="45"/>
      <c r="N238" s="43"/>
      <c r="O238" s="44" t="s">
        <v>105</v>
      </c>
      <c r="P238" s="14">
        <v>0.01</v>
      </c>
      <c r="Q238" s="14"/>
      <c r="R238" s="14"/>
      <c r="S238" s="29" t="s">
        <v>108</v>
      </c>
      <c r="T238" s="14" t="str">
        <f>"]-∞;-"&amp;ROUND(P240,4)&amp;"[ U ]"&amp;ROUND(P240,4)&amp;";+∞["</f>
        <v>]-∞;-3,17[ U ]3,17;+∞[</v>
      </c>
      <c r="U238" s="14"/>
      <c r="V238" s="14"/>
      <c r="W238" s="14"/>
      <c r="X238" s="45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</row>
    <row r="239" spans="1:39">
      <c r="B239" s="43"/>
      <c r="C239" s="44"/>
      <c r="D239" s="14"/>
      <c r="E239" s="14"/>
      <c r="F239" s="14"/>
      <c r="G239" s="14"/>
      <c r="H239" s="14"/>
      <c r="I239" s="14"/>
      <c r="J239" s="14"/>
      <c r="K239" s="14"/>
      <c r="L239" s="45"/>
      <c r="N239" s="43"/>
      <c r="O239" s="44"/>
      <c r="P239" s="14"/>
      <c r="Q239" s="14"/>
      <c r="R239" s="14"/>
      <c r="S239" s="14"/>
      <c r="T239" s="14"/>
      <c r="U239" s="14"/>
      <c r="V239" s="14"/>
      <c r="W239" s="14"/>
      <c r="X239" s="45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  <c r="AL239" s="77"/>
      <c r="AM239" s="77"/>
    </row>
    <row r="240" spans="1:39">
      <c r="B240" s="43"/>
      <c r="C240" s="14"/>
      <c r="D240" s="14">
        <f>ROUND(_xlfn.T.INV(1-D238/2,17-(6+1)),2)</f>
        <v>2.23</v>
      </c>
      <c r="E240" s="14"/>
      <c r="F240" s="14"/>
      <c r="G240" s="14"/>
      <c r="H240" s="14"/>
      <c r="I240" s="14"/>
      <c r="J240" s="14"/>
      <c r="K240" s="14"/>
      <c r="L240" s="45"/>
      <c r="N240" s="43"/>
      <c r="O240" s="14"/>
      <c r="P240" s="14">
        <f>ROUND(_xlfn.T.INV(1-P238/2,17-(6+1)),2)</f>
        <v>3.17</v>
      </c>
      <c r="Q240" s="14"/>
      <c r="R240" s="14"/>
      <c r="S240" s="14"/>
      <c r="T240" s="14"/>
      <c r="U240" s="14"/>
      <c r="V240" s="14"/>
      <c r="W240" s="14"/>
      <c r="X240" s="45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  <c r="AL240" s="77"/>
      <c r="AM240" s="77"/>
    </row>
    <row r="241" spans="1:39">
      <c r="B241" s="43"/>
      <c r="C241" s="29"/>
      <c r="D241" s="14"/>
      <c r="E241" s="14"/>
      <c r="F241" s="14"/>
      <c r="G241" s="14"/>
      <c r="H241" s="14"/>
      <c r="I241" s="14"/>
      <c r="J241" s="14"/>
      <c r="K241" s="14"/>
      <c r="L241" s="45"/>
      <c r="N241" s="43"/>
      <c r="O241" s="29"/>
      <c r="P241" s="14"/>
      <c r="Q241" s="14"/>
      <c r="R241" s="14"/>
      <c r="S241" s="14"/>
      <c r="T241" s="14"/>
      <c r="U241" s="14"/>
      <c r="V241" s="14"/>
      <c r="W241" s="14"/>
      <c r="X241" s="45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  <c r="AL241" s="77"/>
      <c r="AM241" s="77"/>
    </row>
    <row r="242" spans="1:39">
      <c r="B242" s="43"/>
      <c r="C242" s="14"/>
      <c r="D242" s="14"/>
      <c r="E242" s="14"/>
      <c r="F242" s="14"/>
      <c r="G242" s="14"/>
      <c r="H242" s="14"/>
      <c r="I242" s="14"/>
      <c r="J242" s="14"/>
      <c r="K242" s="14"/>
      <c r="L242" s="45"/>
      <c r="N242" s="43"/>
      <c r="O242" s="14"/>
      <c r="P242" s="14"/>
      <c r="Q242" s="14"/>
      <c r="R242" s="14"/>
      <c r="S242" s="14"/>
      <c r="T242" s="14"/>
      <c r="U242" s="14"/>
      <c r="V242" s="14"/>
      <c r="W242" s="14"/>
      <c r="X242" s="45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  <c r="AL242" s="77"/>
      <c r="AM242" s="77"/>
    </row>
    <row r="243" spans="1:39">
      <c r="B243" s="43"/>
      <c r="C243" s="14"/>
      <c r="D243" s="14"/>
      <c r="E243" s="14"/>
      <c r="F243" s="14"/>
      <c r="G243" s="14"/>
      <c r="H243" s="14"/>
      <c r="I243" s="14"/>
      <c r="J243" s="14"/>
      <c r="K243" s="14"/>
      <c r="L243" s="45"/>
      <c r="N243" s="43"/>
      <c r="O243" s="14"/>
      <c r="P243" s="14"/>
      <c r="Q243" s="14"/>
      <c r="R243" s="14"/>
      <c r="S243" s="14"/>
      <c r="T243" s="14"/>
      <c r="U243" s="14"/>
      <c r="V243" s="14"/>
      <c r="W243" s="14"/>
      <c r="X243" s="45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  <c r="AL243" s="77"/>
      <c r="AM243" s="77"/>
    </row>
    <row r="244" spans="1:39">
      <c r="B244" s="43"/>
      <c r="C244" s="29" t="s">
        <v>106</v>
      </c>
      <c r="D244" s="14">
        <f>ROUND(H231/SQRT(C236*H233),4)</f>
        <v>-3.3098000000000001</v>
      </c>
      <c r="E244" s="14"/>
      <c r="F244" s="14"/>
      <c r="G244" s="14"/>
      <c r="H244" s="14"/>
      <c r="I244" s="14"/>
      <c r="J244" s="14"/>
      <c r="K244" s="14"/>
      <c r="L244" s="45"/>
      <c r="N244" s="43"/>
      <c r="O244" s="29" t="s">
        <v>106</v>
      </c>
      <c r="P244" s="14">
        <f>ROUND(T231/SQRT(O236*T233),4)</f>
        <v>-3.3098000000000001</v>
      </c>
      <c r="Q244" s="14"/>
      <c r="R244" s="14"/>
      <c r="S244" s="14"/>
      <c r="T244" s="14"/>
      <c r="U244" s="14"/>
      <c r="V244" s="14"/>
      <c r="W244" s="14"/>
      <c r="X244" s="45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  <c r="AL244" s="77"/>
      <c r="AM244" s="77"/>
    </row>
    <row r="245" spans="1:39">
      <c r="B245" s="43"/>
      <c r="C245" s="29" t="s">
        <v>107</v>
      </c>
      <c r="D245" s="14">
        <f>ABS(D244)</f>
        <v>3.3098000000000001</v>
      </c>
      <c r="E245" s="14"/>
      <c r="F245" s="14"/>
      <c r="G245" s="14"/>
      <c r="H245" s="14"/>
      <c r="I245" s="14"/>
      <c r="J245" s="14"/>
      <c r="K245" s="14"/>
      <c r="L245" s="45"/>
      <c r="N245" s="43"/>
      <c r="O245" s="29" t="s">
        <v>107</v>
      </c>
      <c r="P245" s="14">
        <f>ABS(P244)</f>
        <v>3.3098000000000001</v>
      </c>
      <c r="Q245" s="14"/>
      <c r="R245" s="14"/>
      <c r="S245" s="14"/>
      <c r="T245" s="14"/>
      <c r="U245" s="14"/>
      <c r="V245" s="14"/>
      <c r="W245" s="14"/>
      <c r="X245" s="45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  <c r="AL245" s="77"/>
      <c r="AM245" s="77"/>
    </row>
    <row r="246" spans="1:39" ht="13.5" thickBot="1">
      <c r="B246" s="47" t="str">
        <f>IF(ABS(D244)&gt;ROUND(D240,4), "Como |"&amp;ROUND(D244,2)&amp;"| &gt; "&amp;ROUND(D240,4)&amp;" então rejeita-se H0, logo a um nível de significância de "&amp;D238*100&amp;"% há evidencia estatística suficiente para se concluir que "&amp;G231&amp;" é não nulo","Como |"&amp;ROUND(D244,2)&amp;"|  ≤ "&amp;ROUND(D240,4)&amp;" então não se rejeita H0, logo a um nível de significância de "&amp;D238*100&amp;"% há evidencia estatística suficiente para se concluir que "&amp;G231&amp;" é nulo")</f>
        <v>Como |-3,31| &gt; 2,23 então rejeita-se H0, logo a um nível de significância de 5% há evidencia estatística suficiente para se concluir que β2= é não nulo</v>
      </c>
      <c r="C246" s="28"/>
      <c r="D246" s="28"/>
      <c r="E246" s="28"/>
      <c r="F246" s="28"/>
      <c r="G246" s="28"/>
      <c r="H246" s="28"/>
      <c r="I246" s="28"/>
      <c r="J246" s="28"/>
      <c r="K246" s="49"/>
      <c r="L246" s="49"/>
      <c r="N246" s="47" t="str">
        <f>IF(ABS(P244)&gt;ROUND(P240,4), "Como |"&amp;ROUND(P244,2)&amp;"| &gt; "&amp;ROUND(P240,4)&amp;" então rejeita-se H0, logo a um nível de significância de "&amp;P238*100&amp;"% há evidencia estatística suficiente para se concluir que "&amp;S231&amp;" é não nulo","Como |"&amp;ROUND(P244,2)&amp;"|  ≤ "&amp;ROUND(P240,4)&amp;" então não se rejeita H0, logo a um nível de significância de "&amp;P238*100&amp;"% há evidencia estatística suficiente para se concluir que "&amp;S231&amp;" é nulo")</f>
        <v>Como |-3,31| &gt; 3,17 então rejeita-se H0, logo a um nível de significância de 1% há evidencia estatística suficiente para se concluir que β2= é não nulo</v>
      </c>
      <c r="O246" s="28"/>
      <c r="P246" s="28"/>
      <c r="Q246" s="28"/>
      <c r="R246" s="28"/>
      <c r="S246" s="28"/>
      <c r="T246" s="28"/>
      <c r="U246" s="28"/>
      <c r="V246" s="28"/>
      <c r="W246" s="49"/>
      <c r="X246" s="49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  <c r="AL246" s="77"/>
      <c r="AM246" s="77"/>
    </row>
    <row r="247" spans="1:39" ht="13.5" thickBot="1"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</row>
    <row r="248" spans="1:39">
      <c r="B248" s="39"/>
      <c r="C248" s="41"/>
      <c r="D248" s="41"/>
      <c r="E248" s="41"/>
      <c r="F248" s="41"/>
      <c r="G248" s="41"/>
      <c r="H248" s="41"/>
      <c r="I248" s="41"/>
      <c r="J248" s="41"/>
      <c r="K248" s="41"/>
      <c r="L248" s="42"/>
      <c r="N248" s="39"/>
      <c r="O248" s="41"/>
      <c r="P248" s="41"/>
      <c r="Q248" s="41"/>
      <c r="R248" s="41"/>
      <c r="S248" s="41"/>
      <c r="T248" s="41"/>
      <c r="U248" s="41"/>
      <c r="V248" s="41"/>
      <c r="W248" s="41"/>
      <c r="X248" s="42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</row>
    <row r="249" spans="1:39">
      <c r="A249" s="21" t="s">
        <v>103</v>
      </c>
      <c r="B249" s="43"/>
      <c r="C249" s="14"/>
      <c r="D249" s="14"/>
      <c r="E249" s="14"/>
      <c r="F249" s="14"/>
      <c r="G249" s="29" t="str">
        <f>A252&amp;"="</f>
        <v>β3=</v>
      </c>
      <c r="H249" s="14">
        <f>H124</f>
        <v>3.2176595591455401E-2</v>
      </c>
      <c r="I249" s="14"/>
      <c r="J249" s="14"/>
      <c r="K249" s="14"/>
      <c r="L249" s="45"/>
      <c r="N249" s="43"/>
      <c r="O249" s="14"/>
      <c r="P249" s="14"/>
      <c r="Q249" s="14"/>
      <c r="R249" s="14"/>
      <c r="S249" s="29" t="str">
        <f>G249</f>
        <v>β3=</v>
      </c>
      <c r="T249" s="29">
        <f>H249</f>
        <v>3.2176595591455401E-2</v>
      </c>
      <c r="U249" s="14"/>
      <c r="V249" s="14"/>
      <c r="W249" s="14"/>
      <c r="X249" s="45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</row>
    <row r="250" spans="1:39">
      <c r="A250" s="21" t="s">
        <v>83</v>
      </c>
      <c r="B250" s="43"/>
      <c r="C250" s="14"/>
      <c r="D250" s="14"/>
      <c r="E250" s="14"/>
      <c r="F250" s="14"/>
      <c r="G250" s="14"/>
      <c r="H250" s="14"/>
      <c r="I250" s="14"/>
      <c r="J250" s="14"/>
      <c r="K250" s="14"/>
      <c r="L250" s="45"/>
      <c r="N250" s="43"/>
      <c r="O250" s="14"/>
      <c r="P250" s="14"/>
      <c r="Q250" s="14"/>
      <c r="R250" s="14"/>
      <c r="S250" s="14"/>
      <c r="T250" s="14"/>
      <c r="U250" s="14"/>
      <c r="V250" s="14"/>
      <c r="W250" s="14"/>
      <c r="X250" s="45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</row>
    <row r="251" spans="1:39">
      <c r="A251" s="21" t="s">
        <v>104</v>
      </c>
      <c r="B251" s="43"/>
      <c r="C251" s="14"/>
      <c r="D251" s="14"/>
      <c r="E251" s="14"/>
      <c r="F251" s="14"/>
      <c r="G251" s="14"/>
      <c r="H251" s="14">
        <f>D129</f>
        <v>1.2343825290264708E-7</v>
      </c>
      <c r="I251" s="14"/>
      <c r="J251" s="14"/>
      <c r="K251" s="14"/>
      <c r="L251" s="45"/>
      <c r="N251" s="43"/>
      <c r="O251" s="14"/>
      <c r="P251" s="14"/>
      <c r="Q251" s="14"/>
      <c r="R251" s="14"/>
      <c r="S251" s="14"/>
      <c r="T251" s="29">
        <f>H251</f>
        <v>1.2343825290264708E-7</v>
      </c>
      <c r="U251" s="14"/>
      <c r="V251" s="14"/>
      <c r="W251" s="14"/>
      <c r="X251" s="45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</row>
    <row r="252" spans="1:39">
      <c r="A252" s="21" t="s">
        <v>87</v>
      </c>
      <c r="B252" s="43"/>
      <c r="C252" s="14"/>
      <c r="D252" s="14"/>
      <c r="E252" s="14"/>
      <c r="F252" s="14"/>
      <c r="G252" s="14"/>
      <c r="H252" s="14"/>
      <c r="I252" s="14"/>
      <c r="J252" s="14"/>
      <c r="K252" s="14"/>
      <c r="L252" s="45"/>
      <c r="N252" s="43"/>
      <c r="O252" s="14"/>
      <c r="P252" s="14"/>
      <c r="Q252" s="14"/>
      <c r="R252" s="14"/>
      <c r="S252" s="14"/>
      <c r="T252" s="14"/>
      <c r="U252" s="14"/>
      <c r="V252" s="14"/>
      <c r="W252" s="14"/>
      <c r="X252" s="45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</row>
    <row r="253" spans="1:39">
      <c r="B253" s="43"/>
      <c r="C253" s="14"/>
      <c r="D253" s="14"/>
      <c r="E253" s="14"/>
      <c r="F253" s="14"/>
      <c r="G253" s="14"/>
      <c r="H253" s="14"/>
      <c r="I253" s="14"/>
      <c r="J253" s="14"/>
      <c r="K253" s="14"/>
      <c r="L253" s="45"/>
      <c r="N253" s="43"/>
      <c r="O253" s="14"/>
      <c r="P253" s="14"/>
      <c r="Q253" s="14"/>
      <c r="R253" s="14"/>
      <c r="S253" s="14"/>
      <c r="T253" s="14"/>
      <c r="U253" s="14"/>
      <c r="V253" s="14"/>
      <c r="W253" s="14"/>
      <c r="X253" s="45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</row>
    <row r="254" spans="1:39">
      <c r="B254" s="43"/>
      <c r="C254" s="14">
        <f>D54</f>
        <v>365.86306684063749</v>
      </c>
      <c r="D254" s="14"/>
      <c r="E254" s="14"/>
      <c r="F254" s="14"/>
      <c r="G254" s="14"/>
      <c r="H254" s="14"/>
      <c r="I254" s="14"/>
      <c r="J254" s="14"/>
      <c r="K254" s="14"/>
      <c r="L254" s="45"/>
      <c r="N254" s="43"/>
      <c r="O254" s="29">
        <f>C254</f>
        <v>365.86306684063749</v>
      </c>
      <c r="P254" s="14"/>
      <c r="Q254" s="14"/>
      <c r="R254" s="14"/>
      <c r="S254" s="14"/>
      <c r="T254" s="14"/>
      <c r="U254" s="14"/>
      <c r="V254" s="14"/>
      <c r="W254" s="14"/>
      <c r="X254" s="45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  <c r="AL254" s="77"/>
      <c r="AM254" s="77"/>
    </row>
    <row r="255" spans="1:39">
      <c r="B255" s="43"/>
      <c r="C255" s="14"/>
      <c r="D255" s="14"/>
      <c r="E255" s="14"/>
      <c r="F255" s="14"/>
      <c r="G255" s="14"/>
      <c r="H255" s="14"/>
      <c r="I255" s="14"/>
      <c r="J255" s="14"/>
      <c r="K255" s="14"/>
      <c r="L255" s="45"/>
      <c r="N255" s="43"/>
      <c r="O255" s="14"/>
      <c r="P255" s="14"/>
      <c r="Q255" s="14"/>
      <c r="R255" s="14"/>
      <c r="S255" s="14"/>
      <c r="T255" s="14"/>
      <c r="U255" s="14"/>
      <c r="V255" s="14"/>
      <c r="W255" s="14"/>
      <c r="X255" s="45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  <c r="AL255" s="77"/>
      <c r="AM255" s="77"/>
    </row>
    <row r="256" spans="1:39">
      <c r="B256" s="43"/>
      <c r="C256" s="44" t="s">
        <v>105</v>
      </c>
      <c r="D256" s="14">
        <v>0.05</v>
      </c>
      <c r="E256" s="14"/>
      <c r="F256" s="14"/>
      <c r="G256" s="29" t="s">
        <v>108</v>
      </c>
      <c r="H256" s="14" t="str">
        <f>"]-∞;-"&amp;ROUND(D258,4)&amp;"[ U ]"&amp;ROUND(D258,4)&amp;";+∞["</f>
        <v>]-∞;-2,23[ U ]2,23;+∞[</v>
      </c>
      <c r="I256" s="14"/>
      <c r="J256" s="14"/>
      <c r="K256" s="14"/>
      <c r="L256" s="45"/>
      <c r="N256" s="43"/>
      <c r="O256" s="44" t="s">
        <v>105</v>
      </c>
      <c r="P256" s="14">
        <v>0.01</v>
      </c>
      <c r="Q256" s="14"/>
      <c r="R256" s="14"/>
      <c r="S256" s="29" t="s">
        <v>108</v>
      </c>
      <c r="T256" s="14" t="str">
        <f>"]-∞;-"&amp;ROUND(P258,4)&amp;"[ U ]"&amp;ROUND(P258,4)&amp;";+∞["</f>
        <v>]-∞;-3,17[ U ]3,17;+∞[</v>
      </c>
      <c r="U256" s="14"/>
      <c r="V256" s="14"/>
      <c r="W256" s="14"/>
      <c r="X256" s="45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  <c r="AL256" s="77"/>
      <c r="AM256" s="77"/>
    </row>
    <row r="257" spans="1:39">
      <c r="B257" s="43"/>
      <c r="C257" s="44"/>
      <c r="D257" s="14"/>
      <c r="E257" s="14"/>
      <c r="F257" s="14"/>
      <c r="G257" s="14"/>
      <c r="H257" s="14"/>
      <c r="I257" s="14"/>
      <c r="J257" s="14"/>
      <c r="K257" s="14"/>
      <c r="L257" s="45"/>
      <c r="N257" s="43"/>
      <c r="O257" s="44"/>
      <c r="P257" s="14"/>
      <c r="Q257" s="14"/>
      <c r="R257" s="14"/>
      <c r="S257" s="14"/>
      <c r="T257" s="14"/>
      <c r="U257" s="14"/>
      <c r="V257" s="14"/>
      <c r="W257" s="14"/>
      <c r="X257" s="45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</row>
    <row r="258" spans="1:39">
      <c r="B258" s="43"/>
      <c r="C258" s="14"/>
      <c r="D258" s="14">
        <f>ROUND(_xlfn.T.INV(1-D256/2,17-(6+1)),2)</f>
        <v>2.23</v>
      </c>
      <c r="E258" s="14"/>
      <c r="F258" s="14"/>
      <c r="G258" s="14"/>
      <c r="H258" s="14"/>
      <c r="I258" s="14"/>
      <c r="J258" s="14"/>
      <c r="K258" s="14"/>
      <c r="L258" s="45"/>
      <c r="N258" s="43"/>
      <c r="O258" s="14"/>
      <c r="P258" s="14">
        <f>ROUND(_xlfn.T.INV(1-P256/2,17-(6+1)),2)</f>
        <v>3.17</v>
      </c>
      <c r="Q258" s="14"/>
      <c r="R258" s="14"/>
      <c r="S258" s="14"/>
      <c r="T258" s="14"/>
      <c r="U258" s="14"/>
      <c r="V258" s="14"/>
      <c r="W258" s="14"/>
      <c r="X258" s="45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</row>
    <row r="259" spans="1:39">
      <c r="B259" s="43"/>
      <c r="C259" s="29"/>
      <c r="D259" s="14"/>
      <c r="E259" s="14"/>
      <c r="F259" s="14"/>
      <c r="G259" s="14"/>
      <c r="H259" s="14"/>
      <c r="I259" s="14"/>
      <c r="J259" s="14"/>
      <c r="K259" s="14"/>
      <c r="L259" s="45"/>
      <c r="N259" s="43"/>
      <c r="O259" s="29"/>
      <c r="P259" s="14"/>
      <c r="Q259" s="14"/>
      <c r="R259" s="14"/>
      <c r="S259" s="14"/>
      <c r="T259" s="14"/>
      <c r="U259" s="14"/>
      <c r="V259" s="14"/>
      <c r="W259" s="14"/>
      <c r="X259" s="45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</row>
    <row r="260" spans="1:39">
      <c r="B260" s="43"/>
      <c r="C260" s="14"/>
      <c r="D260" s="14"/>
      <c r="E260" s="14"/>
      <c r="F260" s="14"/>
      <c r="G260" s="14"/>
      <c r="H260" s="14"/>
      <c r="I260" s="14"/>
      <c r="J260" s="14"/>
      <c r="K260" s="14"/>
      <c r="L260" s="45"/>
      <c r="N260" s="43"/>
      <c r="O260" s="14"/>
      <c r="P260" s="14"/>
      <c r="Q260" s="14"/>
      <c r="R260" s="14"/>
      <c r="S260" s="14"/>
      <c r="T260" s="14"/>
      <c r="U260" s="14"/>
      <c r="V260" s="14"/>
      <c r="W260" s="14"/>
      <c r="X260" s="45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</row>
    <row r="261" spans="1:39">
      <c r="B261" s="43"/>
      <c r="C261" s="14"/>
      <c r="D261" s="14"/>
      <c r="E261" s="14"/>
      <c r="F261" s="14"/>
      <c r="G261" s="14"/>
      <c r="H261" s="14"/>
      <c r="I261" s="14"/>
      <c r="J261" s="14"/>
      <c r="K261" s="14"/>
      <c r="L261" s="45"/>
      <c r="N261" s="43"/>
      <c r="O261" s="14"/>
      <c r="P261" s="14"/>
      <c r="Q261" s="14"/>
      <c r="R261" s="14"/>
      <c r="S261" s="14"/>
      <c r="T261" s="14"/>
      <c r="U261" s="14"/>
      <c r="V261" s="14"/>
      <c r="W261" s="14"/>
      <c r="X261" s="45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</row>
    <row r="262" spans="1:39">
      <c r="B262" s="43"/>
      <c r="C262" s="29" t="s">
        <v>106</v>
      </c>
      <c r="D262" s="14">
        <f>ROUND(H249/SQRT(C254*H251),4)</f>
        <v>4.7880000000000003</v>
      </c>
      <c r="E262" s="14"/>
      <c r="F262" s="14"/>
      <c r="G262" s="14"/>
      <c r="H262" s="14"/>
      <c r="I262" s="14"/>
      <c r="J262" s="14"/>
      <c r="K262" s="14"/>
      <c r="L262" s="45"/>
      <c r="N262" s="43"/>
      <c r="O262" s="29" t="s">
        <v>106</v>
      </c>
      <c r="P262" s="14">
        <f>ROUND(T249/SQRT(O254*T251),4)</f>
        <v>4.7880000000000003</v>
      </c>
      <c r="Q262" s="14"/>
      <c r="R262" s="14"/>
      <c r="S262" s="14"/>
      <c r="T262" s="14"/>
      <c r="U262" s="14"/>
      <c r="V262" s="14"/>
      <c r="W262" s="14"/>
      <c r="X262" s="45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</row>
    <row r="263" spans="1:39">
      <c r="B263" s="43"/>
      <c r="C263" s="29" t="s">
        <v>107</v>
      </c>
      <c r="D263" s="14">
        <f>ABS(D262)</f>
        <v>4.7880000000000003</v>
      </c>
      <c r="E263" s="14"/>
      <c r="F263" s="14"/>
      <c r="G263" s="14"/>
      <c r="H263" s="14"/>
      <c r="I263" s="14"/>
      <c r="J263" s="14"/>
      <c r="K263" s="14"/>
      <c r="L263" s="45"/>
      <c r="N263" s="43"/>
      <c r="O263" s="29" t="s">
        <v>107</v>
      </c>
      <c r="P263" s="14">
        <f>ABS(P262)</f>
        <v>4.7880000000000003</v>
      </c>
      <c r="Q263" s="14"/>
      <c r="R263" s="14"/>
      <c r="S263" s="14"/>
      <c r="T263" s="14"/>
      <c r="U263" s="14"/>
      <c r="V263" s="14"/>
      <c r="W263" s="14"/>
      <c r="X263" s="45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</row>
    <row r="264" spans="1:39" ht="13.5" thickBot="1">
      <c r="B264" s="47" t="str">
        <f>IF(ABS(D262)&gt;ROUND(D258,4), "Como |"&amp;ROUND(D262,2)&amp;"| &gt; "&amp;ROUND(D258,4)&amp;" então rejeita-se H0, logo a um nível de significância de "&amp;D256*100&amp;"% há evidencia estatística suficiente para se concluir que "&amp;G249&amp;" é não nulo","Como |"&amp;ROUND(D262,2)&amp;"|  ≤ "&amp;ROUND(D258,4)&amp;" então não se rejeita H0, logo a um nível de significância de "&amp;D256*100&amp;"% há evidencia estatística suficiente para se concluir que "&amp;G249&amp;" é nulo")</f>
        <v>Como |4,79| &gt; 2,23 então rejeita-se H0, logo a um nível de significância de 5% há evidencia estatística suficiente para se concluir que β3= é não nulo</v>
      </c>
      <c r="C264" s="28"/>
      <c r="D264" s="28"/>
      <c r="E264" s="28"/>
      <c r="F264" s="28"/>
      <c r="G264" s="28"/>
      <c r="H264" s="28"/>
      <c r="I264" s="28"/>
      <c r="J264" s="28"/>
      <c r="K264" s="49"/>
      <c r="L264" s="49"/>
      <c r="N264" s="47" t="str">
        <f>IF(ABS(P262)&gt;ROUND(P258,4), "Como |"&amp;ROUND(P262,2)&amp;"| &gt; "&amp;ROUND(P258,4)&amp;" então rejeita-se H0, logo a um nível de significância de "&amp;P256*100&amp;"% há evidencia estatística suficiente para se concluir que "&amp;S249&amp;" é não nulo","Como |"&amp;ROUND(P262,2)&amp;"|  ≤ "&amp;ROUND(P258,4)&amp;" então não se rejeita H0, logo a um nível de significância de "&amp;P256*100&amp;"% há evidencia estatística suficiente para se concluir que "&amp;S249&amp;" é nulo")</f>
        <v>Como |4,79| &gt; 3,17 então rejeita-se H0, logo a um nível de significância de 1% há evidencia estatística suficiente para se concluir que β3= é não nulo</v>
      </c>
      <c r="O264" s="28"/>
      <c r="P264" s="28"/>
      <c r="Q264" s="28"/>
      <c r="R264" s="28"/>
      <c r="S264" s="28"/>
      <c r="T264" s="28"/>
      <c r="U264" s="28"/>
      <c r="V264" s="28"/>
      <c r="W264" s="49"/>
      <c r="X264" s="49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</row>
    <row r="265" spans="1:39" ht="13.5" thickBot="1"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  <c r="AL265" s="77"/>
      <c r="AM265" s="77"/>
    </row>
    <row r="266" spans="1:39">
      <c r="B266" s="39"/>
      <c r="C266" s="41"/>
      <c r="D266" s="41"/>
      <c r="E266" s="41"/>
      <c r="F266" s="41"/>
      <c r="G266" s="41"/>
      <c r="H266" s="41"/>
      <c r="I266" s="41"/>
      <c r="J266" s="41"/>
      <c r="K266" s="41"/>
      <c r="L266" s="42"/>
      <c r="N266" s="39"/>
      <c r="O266" s="41"/>
      <c r="P266" s="41"/>
      <c r="Q266" s="41"/>
      <c r="R266" s="41"/>
      <c r="S266" s="41"/>
      <c r="T266" s="41"/>
      <c r="U266" s="41"/>
      <c r="V266" s="41"/>
      <c r="W266" s="41"/>
      <c r="X266" s="42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  <c r="AL266" s="77"/>
      <c r="AM266" s="77"/>
    </row>
    <row r="267" spans="1:39">
      <c r="A267" s="21" t="s">
        <v>103</v>
      </c>
      <c r="B267" s="43"/>
      <c r="C267" s="14"/>
      <c r="D267" s="14"/>
      <c r="E267" s="14"/>
      <c r="F267" s="14"/>
      <c r="G267" s="29" t="str">
        <f>A270&amp;"="</f>
        <v>β4=</v>
      </c>
      <c r="H267" s="14">
        <f>H134</f>
        <v>1.1780650193536551E-4</v>
      </c>
      <c r="I267" s="14"/>
      <c r="J267" s="14"/>
      <c r="K267" s="14"/>
      <c r="L267" s="45"/>
      <c r="N267" s="43"/>
      <c r="O267" s="14"/>
      <c r="P267" s="14"/>
      <c r="Q267" s="14"/>
      <c r="R267" s="14"/>
      <c r="S267" s="29" t="str">
        <f>G267</f>
        <v>β4=</v>
      </c>
      <c r="T267" s="29">
        <f>H267</f>
        <v>1.1780650193536551E-4</v>
      </c>
      <c r="U267" s="14"/>
      <c r="V267" s="14"/>
      <c r="W267" s="14"/>
      <c r="X267" s="45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</row>
    <row r="268" spans="1:39">
      <c r="A268" s="21" t="s">
        <v>83</v>
      </c>
      <c r="B268" s="43"/>
      <c r="C268" s="14"/>
      <c r="D268" s="14"/>
      <c r="E268" s="14"/>
      <c r="F268" s="14"/>
      <c r="G268" s="14"/>
      <c r="H268" s="14"/>
      <c r="I268" s="14"/>
      <c r="J268" s="14"/>
      <c r="K268" s="14"/>
      <c r="L268" s="45"/>
      <c r="N268" s="43"/>
      <c r="O268" s="14"/>
      <c r="P268" s="14"/>
      <c r="Q268" s="14"/>
      <c r="R268" s="14"/>
      <c r="S268" s="14"/>
      <c r="T268" s="14"/>
      <c r="U268" s="14"/>
      <c r="V268" s="14"/>
      <c r="W268" s="14"/>
      <c r="X268" s="45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  <c r="AL268" s="77"/>
      <c r="AM268" s="77"/>
    </row>
    <row r="269" spans="1:39">
      <c r="A269" s="21" t="s">
        <v>104</v>
      </c>
      <c r="B269" s="43"/>
      <c r="C269" s="14"/>
      <c r="D269" s="14"/>
      <c r="E269" s="14"/>
      <c r="F269" s="14"/>
      <c r="G269" s="14"/>
      <c r="H269" s="14">
        <f>D139</f>
        <v>1.2003820364872178E-11</v>
      </c>
      <c r="I269" s="14"/>
      <c r="J269" s="14"/>
      <c r="K269" s="14"/>
      <c r="L269" s="45"/>
      <c r="N269" s="43"/>
      <c r="O269" s="14"/>
      <c r="P269" s="14"/>
      <c r="Q269" s="14"/>
      <c r="R269" s="14"/>
      <c r="S269" s="14"/>
      <c r="T269" s="29">
        <f>H269</f>
        <v>1.2003820364872178E-11</v>
      </c>
      <c r="U269" s="14"/>
      <c r="V269" s="14"/>
      <c r="W269" s="14"/>
      <c r="X269" s="45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  <c r="AL269" s="77"/>
      <c r="AM269" s="77"/>
    </row>
    <row r="270" spans="1:39">
      <c r="A270" s="21" t="s">
        <v>90</v>
      </c>
      <c r="B270" s="43"/>
      <c r="C270" s="14"/>
      <c r="D270" s="14"/>
      <c r="E270" s="14"/>
      <c r="F270" s="14"/>
      <c r="G270" s="14"/>
      <c r="H270" s="14"/>
      <c r="I270" s="14"/>
      <c r="J270" s="14"/>
      <c r="K270" s="14"/>
      <c r="L270" s="45"/>
      <c r="N270" s="43"/>
      <c r="O270" s="14"/>
      <c r="P270" s="14"/>
      <c r="Q270" s="14"/>
      <c r="R270" s="14"/>
      <c r="S270" s="14"/>
      <c r="T270" s="14"/>
      <c r="U270" s="14"/>
      <c r="V270" s="14"/>
      <c r="W270" s="14"/>
      <c r="X270" s="45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  <c r="AL270" s="77"/>
      <c r="AM270" s="77"/>
    </row>
    <row r="271" spans="1:39">
      <c r="B271" s="43"/>
      <c r="C271" s="14"/>
      <c r="D271" s="14"/>
      <c r="E271" s="14"/>
      <c r="F271" s="14"/>
      <c r="G271" s="14"/>
      <c r="H271" s="14"/>
      <c r="I271" s="14"/>
      <c r="J271" s="14"/>
      <c r="K271" s="14"/>
      <c r="L271" s="45"/>
      <c r="N271" s="43"/>
      <c r="O271" s="14"/>
      <c r="P271" s="14"/>
      <c r="Q271" s="14"/>
      <c r="R271" s="14"/>
      <c r="S271" s="14"/>
      <c r="T271" s="14"/>
      <c r="U271" s="14"/>
      <c r="V271" s="14"/>
      <c r="W271" s="14"/>
      <c r="X271" s="45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  <c r="AL271" s="77"/>
      <c r="AM271" s="77"/>
    </row>
    <row r="272" spans="1:39">
      <c r="B272" s="43"/>
      <c r="C272" s="14">
        <f>D54</f>
        <v>365.86306684063749</v>
      </c>
      <c r="D272" s="14"/>
      <c r="E272" s="14"/>
      <c r="F272" s="14"/>
      <c r="G272" s="14"/>
      <c r="H272" s="14"/>
      <c r="I272" s="14"/>
      <c r="J272" s="14"/>
      <c r="K272" s="14"/>
      <c r="L272" s="45"/>
      <c r="N272" s="43"/>
      <c r="O272" s="29">
        <f>C272</f>
        <v>365.86306684063749</v>
      </c>
      <c r="P272" s="14"/>
      <c r="Q272" s="14"/>
      <c r="R272" s="14"/>
      <c r="S272" s="14"/>
      <c r="T272" s="14"/>
      <c r="U272" s="14"/>
      <c r="V272" s="14"/>
      <c r="W272" s="14"/>
      <c r="X272" s="45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  <c r="AL272" s="77"/>
      <c r="AM272" s="77"/>
    </row>
    <row r="273" spans="1:39">
      <c r="B273" s="43"/>
      <c r="C273" s="14"/>
      <c r="D273" s="14"/>
      <c r="E273" s="14"/>
      <c r="F273" s="14"/>
      <c r="G273" s="14"/>
      <c r="H273" s="14"/>
      <c r="I273" s="14"/>
      <c r="J273" s="14"/>
      <c r="K273" s="14"/>
      <c r="L273" s="45"/>
      <c r="N273" s="43"/>
      <c r="O273" s="14"/>
      <c r="P273" s="14"/>
      <c r="Q273" s="14"/>
      <c r="R273" s="14"/>
      <c r="S273" s="14"/>
      <c r="T273" s="14"/>
      <c r="U273" s="14"/>
      <c r="V273" s="14"/>
      <c r="W273" s="14"/>
      <c r="X273" s="45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  <c r="AL273" s="77"/>
      <c r="AM273" s="77"/>
    </row>
    <row r="274" spans="1:39">
      <c r="B274" s="43"/>
      <c r="C274" s="44" t="s">
        <v>105</v>
      </c>
      <c r="D274" s="14">
        <v>0.05</v>
      </c>
      <c r="E274" s="14"/>
      <c r="F274" s="14"/>
      <c r="G274" s="29" t="s">
        <v>108</v>
      </c>
      <c r="H274" s="14" t="str">
        <f>"]-∞;-"&amp;ROUND(D276,4)&amp;"[ U ]"&amp;ROUND(D276,4)&amp;";+∞["</f>
        <v>]-∞;-2,23[ U ]2,23;+∞[</v>
      </c>
      <c r="I274" s="14"/>
      <c r="J274" s="14"/>
      <c r="K274" s="14"/>
      <c r="L274" s="45"/>
      <c r="N274" s="43"/>
      <c r="O274" s="44" t="s">
        <v>105</v>
      </c>
      <c r="P274" s="14">
        <v>0.01</v>
      </c>
      <c r="Q274" s="14"/>
      <c r="R274" s="14"/>
      <c r="S274" s="29" t="s">
        <v>108</v>
      </c>
      <c r="T274" s="14" t="str">
        <f>"]-∞;-"&amp;ROUND(P276,4)&amp;"[ U ]"&amp;ROUND(P276,4)&amp;";+∞["</f>
        <v>]-∞;-3,17[ U ]3,17;+∞[</v>
      </c>
      <c r="U274" s="14"/>
      <c r="V274" s="14"/>
      <c r="W274" s="14"/>
      <c r="X274" s="45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  <c r="AL274" s="77"/>
      <c r="AM274" s="77"/>
    </row>
    <row r="275" spans="1:39">
      <c r="B275" s="43"/>
      <c r="C275" s="44"/>
      <c r="D275" s="14"/>
      <c r="E275" s="14"/>
      <c r="F275" s="14"/>
      <c r="G275" s="14"/>
      <c r="H275" s="14"/>
      <c r="I275" s="14"/>
      <c r="J275" s="14"/>
      <c r="K275" s="14"/>
      <c r="L275" s="45"/>
      <c r="N275" s="43"/>
      <c r="O275" s="44"/>
      <c r="P275" s="14"/>
      <c r="Q275" s="14"/>
      <c r="R275" s="14"/>
      <c r="S275" s="14"/>
      <c r="T275" s="14"/>
      <c r="U275" s="14"/>
      <c r="V275" s="14"/>
      <c r="W275" s="14"/>
      <c r="X275" s="45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</row>
    <row r="276" spans="1:39">
      <c r="B276" s="43"/>
      <c r="C276" s="14"/>
      <c r="D276" s="14">
        <f>ROUND(_xlfn.T.INV(1-D274/2,17-(6+1)),2)</f>
        <v>2.23</v>
      </c>
      <c r="E276" s="14"/>
      <c r="F276" s="14"/>
      <c r="G276" s="14"/>
      <c r="H276" s="14"/>
      <c r="I276" s="14"/>
      <c r="J276" s="14"/>
      <c r="K276" s="14"/>
      <c r="L276" s="45"/>
      <c r="N276" s="43"/>
      <c r="O276" s="14"/>
      <c r="P276" s="14">
        <f>ROUND(_xlfn.T.INV(1-P274/2,17-(6+1)),2)</f>
        <v>3.17</v>
      </c>
      <c r="Q276" s="14"/>
      <c r="R276" s="14"/>
      <c r="S276" s="14"/>
      <c r="T276" s="14"/>
      <c r="U276" s="14"/>
      <c r="V276" s="14"/>
      <c r="W276" s="14"/>
      <c r="X276" s="45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</row>
    <row r="277" spans="1:39">
      <c r="B277" s="43"/>
      <c r="C277" s="29"/>
      <c r="D277" s="14"/>
      <c r="E277" s="14"/>
      <c r="F277" s="14"/>
      <c r="G277" s="14"/>
      <c r="H277" s="14"/>
      <c r="I277" s="14"/>
      <c r="J277" s="14"/>
      <c r="K277" s="14"/>
      <c r="L277" s="45"/>
      <c r="N277" s="43"/>
      <c r="O277" s="29"/>
      <c r="P277" s="14"/>
      <c r="Q277" s="14"/>
      <c r="R277" s="14"/>
      <c r="S277" s="14"/>
      <c r="T277" s="14"/>
      <c r="U277" s="14"/>
      <c r="V277" s="14"/>
      <c r="W277" s="14"/>
      <c r="X277" s="45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</row>
    <row r="278" spans="1:39">
      <c r="B278" s="43"/>
      <c r="C278" s="14"/>
      <c r="D278" s="14"/>
      <c r="E278" s="14"/>
      <c r="F278" s="14"/>
      <c r="G278" s="14"/>
      <c r="H278" s="14"/>
      <c r="I278" s="14"/>
      <c r="J278" s="14"/>
      <c r="K278" s="14"/>
      <c r="L278" s="45"/>
      <c r="N278" s="43"/>
      <c r="O278" s="14"/>
      <c r="P278" s="14"/>
      <c r="Q278" s="14"/>
      <c r="R278" s="14"/>
      <c r="S278" s="14"/>
      <c r="T278" s="14"/>
      <c r="U278" s="14"/>
      <c r="V278" s="14"/>
      <c r="W278" s="14"/>
      <c r="X278" s="45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</row>
    <row r="279" spans="1:39">
      <c r="B279" s="43"/>
      <c r="C279" s="14"/>
      <c r="D279" s="14"/>
      <c r="E279" s="14"/>
      <c r="F279" s="14"/>
      <c r="G279" s="14"/>
      <c r="H279" s="14"/>
      <c r="I279" s="14"/>
      <c r="J279" s="14"/>
      <c r="K279" s="14"/>
      <c r="L279" s="45"/>
      <c r="N279" s="43"/>
      <c r="O279" s="14"/>
      <c r="P279" s="14"/>
      <c r="Q279" s="14"/>
      <c r="R279" s="14"/>
      <c r="S279" s="14"/>
      <c r="T279" s="14"/>
      <c r="U279" s="14"/>
      <c r="V279" s="14"/>
      <c r="W279" s="14"/>
      <c r="X279" s="45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</row>
    <row r="280" spans="1:39">
      <c r="B280" s="43"/>
      <c r="C280" s="29" t="s">
        <v>106</v>
      </c>
      <c r="D280" s="14">
        <f>ROUND(H267/SQRT(C272*H269),4)</f>
        <v>1.7777000000000001</v>
      </c>
      <c r="E280" s="14"/>
      <c r="F280" s="14"/>
      <c r="G280" s="14"/>
      <c r="H280" s="14"/>
      <c r="I280" s="14"/>
      <c r="J280" s="14"/>
      <c r="K280" s="14"/>
      <c r="L280" s="45"/>
      <c r="N280" s="43"/>
      <c r="O280" s="29" t="s">
        <v>106</v>
      </c>
      <c r="P280" s="14">
        <f>ROUND(T267/SQRT(O272*T269),4)</f>
        <v>1.7777000000000001</v>
      </c>
      <c r="Q280" s="14"/>
      <c r="R280" s="14"/>
      <c r="S280" s="14"/>
      <c r="T280" s="14"/>
      <c r="U280" s="14"/>
      <c r="V280" s="14"/>
      <c r="W280" s="14"/>
      <c r="X280" s="45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</row>
    <row r="281" spans="1:39">
      <c r="B281" s="43"/>
      <c r="C281" s="29" t="s">
        <v>107</v>
      </c>
      <c r="D281" s="14">
        <f>ABS(D280)</f>
        <v>1.7777000000000001</v>
      </c>
      <c r="E281" s="14"/>
      <c r="F281" s="14"/>
      <c r="G281" s="14"/>
      <c r="H281" s="14"/>
      <c r="I281" s="14"/>
      <c r="J281" s="14"/>
      <c r="K281" s="14"/>
      <c r="L281" s="45"/>
      <c r="N281" s="43"/>
      <c r="O281" s="29" t="s">
        <v>107</v>
      </c>
      <c r="P281" s="14">
        <f>ABS(P280)</f>
        <v>1.7777000000000001</v>
      </c>
      <c r="Q281" s="14"/>
      <c r="R281" s="14"/>
      <c r="S281" s="14"/>
      <c r="T281" s="14"/>
      <c r="U281" s="14"/>
      <c r="V281" s="14"/>
      <c r="W281" s="14"/>
      <c r="X281" s="45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</row>
    <row r="282" spans="1:39" ht="13.5" thickBot="1">
      <c r="B282" s="47" t="str">
        <f>IF(ABS(D280)&gt;ROUND(D276,4), "Como |"&amp;ROUND(D280,2)&amp;"| &gt; "&amp;ROUND(D276,4)&amp;" então rejeita-se H0, logo a um nível de significância de "&amp;D274*100&amp;"% há evidencia estatística suficiente para se concluir que "&amp;G267&amp;" é não nulo","Como |"&amp;ROUND(D280,2)&amp;"|  ≤ "&amp;ROUND(D276,4)&amp;" então não se rejeita H0, logo a um nível de significância de "&amp;D274*100&amp;"% há evidencia estatística suficiente para se concluir que "&amp;G267&amp;" é nulo")</f>
        <v>Como |1,78|  ≤ 2,23 então não se rejeita H0, logo a um nível de significância de 5% há evidencia estatística suficiente para se concluir que β4= é nulo</v>
      </c>
      <c r="C282" s="28"/>
      <c r="D282" s="28"/>
      <c r="E282" s="28"/>
      <c r="F282" s="28"/>
      <c r="G282" s="28"/>
      <c r="H282" s="28"/>
      <c r="I282" s="28"/>
      <c r="J282" s="28"/>
      <c r="K282" s="49"/>
      <c r="L282" s="49"/>
      <c r="N282" s="47" t="str">
        <f>IF(ABS(P280)&gt;ROUND(P276,4), "Como |"&amp;ROUND(P280,2)&amp;"| &gt; "&amp;ROUND(P276,4)&amp;" então rejeita-se H0, logo a um nível de significância de "&amp;P274*100&amp;"% há evidencia estatística suficiente para se concluir que "&amp;S267&amp;" é não nulo","Como |"&amp;ROUND(P280,2)&amp;"|  ≤ "&amp;ROUND(P276,4)&amp;" então não se rejeita H0, logo a um nível de significância de "&amp;P274*100&amp;"% há evidencia estatística suficiente para se concluir que "&amp;S267&amp;" é nulo")</f>
        <v>Como |1,78|  ≤ 3,17 então não se rejeita H0, logo a um nível de significância de 1% há evidencia estatística suficiente para se concluir que β4= é nulo</v>
      </c>
      <c r="O282" s="28"/>
      <c r="P282" s="28"/>
      <c r="Q282" s="28"/>
      <c r="R282" s="28"/>
      <c r="S282" s="28"/>
      <c r="T282" s="28"/>
      <c r="U282" s="28"/>
      <c r="V282" s="28"/>
      <c r="W282" s="49"/>
      <c r="X282" s="49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</row>
    <row r="283" spans="1:39" ht="13.5" thickBot="1"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</row>
    <row r="284" spans="1:39">
      <c r="B284" s="39"/>
      <c r="C284" s="41"/>
      <c r="D284" s="41"/>
      <c r="E284" s="41"/>
      <c r="F284" s="41"/>
      <c r="G284" s="41"/>
      <c r="H284" s="41"/>
      <c r="I284" s="41"/>
      <c r="J284" s="41"/>
      <c r="K284" s="41"/>
      <c r="L284" s="42"/>
      <c r="N284" s="39"/>
      <c r="O284" s="41"/>
      <c r="P284" s="41"/>
      <c r="Q284" s="41"/>
      <c r="R284" s="41"/>
      <c r="S284" s="41"/>
      <c r="T284" s="41"/>
      <c r="U284" s="41"/>
      <c r="V284" s="41"/>
      <c r="W284" s="41"/>
      <c r="X284" s="42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</row>
    <row r="285" spans="1:39">
      <c r="A285" s="21" t="s">
        <v>103</v>
      </c>
      <c r="B285" s="43"/>
      <c r="C285" s="14"/>
      <c r="D285" s="14"/>
      <c r="E285" s="14"/>
      <c r="F285" s="14"/>
      <c r="G285" s="29" t="str">
        <f>A288&amp;"="</f>
        <v>β5=</v>
      </c>
      <c r="H285" s="14">
        <f>H144</f>
        <v>5142.8623312350519</v>
      </c>
      <c r="I285" s="14"/>
      <c r="J285" s="14"/>
      <c r="K285" s="14"/>
      <c r="L285" s="45"/>
      <c r="N285" s="43"/>
      <c r="O285" s="14"/>
      <c r="P285" s="14"/>
      <c r="Q285" s="14"/>
      <c r="R285" s="14"/>
      <c r="S285" s="29" t="str">
        <f>G285</f>
        <v>β5=</v>
      </c>
      <c r="T285" s="29">
        <f>H285</f>
        <v>5142.8623312350519</v>
      </c>
      <c r="U285" s="14"/>
      <c r="V285" s="14"/>
      <c r="W285" s="14"/>
      <c r="X285" s="45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</row>
    <row r="286" spans="1:39">
      <c r="A286" s="21" t="s">
        <v>83</v>
      </c>
      <c r="B286" s="43"/>
      <c r="C286" s="14"/>
      <c r="D286" s="14"/>
      <c r="E286" s="14"/>
      <c r="F286" s="14"/>
      <c r="G286" s="14"/>
      <c r="H286" s="14"/>
      <c r="I286" s="14"/>
      <c r="J286" s="14"/>
      <c r="K286" s="14"/>
      <c r="L286" s="45"/>
      <c r="N286" s="43"/>
      <c r="O286" s="14"/>
      <c r="P286" s="14"/>
      <c r="Q286" s="14"/>
      <c r="R286" s="14"/>
      <c r="S286" s="14"/>
      <c r="T286" s="14"/>
      <c r="U286" s="14"/>
      <c r="V286" s="14"/>
      <c r="W286" s="14"/>
      <c r="X286" s="45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</row>
    <row r="287" spans="1:39">
      <c r="A287" s="21" t="s">
        <v>104</v>
      </c>
      <c r="B287" s="43"/>
      <c r="C287" s="14"/>
      <c r="D287" s="14"/>
      <c r="E287" s="14"/>
      <c r="F287" s="14"/>
      <c r="G287" s="14"/>
      <c r="H287" s="14">
        <f>D149</f>
        <v>2027.2929127316982</v>
      </c>
      <c r="I287" s="14"/>
      <c r="J287" s="14"/>
      <c r="K287" s="14"/>
      <c r="L287" s="45"/>
      <c r="N287" s="43"/>
      <c r="O287" s="14"/>
      <c r="P287" s="14"/>
      <c r="Q287" s="14"/>
      <c r="R287" s="14"/>
      <c r="S287" s="14"/>
      <c r="T287" s="29">
        <f>H287</f>
        <v>2027.2929127316982</v>
      </c>
      <c r="U287" s="14"/>
      <c r="V287" s="14"/>
      <c r="W287" s="14"/>
      <c r="X287" s="45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</row>
    <row r="288" spans="1:39">
      <c r="A288" s="21" t="s">
        <v>89</v>
      </c>
      <c r="B288" s="43"/>
      <c r="C288" s="14"/>
      <c r="D288" s="14"/>
      <c r="E288" s="14"/>
      <c r="F288" s="14"/>
      <c r="G288" s="14"/>
      <c r="H288" s="14"/>
      <c r="I288" s="14"/>
      <c r="J288" s="14"/>
      <c r="K288" s="14"/>
      <c r="L288" s="45"/>
      <c r="N288" s="43"/>
      <c r="O288" s="14"/>
      <c r="P288" s="14"/>
      <c r="Q288" s="14"/>
      <c r="R288" s="14"/>
      <c r="S288" s="14"/>
      <c r="T288" s="14"/>
      <c r="U288" s="14"/>
      <c r="V288" s="14"/>
      <c r="W288" s="14"/>
      <c r="X288" s="45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</row>
    <row r="289" spans="1:39">
      <c r="B289" s="43"/>
      <c r="C289" s="14"/>
      <c r="D289" s="14"/>
      <c r="E289" s="14"/>
      <c r="F289" s="14"/>
      <c r="G289" s="14"/>
      <c r="H289" s="14"/>
      <c r="I289" s="14"/>
      <c r="J289" s="14"/>
      <c r="K289" s="14"/>
      <c r="L289" s="45"/>
      <c r="N289" s="43"/>
      <c r="O289" s="14"/>
      <c r="P289" s="14"/>
      <c r="Q289" s="14"/>
      <c r="R289" s="14"/>
      <c r="S289" s="14"/>
      <c r="T289" s="14"/>
      <c r="U289" s="14"/>
      <c r="V289" s="14"/>
      <c r="W289" s="14"/>
      <c r="X289" s="45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</row>
    <row r="290" spans="1:39">
      <c r="B290" s="43"/>
      <c r="C290" s="14">
        <f>D54</f>
        <v>365.86306684063749</v>
      </c>
      <c r="D290" s="14"/>
      <c r="E290" s="14"/>
      <c r="F290" s="14"/>
      <c r="G290" s="14"/>
      <c r="H290" s="14"/>
      <c r="I290" s="14"/>
      <c r="J290" s="14"/>
      <c r="K290" s="14"/>
      <c r="L290" s="45"/>
      <c r="N290" s="43"/>
      <c r="O290" s="29">
        <f>C290</f>
        <v>365.86306684063749</v>
      </c>
      <c r="P290" s="14"/>
      <c r="Q290" s="14"/>
      <c r="R290" s="14"/>
      <c r="S290" s="14"/>
      <c r="T290" s="14"/>
      <c r="U290" s="14"/>
      <c r="V290" s="14"/>
      <c r="W290" s="14"/>
      <c r="X290" s="45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</row>
    <row r="291" spans="1:39">
      <c r="B291" s="43"/>
      <c r="C291" s="14"/>
      <c r="D291" s="14"/>
      <c r="E291" s="14"/>
      <c r="F291" s="14"/>
      <c r="G291" s="14"/>
      <c r="H291" s="14"/>
      <c r="I291" s="14"/>
      <c r="J291" s="14"/>
      <c r="K291" s="14"/>
      <c r="L291" s="45"/>
      <c r="N291" s="43"/>
      <c r="O291" s="14"/>
      <c r="P291" s="14"/>
      <c r="Q291" s="14"/>
      <c r="R291" s="14"/>
      <c r="S291" s="14"/>
      <c r="T291" s="14"/>
      <c r="U291" s="14"/>
      <c r="V291" s="14"/>
      <c r="W291" s="14"/>
      <c r="X291" s="45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</row>
    <row r="292" spans="1:39">
      <c r="B292" s="43"/>
      <c r="C292" s="44" t="s">
        <v>105</v>
      </c>
      <c r="D292" s="14">
        <v>0.05</v>
      </c>
      <c r="E292" s="14"/>
      <c r="F292" s="14"/>
      <c r="G292" s="29" t="s">
        <v>108</v>
      </c>
      <c r="H292" s="14" t="str">
        <f>"]-∞;-"&amp;ROUND(D294,4)&amp;"[ U ]"&amp;ROUND(D294,4)&amp;";+∞["</f>
        <v>]-∞;-2,23[ U ]2,23;+∞[</v>
      </c>
      <c r="I292" s="14"/>
      <c r="J292" s="14"/>
      <c r="K292" s="14"/>
      <c r="L292" s="45"/>
      <c r="N292" s="43"/>
      <c r="O292" s="44" t="s">
        <v>105</v>
      </c>
      <c r="P292" s="14">
        <v>0.01</v>
      </c>
      <c r="Q292" s="14"/>
      <c r="R292" s="14"/>
      <c r="S292" s="29" t="s">
        <v>108</v>
      </c>
      <c r="T292" s="14" t="str">
        <f>"]-∞;-"&amp;ROUND(P294,4)&amp;"[ U ]"&amp;ROUND(P294,4)&amp;";+∞["</f>
        <v>]-∞;-3,17[ U ]3,17;+∞[</v>
      </c>
      <c r="U292" s="14"/>
      <c r="V292" s="14"/>
      <c r="W292" s="14"/>
      <c r="X292" s="45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</row>
    <row r="293" spans="1:39">
      <c r="B293" s="43"/>
      <c r="C293" s="44"/>
      <c r="D293" s="14"/>
      <c r="E293" s="14"/>
      <c r="F293" s="14"/>
      <c r="G293" s="14"/>
      <c r="H293" s="14"/>
      <c r="I293" s="14"/>
      <c r="J293" s="14"/>
      <c r="K293" s="14"/>
      <c r="L293" s="45"/>
      <c r="N293" s="43"/>
      <c r="O293" s="44"/>
      <c r="P293" s="14"/>
      <c r="Q293" s="14"/>
      <c r="R293" s="14"/>
      <c r="S293" s="14"/>
      <c r="T293" s="14"/>
      <c r="U293" s="14"/>
      <c r="V293" s="14"/>
      <c r="W293" s="14"/>
      <c r="X293" s="45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77"/>
    </row>
    <row r="294" spans="1:39">
      <c r="B294" s="43"/>
      <c r="C294" s="14"/>
      <c r="D294" s="14">
        <f>ROUND(_xlfn.T.INV(1-D292/2,17-(6+1)),2)</f>
        <v>2.23</v>
      </c>
      <c r="E294" s="14"/>
      <c r="F294" s="14"/>
      <c r="G294" s="14"/>
      <c r="H294" s="14"/>
      <c r="I294" s="14"/>
      <c r="J294" s="14"/>
      <c r="K294" s="14"/>
      <c r="L294" s="45"/>
      <c r="N294" s="43"/>
      <c r="O294" s="14"/>
      <c r="P294" s="14">
        <f>ROUND(_xlfn.T.INV(1-P292/2,17-(6+1)),2)</f>
        <v>3.17</v>
      </c>
      <c r="Q294" s="14"/>
      <c r="R294" s="14"/>
      <c r="S294" s="14"/>
      <c r="T294" s="14"/>
      <c r="U294" s="14"/>
      <c r="V294" s="14"/>
      <c r="W294" s="14"/>
      <c r="X294" s="45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  <c r="AL294" s="77"/>
      <c r="AM294" s="77"/>
    </row>
    <row r="295" spans="1:39">
      <c r="B295" s="43"/>
      <c r="C295" s="29"/>
      <c r="D295" s="14"/>
      <c r="E295" s="14"/>
      <c r="F295" s="14"/>
      <c r="G295" s="14"/>
      <c r="H295" s="14"/>
      <c r="I295" s="14"/>
      <c r="J295" s="14"/>
      <c r="K295" s="14"/>
      <c r="L295" s="45"/>
      <c r="N295" s="43"/>
      <c r="O295" s="29"/>
      <c r="P295" s="14"/>
      <c r="Q295" s="14"/>
      <c r="R295" s="14"/>
      <c r="S295" s="14"/>
      <c r="T295" s="14"/>
      <c r="U295" s="14"/>
      <c r="V295" s="14"/>
      <c r="W295" s="14"/>
      <c r="X295" s="45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77"/>
    </row>
    <row r="296" spans="1:39">
      <c r="B296" s="43"/>
      <c r="C296" s="14"/>
      <c r="D296" s="14"/>
      <c r="E296" s="14"/>
      <c r="F296" s="14"/>
      <c r="G296" s="14"/>
      <c r="H296" s="14"/>
      <c r="I296" s="14"/>
      <c r="J296" s="14"/>
      <c r="K296" s="14"/>
      <c r="L296" s="45"/>
      <c r="N296" s="43"/>
      <c r="O296" s="14"/>
      <c r="P296" s="14"/>
      <c r="Q296" s="14"/>
      <c r="R296" s="14"/>
      <c r="S296" s="14"/>
      <c r="T296" s="14"/>
      <c r="U296" s="14"/>
      <c r="V296" s="14"/>
      <c r="W296" s="14"/>
      <c r="X296" s="45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</row>
    <row r="297" spans="1:39">
      <c r="B297" s="43"/>
      <c r="C297" s="14"/>
      <c r="D297" s="14"/>
      <c r="E297" s="14"/>
      <c r="F297" s="14"/>
      <c r="G297" s="14"/>
      <c r="H297" s="14"/>
      <c r="I297" s="14"/>
      <c r="J297" s="14"/>
      <c r="K297" s="14"/>
      <c r="L297" s="45"/>
      <c r="N297" s="43"/>
      <c r="O297" s="14"/>
      <c r="P297" s="14"/>
      <c r="Q297" s="14"/>
      <c r="R297" s="14"/>
      <c r="S297" s="14"/>
      <c r="T297" s="14"/>
      <c r="U297" s="14"/>
      <c r="V297" s="14"/>
      <c r="W297" s="14"/>
      <c r="X297" s="45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</row>
    <row r="298" spans="1:39">
      <c r="B298" s="43"/>
      <c r="C298" s="29" t="s">
        <v>106</v>
      </c>
      <c r="D298" s="14">
        <f>ROUND(H285/SQRT(C290*H287),4)</f>
        <v>5.9715999999999996</v>
      </c>
      <c r="E298" s="14"/>
      <c r="F298" s="14"/>
      <c r="G298" s="14"/>
      <c r="H298" s="14"/>
      <c r="I298" s="14"/>
      <c r="J298" s="14"/>
      <c r="K298" s="14"/>
      <c r="L298" s="45"/>
      <c r="N298" s="43"/>
      <c r="O298" s="29" t="s">
        <v>106</v>
      </c>
      <c r="P298" s="14">
        <f>ROUND(T285/SQRT(O290*T287),4)</f>
        <v>5.9715999999999996</v>
      </c>
      <c r="Q298" s="14"/>
      <c r="R298" s="14"/>
      <c r="S298" s="14"/>
      <c r="T298" s="14"/>
      <c r="U298" s="14"/>
      <c r="V298" s="14"/>
      <c r="W298" s="14"/>
      <c r="X298" s="45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</row>
    <row r="299" spans="1:39">
      <c r="B299" s="43"/>
      <c r="C299" s="29" t="s">
        <v>107</v>
      </c>
      <c r="D299" s="14">
        <f>ABS(D298)</f>
        <v>5.9715999999999996</v>
      </c>
      <c r="E299" s="14"/>
      <c r="F299" s="14"/>
      <c r="G299" s="14"/>
      <c r="H299" s="14"/>
      <c r="I299" s="14"/>
      <c r="J299" s="14"/>
      <c r="K299" s="14"/>
      <c r="L299" s="45"/>
      <c r="N299" s="43"/>
      <c r="O299" s="29" t="s">
        <v>107</v>
      </c>
      <c r="P299" s="14">
        <f>ABS(P298)</f>
        <v>5.9715999999999996</v>
      </c>
      <c r="Q299" s="14"/>
      <c r="R299" s="14"/>
      <c r="S299" s="14"/>
      <c r="T299" s="14"/>
      <c r="U299" s="14"/>
      <c r="V299" s="14"/>
      <c r="W299" s="14"/>
      <c r="X299" s="45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</row>
    <row r="300" spans="1:39" ht="13.5" thickBot="1">
      <c r="B300" s="47" t="str">
        <f>IF(ABS(D298)&gt;ROUND(D294,4), "Como |"&amp;ROUND(D298,2)&amp;"| &gt; "&amp;ROUND(D294,4)&amp;" então rejeita-se H0, logo a um nível de significância de "&amp;D292*100&amp;"% há evidencia estatística suficiente para se concluir que "&amp;G285&amp;" é não nulo","Como |"&amp;ROUND(D298,2)&amp;"|  ≤ "&amp;ROUND(D294,4)&amp;" então não se rejeita H0, logo a um nível de significância de "&amp;D292*100&amp;"% há evidencia estatística suficiente para se concluir que "&amp;G285&amp;" é nulo")</f>
        <v>Como |5,97| &gt; 2,23 então rejeita-se H0, logo a um nível de significância de 5% há evidencia estatística suficiente para se concluir que β5= é não nulo</v>
      </c>
      <c r="C300" s="28"/>
      <c r="D300" s="28"/>
      <c r="E300" s="28"/>
      <c r="F300" s="28"/>
      <c r="G300" s="28"/>
      <c r="H300" s="28"/>
      <c r="I300" s="28"/>
      <c r="J300" s="28"/>
      <c r="K300" s="49"/>
      <c r="L300" s="49"/>
      <c r="N300" s="47" t="str">
        <f>IF(ABS(P298)&gt;ROUND(P294,4), "Como |"&amp;ROUND(P298,2)&amp;"| &gt; "&amp;ROUND(P294,4)&amp;" então rejeita-se H0, logo a um nível de significância de "&amp;P292*100&amp;"% há evidencia estatística suficiente para se concluir que "&amp;S285&amp;" é não nulo","Como |"&amp;ROUND(P298,2)&amp;"|  ≤ "&amp;ROUND(P294,4)&amp;" então não se rejeita H0, logo a um nível de significância de "&amp;P292*100&amp;"% há evidencia estatística suficiente para se concluir que "&amp;S285&amp;" é nulo")</f>
        <v>Como |5,97| &gt; 3,17 então rejeita-se H0, logo a um nível de significância de 1% há evidencia estatística suficiente para se concluir que β5= é não nulo</v>
      </c>
      <c r="O300" s="28"/>
      <c r="P300" s="28"/>
      <c r="Q300" s="28"/>
      <c r="R300" s="28"/>
      <c r="S300" s="28"/>
      <c r="T300" s="28"/>
      <c r="U300" s="28"/>
      <c r="V300" s="28"/>
      <c r="W300" s="49"/>
      <c r="X300" s="49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  <c r="AL300" s="77"/>
      <c r="AM300" s="77"/>
    </row>
    <row r="301" spans="1:39" ht="13.5" thickBot="1"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</row>
    <row r="302" spans="1:39">
      <c r="B302" s="39"/>
      <c r="C302" s="41"/>
      <c r="D302" s="41"/>
      <c r="E302" s="41"/>
      <c r="F302" s="41"/>
      <c r="G302" s="41"/>
      <c r="H302" s="41"/>
      <c r="I302" s="41"/>
      <c r="J302" s="41"/>
      <c r="K302" s="41"/>
      <c r="L302" s="42"/>
      <c r="N302" s="39"/>
      <c r="O302" s="41"/>
      <c r="P302" s="41"/>
      <c r="Q302" s="41"/>
      <c r="R302" s="41"/>
      <c r="S302" s="41"/>
      <c r="T302" s="41"/>
      <c r="U302" s="41"/>
      <c r="V302" s="41"/>
      <c r="W302" s="41"/>
      <c r="X302" s="42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  <c r="AL302" s="77"/>
      <c r="AM302" s="77"/>
    </row>
    <row r="303" spans="1:39">
      <c r="A303" s="21" t="s">
        <v>103</v>
      </c>
      <c r="B303" s="43"/>
      <c r="C303" s="14"/>
      <c r="D303" s="14"/>
      <c r="E303" s="14"/>
      <c r="F303" s="14"/>
      <c r="G303" s="29" t="str">
        <f>A306&amp;"="</f>
        <v>β6=</v>
      </c>
      <c r="H303" s="14">
        <f>H154</f>
        <v>1.3680892446362759E-8</v>
      </c>
      <c r="I303" s="14"/>
      <c r="J303" s="14"/>
      <c r="K303" s="14"/>
      <c r="L303" s="45"/>
      <c r="N303" s="43"/>
      <c r="O303" s="14"/>
      <c r="P303" s="14"/>
      <c r="Q303" s="14"/>
      <c r="R303" s="14"/>
      <c r="S303" s="29" t="str">
        <f>G303</f>
        <v>β6=</v>
      </c>
      <c r="T303" s="29">
        <f>H303</f>
        <v>1.3680892446362759E-8</v>
      </c>
      <c r="U303" s="14"/>
      <c r="V303" s="14"/>
      <c r="W303" s="14"/>
      <c r="X303" s="45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</row>
    <row r="304" spans="1:39">
      <c r="A304" s="21" t="s">
        <v>83</v>
      </c>
      <c r="B304" s="43"/>
      <c r="C304" s="14"/>
      <c r="D304" s="14"/>
      <c r="E304" s="14"/>
      <c r="F304" s="14"/>
      <c r="G304" s="14"/>
      <c r="H304" s="14"/>
      <c r="I304" s="14"/>
      <c r="J304" s="14"/>
      <c r="K304" s="14"/>
      <c r="L304" s="45"/>
      <c r="N304" s="43"/>
      <c r="O304" s="14"/>
      <c r="P304" s="14"/>
      <c r="Q304" s="14"/>
      <c r="R304" s="14"/>
      <c r="S304" s="14"/>
      <c r="T304" s="14"/>
      <c r="U304" s="14"/>
      <c r="V304" s="14"/>
      <c r="W304" s="14"/>
      <c r="X304" s="45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</row>
    <row r="305" spans="1:39">
      <c r="A305" s="21" t="s">
        <v>104</v>
      </c>
      <c r="B305" s="43"/>
      <c r="C305" s="14"/>
      <c r="D305" s="14"/>
      <c r="E305" s="14"/>
      <c r="F305" s="14"/>
      <c r="G305" s="14"/>
      <c r="H305" s="14">
        <f>D159</f>
        <v>6.5157496737608073E-13</v>
      </c>
      <c r="I305" s="14"/>
      <c r="J305" s="14"/>
      <c r="K305" s="14"/>
      <c r="L305" s="45"/>
      <c r="N305" s="43"/>
      <c r="O305" s="14"/>
      <c r="P305" s="14"/>
      <c r="Q305" s="14"/>
      <c r="R305" s="14"/>
      <c r="S305" s="14"/>
      <c r="T305" s="29">
        <f>H305</f>
        <v>6.5157496737608073E-13</v>
      </c>
      <c r="U305" s="14"/>
      <c r="V305" s="14"/>
      <c r="W305" s="14"/>
      <c r="X305" s="45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</row>
    <row r="306" spans="1:39">
      <c r="A306" s="21" t="s">
        <v>88</v>
      </c>
      <c r="B306" s="43"/>
      <c r="C306" s="14"/>
      <c r="D306" s="14"/>
      <c r="E306" s="14"/>
      <c r="F306" s="14"/>
      <c r="G306" s="14"/>
      <c r="H306" s="14"/>
      <c r="I306" s="14"/>
      <c r="J306" s="14"/>
      <c r="K306" s="14"/>
      <c r="L306" s="45"/>
      <c r="N306" s="43"/>
      <c r="O306" s="14"/>
      <c r="P306" s="14"/>
      <c r="Q306" s="14"/>
      <c r="R306" s="14"/>
      <c r="S306" s="14"/>
      <c r="T306" s="14"/>
      <c r="U306" s="14"/>
      <c r="V306" s="14"/>
      <c r="W306" s="14"/>
      <c r="X306" s="45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  <c r="AL306" s="77"/>
      <c r="AM306" s="77"/>
    </row>
    <row r="307" spans="1:39">
      <c r="B307" s="43"/>
      <c r="C307" s="14"/>
      <c r="D307" s="14"/>
      <c r="E307" s="14"/>
      <c r="F307" s="14"/>
      <c r="G307" s="14"/>
      <c r="H307" s="14"/>
      <c r="I307" s="14"/>
      <c r="J307" s="14"/>
      <c r="K307" s="14"/>
      <c r="L307" s="45"/>
      <c r="N307" s="43"/>
      <c r="O307" s="14"/>
      <c r="P307" s="14"/>
      <c r="Q307" s="14"/>
      <c r="R307" s="14"/>
      <c r="S307" s="14"/>
      <c r="T307" s="14"/>
      <c r="U307" s="14"/>
      <c r="V307" s="14"/>
      <c r="W307" s="14"/>
      <c r="X307" s="45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</row>
    <row r="308" spans="1:39">
      <c r="B308" s="43"/>
      <c r="C308" s="14">
        <f>D54</f>
        <v>365.86306684063749</v>
      </c>
      <c r="D308" s="14"/>
      <c r="E308" s="14"/>
      <c r="F308" s="14"/>
      <c r="G308" s="14"/>
      <c r="H308" s="14"/>
      <c r="I308" s="14"/>
      <c r="J308" s="14"/>
      <c r="K308" s="14"/>
      <c r="L308" s="45"/>
      <c r="N308" s="43"/>
      <c r="O308" s="29">
        <f>C308</f>
        <v>365.86306684063749</v>
      </c>
      <c r="P308" s="14"/>
      <c r="Q308" s="14"/>
      <c r="R308" s="14"/>
      <c r="S308" s="14"/>
      <c r="T308" s="14"/>
      <c r="U308" s="14"/>
      <c r="V308" s="14"/>
      <c r="W308" s="14"/>
      <c r="X308" s="45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  <c r="AL308" s="77"/>
      <c r="AM308" s="77"/>
    </row>
    <row r="309" spans="1:39">
      <c r="B309" s="43"/>
      <c r="C309" s="14"/>
      <c r="D309" s="14"/>
      <c r="E309" s="14"/>
      <c r="F309" s="14"/>
      <c r="G309" s="14"/>
      <c r="H309" s="14"/>
      <c r="I309" s="14"/>
      <c r="J309" s="14"/>
      <c r="K309" s="14"/>
      <c r="L309" s="45"/>
      <c r="N309" s="43"/>
      <c r="O309" s="14"/>
      <c r="P309" s="14"/>
      <c r="Q309" s="14"/>
      <c r="R309" s="14"/>
      <c r="S309" s="14"/>
      <c r="T309" s="14"/>
      <c r="U309" s="14"/>
      <c r="V309" s="14"/>
      <c r="W309" s="14"/>
      <c r="X309" s="45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</row>
    <row r="310" spans="1:39">
      <c r="B310" s="43"/>
      <c r="C310" s="44" t="s">
        <v>105</v>
      </c>
      <c r="D310" s="14">
        <v>0.05</v>
      </c>
      <c r="E310" s="14"/>
      <c r="F310" s="14"/>
      <c r="G310" s="29" t="s">
        <v>108</v>
      </c>
      <c r="H310" s="14" t="str">
        <f>"]-∞;-"&amp;ROUND(D312,4)&amp;"[ U ]"&amp;ROUND(D312,4)&amp;";+∞["</f>
        <v>]-∞;-2,23[ U ]2,23;+∞[</v>
      </c>
      <c r="I310" s="14"/>
      <c r="J310" s="14"/>
      <c r="K310" s="14"/>
      <c r="L310" s="45"/>
      <c r="N310" s="43"/>
      <c r="O310" s="44" t="s">
        <v>105</v>
      </c>
      <c r="P310" s="14">
        <v>0.01</v>
      </c>
      <c r="Q310" s="14"/>
      <c r="R310" s="14"/>
      <c r="S310" s="29" t="s">
        <v>108</v>
      </c>
      <c r="T310" s="14" t="str">
        <f>"]-∞;-"&amp;ROUND(P312,4)&amp;"[ U ]"&amp;ROUND(P312,4)&amp;";+∞["</f>
        <v>]-∞;-3,17[ U ]3,17;+∞[</v>
      </c>
      <c r="U310" s="14"/>
      <c r="V310" s="14"/>
      <c r="W310" s="14"/>
      <c r="X310" s="45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</row>
    <row r="311" spans="1:39">
      <c r="B311" s="43"/>
      <c r="C311" s="44"/>
      <c r="D311" s="14"/>
      <c r="E311" s="14"/>
      <c r="F311" s="14"/>
      <c r="G311" s="14"/>
      <c r="H311" s="14"/>
      <c r="I311" s="14"/>
      <c r="J311" s="14"/>
      <c r="K311" s="14"/>
      <c r="L311" s="45"/>
      <c r="N311" s="43"/>
      <c r="O311" s="44"/>
      <c r="P311" s="14"/>
      <c r="Q311" s="14"/>
      <c r="R311" s="14"/>
      <c r="S311" s="14"/>
      <c r="T311" s="14"/>
      <c r="U311" s="14"/>
      <c r="V311" s="14"/>
      <c r="W311" s="14"/>
      <c r="X311" s="45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</row>
    <row r="312" spans="1:39">
      <c r="B312" s="43"/>
      <c r="C312" s="14"/>
      <c r="D312" s="14">
        <f>ROUND(_xlfn.T.INV(1-D310/2,17-(6+1)),2)</f>
        <v>2.23</v>
      </c>
      <c r="E312" s="14"/>
      <c r="F312" s="14"/>
      <c r="G312" s="14"/>
      <c r="H312" s="14"/>
      <c r="I312" s="14"/>
      <c r="J312" s="14"/>
      <c r="K312" s="14"/>
      <c r="L312" s="45"/>
      <c r="N312" s="43"/>
      <c r="O312" s="14"/>
      <c r="P312" s="14">
        <f>ROUND(_xlfn.T.INV(1-P310/2,17-(6+1)),2)</f>
        <v>3.17</v>
      </c>
      <c r="Q312" s="14"/>
      <c r="R312" s="14"/>
      <c r="S312" s="14"/>
      <c r="T312" s="14"/>
      <c r="U312" s="14"/>
      <c r="V312" s="14"/>
      <c r="W312" s="14"/>
      <c r="X312" s="45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</row>
    <row r="313" spans="1:39">
      <c r="B313" s="43"/>
      <c r="C313" s="29"/>
      <c r="D313" s="14"/>
      <c r="E313" s="14"/>
      <c r="F313" s="14"/>
      <c r="G313" s="14"/>
      <c r="H313" s="14"/>
      <c r="I313" s="14"/>
      <c r="J313" s="14"/>
      <c r="K313" s="14"/>
      <c r="L313" s="45"/>
      <c r="N313" s="43"/>
      <c r="O313" s="29"/>
      <c r="P313" s="14"/>
      <c r="Q313" s="14"/>
      <c r="R313" s="14"/>
      <c r="S313" s="14"/>
      <c r="T313" s="14"/>
      <c r="U313" s="14"/>
      <c r="V313" s="14"/>
      <c r="W313" s="14"/>
      <c r="X313" s="45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</row>
    <row r="314" spans="1:39">
      <c r="B314" s="43"/>
      <c r="C314" s="14"/>
      <c r="D314" s="14"/>
      <c r="E314" s="14"/>
      <c r="F314" s="14"/>
      <c r="G314" s="14"/>
      <c r="H314" s="14"/>
      <c r="I314" s="14"/>
      <c r="J314" s="14"/>
      <c r="K314" s="14"/>
      <c r="L314" s="45"/>
      <c r="N314" s="43"/>
      <c r="O314" s="14"/>
      <c r="P314" s="14"/>
      <c r="Q314" s="14"/>
      <c r="R314" s="14"/>
      <c r="S314" s="14"/>
      <c r="T314" s="14"/>
      <c r="U314" s="14"/>
      <c r="V314" s="14"/>
      <c r="W314" s="14"/>
      <c r="X314" s="45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</row>
    <row r="315" spans="1:39">
      <c r="B315" s="43"/>
      <c r="C315" s="14"/>
      <c r="D315" s="14"/>
      <c r="E315" s="14"/>
      <c r="F315" s="14"/>
      <c r="G315" s="14"/>
      <c r="H315" s="14"/>
      <c r="I315" s="14"/>
      <c r="J315" s="14"/>
      <c r="K315" s="14"/>
      <c r="L315" s="45"/>
      <c r="N315" s="43"/>
      <c r="O315" s="14"/>
      <c r="P315" s="14"/>
      <c r="Q315" s="14"/>
      <c r="R315" s="14"/>
      <c r="S315" s="14"/>
      <c r="T315" s="14"/>
      <c r="U315" s="14"/>
      <c r="V315" s="14"/>
      <c r="W315" s="14"/>
      <c r="X315" s="45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</row>
    <row r="316" spans="1:39">
      <c r="B316" s="43"/>
      <c r="C316" s="29" t="s">
        <v>106</v>
      </c>
      <c r="D316" s="14">
        <f>ROUND(H303/SQRT(C308*H305),4)</f>
        <v>8.9999999999999998E-4</v>
      </c>
      <c r="E316" s="14"/>
      <c r="F316" s="14"/>
      <c r="G316" s="14"/>
      <c r="H316" s="14"/>
      <c r="I316" s="14"/>
      <c r="J316" s="14"/>
      <c r="K316" s="14"/>
      <c r="L316" s="45"/>
      <c r="N316" s="43"/>
      <c r="O316" s="29" t="s">
        <v>106</v>
      </c>
      <c r="P316" s="14">
        <f>ROUND(T303/SQRT(O308*T305),4)</f>
        <v>8.9999999999999998E-4</v>
      </c>
      <c r="Q316" s="14"/>
      <c r="R316" s="14"/>
      <c r="S316" s="14"/>
      <c r="T316" s="14"/>
      <c r="U316" s="14"/>
      <c r="V316" s="14"/>
      <c r="W316" s="14"/>
      <c r="X316" s="45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</row>
    <row r="317" spans="1:39">
      <c r="B317" s="43"/>
      <c r="C317" s="29" t="s">
        <v>107</v>
      </c>
      <c r="D317" s="14">
        <f>ABS(D316)</f>
        <v>8.9999999999999998E-4</v>
      </c>
      <c r="E317" s="14"/>
      <c r="F317" s="14"/>
      <c r="G317" s="14"/>
      <c r="H317" s="14"/>
      <c r="I317" s="14"/>
      <c r="J317" s="14"/>
      <c r="K317" s="14"/>
      <c r="L317" s="45"/>
      <c r="N317" s="43"/>
      <c r="O317" s="29" t="s">
        <v>107</v>
      </c>
      <c r="P317" s="14">
        <f>ABS(P316)</f>
        <v>8.9999999999999998E-4</v>
      </c>
      <c r="Q317" s="14"/>
      <c r="R317" s="14"/>
      <c r="S317" s="14"/>
      <c r="T317" s="14"/>
      <c r="U317" s="14"/>
      <c r="V317" s="14"/>
      <c r="W317" s="14"/>
      <c r="X317" s="45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</row>
    <row r="318" spans="1:39" ht="13.5" thickBot="1">
      <c r="B318" s="47" t="str">
        <f>IF(ABS(D316)&gt;ROUND(D312,4), "Como |"&amp;ROUND(D316,2)&amp;"| &gt; "&amp;ROUND(D312,4)&amp;" então rejeita-se H0, logo a um nível de significância de "&amp;D310*100&amp;"% há evidencia estatística suficiente para se concluir que "&amp;G303&amp;" é não nulo","Como |"&amp;ROUND(D316,2)&amp;"|  ≤ "&amp;ROUND(D312,4)&amp;" então não se rejeita H0, logo a um nível de significância de "&amp;D310*100&amp;"% há evidencia estatística suficiente para se concluir que "&amp;G303&amp;" é nulo")</f>
        <v>Como |0|  ≤ 2,23 então não se rejeita H0, logo a um nível de significância de 5% há evidencia estatística suficiente para se concluir que β6= é nulo</v>
      </c>
      <c r="C318" s="28"/>
      <c r="D318" s="28"/>
      <c r="E318" s="28"/>
      <c r="F318" s="28"/>
      <c r="G318" s="28"/>
      <c r="H318" s="28"/>
      <c r="I318" s="28"/>
      <c r="J318" s="28"/>
      <c r="K318" s="49"/>
      <c r="L318" s="49"/>
      <c r="N318" s="47" t="str">
        <f>IF(ABS(P316)&gt;ROUND(P312,4), "Como |"&amp;ROUND(P316,2)&amp;"| &gt; "&amp;ROUND(P312,4)&amp;" então rejeita-se H0, logo a um nível de significância de "&amp;P310*100&amp;"% há evidencia estatística suficiente para se concluir que "&amp;S303&amp;" é não nulo","Como |"&amp;ROUND(P316,2)&amp;"|  ≤ "&amp;ROUND(P312,4)&amp;" então não se rejeita H0, logo a um nível de significância de "&amp;P310*100&amp;"% há evidencia estatística suficiente para se concluir que "&amp;S303&amp;" é nulo")</f>
        <v>Como |0|  ≤ 3,17 então não se rejeita H0, logo a um nível de significância de 1% há evidencia estatística suficiente para se concluir que β6= é nulo</v>
      </c>
      <c r="O318" s="28"/>
      <c r="P318" s="28"/>
      <c r="Q318" s="28"/>
      <c r="R318" s="28"/>
      <c r="S318" s="28"/>
      <c r="T318" s="28"/>
      <c r="U318" s="28"/>
      <c r="V318" s="28"/>
      <c r="W318" s="49"/>
      <c r="X318" s="49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</row>
    <row r="319" spans="1:39"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</row>
  </sheetData>
  <mergeCells count="1">
    <mergeCell ref="B39:O3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E0258-3E77-446B-980A-6BDB2F6AA4AC}">
  <dimension ref="A2:EJ339"/>
  <sheetViews>
    <sheetView topLeftCell="A184" zoomScale="80" zoomScaleNormal="80" workbookViewId="0">
      <selection activeCell="N195" sqref="N195"/>
    </sheetView>
  </sheetViews>
  <sheetFormatPr defaultRowHeight="12.75"/>
  <cols>
    <col min="2" max="2" width="11.85546875" customWidth="1"/>
    <col min="3" max="3" width="13.85546875" customWidth="1"/>
    <col min="4" max="4" width="13.7109375" customWidth="1"/>
    <col min="5" max="5" width="12.42578125" customWidth="1"/>
    <col min="6" max="6" width="11.5703125" bestFit="1" customWidth="1"/>
    <col min="7" max="9" width="12.5703125" bestFit="1" customWidth="1"/>
    <col min="10" max="10" width="11.5703125" bestFit="1" customWidth="1"/>
    <col min="14" max="14" width="12.42578125" bestFit="1" customWidth="1"/>
    <col min="15" max="15" width="12.28515625" bestFit="1" customWidth="1"/>
    <col min="16" max="16" width="13.140625" bestFit="1" customWidth="1"/>
    <col min="17" max="17" width="12.42578125" bestFit="1" customWidth="1"/>
    <col min="25" max="25" width="10.5703125" bestFit="1" customWidth="1"/>
    <col min="34" max="34" width="13.140625" bestFit="1" customWidth="1"/>
  </cols>
  <sheetData>
    <row r="2" spans="2:17">
      <c r="B2" s="2" t="s">
        <v>10</v>
      </c>
      <c r="C2" s="2" t="s">
        <v>33</v>
      </c>
      <c r="D2" s="2" t="s">
        <v>34</v>
      </c>
      <c r="E2" s="2" t="s">
        <v>35</v>
      </c>
      <c r="F2" s="4"/>
    </row>
    <row r="3" spans="2:17">
      <c r="B3" s="4" t="s">
        <v>1</v>
      </c>
      <c r="C3" s="4" t="s">
        <v>3</v>
      </c>
      <c r="D3" s="4" t="s">
        <v>4</v>
      </c>
      <c r="E3" s="4" t="s">
        <v>5</v>
      </c>
      <c r="F3" s="4"/>
    </row>
    <row r="4" spans="2:17">
      <c r="B4" s="4">
        <v>5805</v>
      </c>
      <c r="C4" s="4">
        <v>0.82</v>
      </c>
      <c r="D4" s="4">
        <v>865</v>
      </c>
      <c r="E4" s="4">
        <v>6869</v>
      </c>
      <c r="F4" s="4">
        <f>ROUND($AH$137,4)+ROUND($AH$138,4)*C4+ROUND($AH$139,4)*D4+ROUND($AH$140,4)*E4</f>
        <v>6148.9612939999997</v>
      </c>
    </row>
    <row r="5" spans="2:17">
      <c r="B5" s="4">
        <v>5540</v>
      </c>
      <c r="C5" s="4">
        <v>0.76</v>
      </c>
      <c r="D5" s="4">
        <v>852</v>
      </c>
      <c r="E5" s="4">
        <v>6775</v>
      </c>
      <c r="F5" s="4">
        <f t="shared" ref="F5:F68" si="0">ROUND($AH$137,4)+ROUND($AH$138,4)*C5+ROUND($AH$139,4)*D5+ROUND($AH$140,4)*E5</f>
        <v>6010.5852919999988</v>
      </c>
    </row>
    <row r="6" spans="2:17">
      <c r="B6" s="4">
        <v>9083</v>
      </c>
      <c r="C6" s="4">
        <v>0.71</v>
      </c>
      <c r="D6" s="4">
        <v>877</v>
      </c>
      <c r="E6" s="4">
        <v>6684</v>
      </c>
      <c r="F6" s="4">
        <f t="shared" si="0"/>
        <v>5669.9473069999995</v>
      </c>
    </row>
    <row r="7" spans="2:17">
      <c r="B7" s="4">
        <v>7914</v>
      </c>
      <c r="C7" s="4">
        <v>0.67</v>
      </c>
      <c r="D7" s="4">
        <v>863</v>
      </c>
      <c r="E7" s="4">
        <v>6496</v>
      </c>
      <c r="F7" s="4">
        <f t="shared" si="0"/>
        <v>5410.1134390000007</v>
      </c>
    </row>
    <row r="8" spans="2:17">
      <c r="B8" s="4">
        <v>6916</v>
      </c>
      <c r="C8" s="4">
        <v>0.64</v>
      </c>
      <c r="D8" s="4">
        <v>904</v>
      </c>
      <c r="E8" s="4">
        <v>6412</v>
      </c>
      <c r="F8" s="4">
        <f t="shared" si="0"/>
        <v>5010.2903879999985</v>
      </c>
    </row>
    <row r="9" spans="2:17">
      <c r="B9" s="4">
        <v>6132</v>
      </c>
      <c r="C9" s="4">
        <v>0.62</v>
      </c>
      <c r="D9" s="4">
        <v>891</v>
      </c>
      <c r="E9" s="4">
        <v>6158</v>
      </c>
      <c r="F9" s="4">
        <f t="shared" si="0"/>
        <v>4661.805253999999</v>
      </c>
    </row>
    <row r="10" spans="2:17">
      <c r="B10" s="4">
        <v>3508</v>
      </c>
      <c r="C10" s="4">
        <v>0.59</v>
      </c>
      <c r="D10" s="4">
        <v>865</v>
      </c>
      <c r="E10" s="4">
        <v>6248</v>
      </c>
      <c r="F10" s="4">
        <f t="shared" si="0"/>
        <v>4920.9219029999995</v>
      </c>
    </row>
    <row r="11" spans="2:17">
      <c r="B11" s="4">
        <v>2505</v>
      </c>
      <c r="C11" s="4">
        <v>0.56000000000000005</v>
      </c>
      <c r="D11" s="4">
        <v>877</v>
      </c>
      <c r="E11" s="4">
        <v>6344</v>
      </c>
      <c r="F11" s="4">
        <f t="shared" si="0"/>
        <v>4971.8105519999999</v>
      </c>
      <c r="M11" s="25">
        <v>1</v>
      </c>
      <c r="N11">
        <f>C4</f>
        <v>0.82</v>
      </c>
      <c r="O11" s="25">
        <f t="shared" ref="O11:P11" si="1">D4</f>
        <v>865</v>
      </c>
      <c r="P11" s="25">
        <f t="shared" si="1"/>
        <v>6869</v>
      </c>
      <c r="Q11" s="25"/>
    </row>
    <row r="12" spans="2:17">
      <c r="B12" s="4">
        <v>2583</v>
      </c>
      <c r="C12" s="4">
        <v>0.53</v>
      </c>
      <c r="D12" s="4">
        <v>862</v>
      </c>
      <c r="E12" s="4">
        <v>6070</v>
      </c>
      <c r="F12" s="4">
        <f t="shared" si="0"/>
        <v>4592.4573009999995</v>
      </c>
      <c r="M12" s="25">
        <v>1</v>
      </c>
      <c r="N12" s="25">
        <f t="shared" ref="N12:P12" si="2">C5</f>
        <v>0.76</v>
      </c>
      <c r="O12" s="25">
        <f t="shared" si="2"/>
        <v>852</v>
      </c>
      <c r="P12" s="25">
        <f t="shared" si="2"/>
        <v>6775</v>
      </c>
      <c r="Q12" s="25"/>
    </row>
    <row r="13" spans="2:17">
      <c r="B13" s="4">
        <v>4387</v>
      </c>
      <c r="C13" s="4">
        <v>0.51</v>
      </c>
      <c r="D13" s="4">
        <v>853</v>
      </c>
      <c r="E13" s="4">
        <v>5829</v>
      </c>
      <c r="F13" s="4">
        <f t="shared" si="0"/>
        <v>4241.6066669999991</v>
      </c>
      <c r="M13" s="25">
        <v>1</v>
      </c>
      <c r="N13" s="25">
        <f t="shared" ref="N13:P13" si="3">C6</f>
        <v>0.71</v>
      </c>
      <c r="O13" s="25">
        <f t="shared" si="3"/>
        <v>877</v>
      </c>
      <c r="P13" s="25">
        <f t="shared" si="3"/>
        <v>6684</v>
      </c>
      <c r="Q13" s="25"/>
    </row>
    <row r="14" spans="2:17">
      <c r="B14" s="4">
        <v>3480</v>
      </c>
      <c r="C14" s="4">
        <v>0.49</v>
      </c>
      <c r="D14" s="4">
        <v>836</v>
      </c>
      <c r="E14" s="4">
        <v>5570</v>
      </c>
      <c r="F14" s="4">
        <f t="shared" si="0"/>
        <v>3908.1342329999989</v>
      </c>
      <c r="M14" s="25">
        <v>1</v>
      </c>
      <c r="N14" s="25">
        <f t="shared" ref="N14:P14" si="4">C7</f>
        <v>0.67</v>
      </c>
      <c r="O14" s="25">
        <f t="shared" si="4"/>
        <v>863</v>
      </c>
      <c r="P14" s="25">
        <f t="shared" si="4"/>
        <v>6496</v>
      </c>
      <c r="Q14" s="25"/>
    </row>
    <row r="15" spans="2:17">
      <c r="B15" s="4">
        <v>2854</v>
      </c>
      <c r="C15" s="4">
        <v>0.48</v>
      </c>
      <c r="D15" s="4">
        <v>846</v>
      </c>
      <c r="E15" s="4">
        <v>5230</v>
      </c>
      <c r="F15" s="4">
        <f t="shared" si="0"/>
        <v>3302.6265160000003</v>
      </c>
      <c r="M15" s="25">
        <v>1</v>
      </c>
      <c r="N15" s="25">
        <f t="shared" ref="N15:P15" si="5">C8</f>
        <v>0.64</v>
      </c>
      <c r="O15" s="25">
        <f t="shared" si="5"/>
        <v>904</v>
      </c>
      <c r="P15" s="25">
        <f t="shared" si="5"/>
        <v>6412</v>
      </c>
      <c r="Q15" s="25"/>
    </row>
    <row r="16" spans="2:17">
      <c r="B16" s="4">
        <v>2856</v>
      </c>
      <c r="C16" s="4">
        <v>0.48</v>
      </c>
      <c r="D16" s="4">
        <v>803</v>
      </c>
      <c r="E16" s="4">
        <v>4850</v>
      </c>
      <c r="F16" s="4">
        <f t="shared" si="0"/>
        <v>2948.2444159999995</v>
      </c>
      <c r="M16" s="25">
        <v>1</v>
      </c>
      <c r="N16" s="25">
        <f t="shared" ref="N16:P16" si="6">C9</f>
        <v>0.62</v>
      </c>
      <c r="O16" s="25">
        <f t="shared" si="6"/>
        <v>891</v>
      </c>
      <c r="P16" s="25">
        <f t="shared" si="6"/>
        <v>6158</v>
      </c>
      <c r="Q16" s="25"/>
    </row>
    <row r="17" spans="2:17">
      <c r="B17" s="4">
        <v>1677</v>
      </c>
      <c r="C17" s="4">
        <v>0.48</v>
      </c>
      <c r="D17" s="4">
        <v>795</v>
      </c>
      <c r="E17" s="4">
        <v>4826</v>
      </c>
      <c r="F17" s="4">
        <f t="shared" si="0"/>
        <v>2956.1372159999992</v>
      </c>
      <c r="M17" s="25">
        <v>1</v>
      </c>
      <c r="N17" s="25">
        <f t="shared" ref="N17:P17" si="7">C10</f>
        <v>0.59</v>
      </c>
      <c r="O17" s="25">
        <f t="shared" si="7"/>
        <v>865</v>
      </c>
      <c r="P17" s="25">
        <f t="shared" si="7"/>
        <v>6248</v>
      </c>
      <c r="Q17" s="25"/>
    </row>
    <row r="18" spans="2:17">
      <c r="B18" s="4">
        <v>1303</v>
      </c>
      <c r="C18" s="4">
        <v>0.48</v>
      </c>
      <c r="D18" s="4">
        <v>784</v>
      </c>
      <c r="E18" s="4">
        <v>4832</v>
      </c>
      <c r="F18" s="4">
        <f t="shared" si="0"/>
        <v>3028.6449160000002</v>
      </c>
      <c r="M18" s="25">
        <v>1</v>
      </c>
      <c r="N18" s="25">
        <f t="shared" ref="N18:P18" si="8">C11</f>
        <v>0.56000000000000005</v>
      </c>
      <c r="O18" s="25">
        <f t="shared" si="8"/>
        <v>877</v>
      </c>
      <c r="P18" s="25">
        <f t="shared" si="8"/>
        <v>6344</v>
      </c>
      <c r="Q18" s="25"/>
    </row>
    <row r="19" spans="2:17">
      <c r="B19" s="4">
        <v>1502</v>
      </c>
      <c r="C19" s="4">
        <v>0.47</v>
      </c>
      <c r="D19" s="4">
        <v>752</v>
      </c>
      <c r="E19" s="4">
        <v>4482</v>
      </c>
      <c r="F19" s="4">
        <f t="shared" si="0"/>
        <v>2647.9587989999991</v>
      </c>
      <c r="M19" s="25">
        <v>1</v>
      </c>
      <c r="N19" s="25">
        <f t="shared" ref="N19:P19" si="9">C12</f>
        <v>0.53</v>
      </c>
      <c r="O19" s="25">
        <f t="shared" si="9"/>
        <v>862</v>
      </c>
      <c r="P19" s="25">
        <f t="shared" si="9"/>
        <v>6070</v>
      </c>
      <c r="Q19" s="25"/>
    </row>
    <row r="20" spans="2:17">
      <c r="B20" s="4">
        <v>2324</v>
      </c>
      <c r="C20" s="4">
        <v>0.47</v>
      </c>
      <c r="D20" s="4">
        <v>719</v>
      </c>
      <c r="E20" s="4">
        <v>4137</v>
      </c>
      <c r="F20" s="4">
        <f t="shared" si="0"/>
        <v>2291.6151989999989</v>
      </c>
      <c r="M20" s="25">
        <v>1</v>
      </c>
      <c r="N20" s="25">
        <f t="shared" ref="N20:P20" si="10">C13</f>
        <v>0.51</v>
      </c>
      <c r="O20" s="25">
        <f t="shared" si="10"/>
        <v>853</v>
      </c>
      <c r="P20" s="25">
        <f t="shared" si="10"/>
        <v>5829</v>
      </c>
      <c r="Q20" s="25"/>
    </row>
    <row r="21" spans="2:17">
      <c r="B21" s="4">
        <v>1944</v>
      </c>
      <c r="C21" s="4">
        <v>0.47</v>
      </c>
      <c r="D21" s="4">
        <v>688</v>
      </c>
      <c r="E21" s="4">
        <v>3819</v>
      </c>
      <c r="F21" s="4">
        <f t="shared" si="0"/>
        <v>1966.4972989999992</v>
      </c>
      <c r="M21" s="25">
        <v>1</v>
      </c>
      <c r="N21" s="25">
        <f t="shared" ref="N21:P21" si="11">C14</f>
        <v>0.49</v>
      </c>
      <c r="O21" s="25">
        <f t="shared" si="11"/>
        <v>836</v>
      </c>
      <c r="P21" s="25">
        <f t="shared" si="11"/>
        <v>5570</v>
      </c>
      <c r="Q21" s="25"/>
    </row>
    <row r="22" spans="2:17">
      <c r="B22" s="4">
        <v>1940</v>
      </c>
      <c r="C22" s="4">
        <v>0.48</v>
      </c>
      <c r="D22" s="4">
        <v>669</v>
      </c>
      <c r="E22" s="4">
        <v>3584</v>
      </c>
      <c r="F22" s="4">
        <f t="shared" si="0"/>
        <v>1714.5512159999994</v>
      </c>
      <c r="M22" s="25">
        <v>1</v>
      </c>
      <c r="N22" s="25">
        <f t="shared" ref="N22:P22" si="12">C15</f>
        <v>0.48</v>
      </c>
      <c r="O22" s="25">
        <f t="shared" si="12"/>
        <v>846</v>
      </c>
      <c r="P22" s="25">
        <f t="shared" si="12"/>
        <v>5230</v>
      </c>
      <c r="Q22" s="25"/>
    </row>
    <row r="23" spans="2:17">
      <c r="B23" s="4">
        <v>1570</v>
      </c>
      <c r="C23" s="4">
        <v>0.48</v>
      </c>
      <c r="D23" s="4">
        <v>656</v>
      </c>
      <c r="E23" s="4">
        <v>3284</v>
      </c>
      <c r="F23" s="4">
        <f t="shared" si="0"/>
        <v>1314.762115999999</v>
      </c>
      <c r="M23" s="25">
        <v>1</v>
      </c>
      <c r="N23" s="25">
        <f t="shared" ref="N23:P23" si="13">C16</f>
        <v>0.48</v>
      </c>
      <c r="O23" s="25">
        <f t="shared" si="13"/>
        <v>803</v>
      </c>
      <c r="P23" s="25">
        <f t="shared" si="13"/>
        <v>4850</v>
      </c>
      <c r="Q23" s="25"/>
    </row>
    <row r="24" spans="2:17">
      <c r="B24" s="4">
        <v>1186</v>
      </c>
      <c r="C24" s="4">
        <v>0.49</v>
      </c>
      <c r="D24" s="4">
        <v>638</v>
      </c>
      <c r="E24" s="4">
        <v>3316</v>
      </c>
      <c r="F24" s="4">
        <f t="shared" si="0"/>
        <v>1479.1870330000002</v>
      </c>
      <c r="M24" s="25">
        <v>1</v>
      </c>
      <c r="N24" s="25">
        <f t="shared" ref="N24:P24" si="14">C17</f>
        <v>0.48</v>
      </c>
      <c r="O24" s="25">
        <f t="shared" si="14"/>
        <v>795</v>
      </c>
      <c r="P24" s="25">
        <f t="shared" si="14"/>
        <v>4826</v>
      </c>
      <c r="Q24" s="25"/>
    </row>
    <row r="25" spans="2:17">
      <c r="B25" s="4">
        <v>549</v>
      </c>
      <c r="C25" s="4">
        <v>0.49</v>
      </c>
      <c r="D25" s="4">
        <v>627</v>
      </c>
      <c r="E25" s="4">
        <v>3322</v>
      </c>
      <c r="F25" s="4">
        <f t="shared" si="0"/>
        <v>1551.6947329999994</v>
      </c>
      <c r="M25" s="25">
        <v>1</v>
      </c>
      <c r="N25" s="25">
        <f t="shared" ref="N25:P25" si="15">C18</f>
        <v>0.48</v>
      </c>
      <c r="O25" s="25">
        <f t="shared" si="15"/>
        <v>784</v>
      </c>
      <c r="P25" s="25">
        <f t="shared" si="15"/>
        <v>4832</v>
      </c>
      <c r="Q25" s="25"/>
    </row>
    <row r="26" spans="2:17">
      <c r="B26" s="4">
        <v>1032</v>
      </c>
      <c r="C26" s="4">
        <v>0.49</v>
      </c>
      <c r="D26" s="4">
        <v>597</v>
      </c>
      <c r="E26" s="4">
        <v>3012</v>
      </c>
      <c r="F26" s="4">
        <f t="shared" si="0"/>
        <v>1233.4947329999995</v>
      </c>
      <c r="M26" s="25">
        <v>1</v>
      </c>
      <c r="N26" s="25">
        <f t="shared" ref="N26:P26" si="16">C19</f>
        <v>0.47</v>
      </c>
      <c r="O26" s="25">
        <f t="shared" si="16"/>
        <v>752</v>
      </c>
      <c r="P26" s="25">
        <f t="shared" si="16"/>
        <v>4482</v>
      </c>
      <c r="Q26" s="25"/>
    </row>
    <row r="27" spans="2:17">
      <c r="B27" s="4">
        <v>1480</v>
      </c>
      <c r="C27" s="4">
        <v>0.5</v>
      </c>
      <c r="D27" s="4">
        <v>567</v>
      </c>
      <c r="E27" s="4">
        <v>2767</v>
      </c>
      <c r="F27" s="4">
        <f t="shared" si="0"/>
        <v>1028.7619500000001</v>
      </c>
      <c r="M27" s="25">
        <v>1</v>
      </c>
      <c r="N27" s="25">
        <f t="shared" ref="N27:P27" si="17">C20</f>
        <v>0.47</v>
      </c>
      <c r="O27" s="25">
        <f t="shared" si="17"/>
        <v>719</v>
      </c>
      <c r="P27" s="25">
        <f t="shared" si="17"/>
        <v>4137</v>
      </c>
      <c r="Q27" s="25"/>
    </row>
    <row r="28" spans="2:17">
      <c r="B28" s="4">
        <v>1160</v>
      </c>
      <c r="C28" s="4">
        <v>0.5</v>
      </c>
      <c r="D28" s="4">
        <v>536</v>
      </c>
      <c r="E28" s="4">
        <v>2613</v>
      </c>
      <c r="F28" s="4">
        <f t="shared" si="0"/>
        <v>962.91165000000001</v>
      </c>
      <c r="M28" s="25">
        <v>1</v>
      </c>
      <c r="N28" s="25">
        <f t="shared" ref="N28:P28" si="18">C21</f>
        <v>0.47</v>
      </c>
      <c r="O28" s="25">
        <f t="shared" si="18"/>
        <v>688</v>
      </c>
      <c r="P28" s="25">
        <f t="shared" si="18"/>
        <v>3819</v>
      </c>
      <c r="Q28" s="25"/>
    </row>
    <row r="29" spans="2:17">
      <c r="B29" s="4">
        <v>1027</v>
      </c>
      <c r="C29" s="4">
        <v>0.51</v>
      </c>
      <c r="D29" s="4">
        <v>522</v>
      </c>
      <c r="E29" s="4">
        <v>2404</v>
      </c>
      <c r="F29" s="4">
        <f t="shared" si="0"/>
        <v>723.42246699999987</v>
      </c>
      <c r="M29" s="25">
        <v>1</v>
      </c>
      <c r="N29" s="25">
        <f t="shared" ref="N29:P29" si="19">C22</f>
        <v>0.48</v>
      </c>
      <c r="O29" s="25">
        <f t="shared" si="19"/>
        <v>669</v>
      </c>
      <c r="P29" s="25">
        <f t="shared" si="19"/>
        <v>3584</v>
      </c>
      <c r="Q29" s="25"/>
    </row>
    <row r="30" spans="2:17">
      <c r="B30" s="4">
        <v>1071</v>
      </c>
      <c r="C30" s="4">
        <v>0.53</v>
      </c>
      <c r="D30" s="4">
        <v>492</v>
      </c>
      <c r="E30" s="4">
        <v>2180</v>
      </c>
      <c r="F30" s="4">
        <f t="shared" si="0"/>
        <v>562.59730099999979</v>
      </c>
      <c r="M30" s="25">
        <v>1</v>
      </c>
      <c r="N30" s="25">
        <f t="shared" ref="N30:P30" si="20">C23</f>
        <v>0.48</v>
      </c>
      <c r="O30" s="25">
        <f t="shared" si="20"/>
        <v>656</v>
      </c>
      <c r="P30" s="25">
        <f t="shared" si="20"/>
        <v>3284</v>
      </c>
      <c r="Q30" s="25"/>
    </row>
    <row r="31" spans="2:17">
      <c r="B31" s="4">
        <v>718</v>
      </c>
      <c r="C31" s="4">
        <v>0.54</v>
      </c>
      <c r="D31" s="4">
        <v>484</v>
      </c>
      <c r="E31" s="4">
        <v>2165</v>
      </c>
      <c r="F31" s="4">
        <f t="shared" si="0"/>
        <v>595.42691799999966</v>
      </c>
      <c r="M31" s="25">
        <v>1</v>
      </c>
      <c r="N31" s="25">
        <f t="shared" ref="N31:P31" si="21">C24</f>
        <v>0.49</v>
      </c>
      <c r="O31" s="25">
        <f t="shared" si="21"/>
        <v>638</v>
      </c>
      <c r="P31" s="25">
        <f t="shared" si="21"/>
        <v>3316</v>
      </c>
      <c r="Q31" s="25"/>
    </row>
    <row r="32" spans="2:17">
      <c r="B32" s="4">
        <v>394</v>
      </c>
      <c r="C32" s="4">
        <v>0.56000000000000005</v>
      </c>
      <c r="D32" s="4">
        <v>469</v>
      </c>
      <c r="E32" s="4">
        <v>2167</v>
      </c>
      <c r="F32" s="4">
        <f t="shared" si="0"/>
        <v>705.94565199999988</v>
      </c>
      <c r="M32" s="25">
        <v>1</v>
      </c>
      <c r="N32" s="25">
        <f t="shared" ref="N32:P32" si="22">C25</f>
        <v>0.49</v>
      </c>
      <c r="O32" s="25">
        <f t="shared" si="22"/>
        <v>627</v>
      </c>
      <c r="P32" s="25">
        <f t="shared" si="22"/>
        <v>3322</v>
      </c>
      <c r="Q32" s="25"/>
    </row>
    <row r="33" spans="2:17">
      <c r="B33" s="4">
        <v>691</v>
      </c>
      <c r="C33" s="4">
        <v>0.56999999999999995</v>
      </c>
      <c r="D33" s="4">
        <v>446</v>
      </c>
      <c r="E33" s="4">
        <v>1997</v>
      </c>
      <c r="F33" s="4">
        <f t="shared" si="0"/>
        <v>579.67526899999984</v>
      </c>
      <c r="M33" s="25">
        <v>1</v>
      </c>
      <c r="N33" s="25">
        <f t="shared" ref="N33:P33" si="23">C26</f>
        <v>0.49</v>
      </c>
      <c r="O33" s="25">
        <f t="shared" si="23"/>
        <v>597</v>
      </c>
      <c r="P33" s="25">
        <f t="shared" si="23"/>
        <v>3012</v>
      </c>
      <c r="Q33" s="25"/>
    </row>
    <row r="34" spans="2:17">
      <c r="B34" s="4">
        <v>979</v>
      </c>
      <c r="C34" s="4">
        <v>0.59</v>
      </c>
      <c r="D34" s="4">
        <v>415</v>
      </c>
      <c r="E34" s="4">
        <v>1827</v>
      </c>
      <c r="F34" s="4">
        <f t="shared" si="0"/>
        <v>509.94800299999952</v>
      </c>
      <c r="M34" s="25">
        <v>1</v>
      </c>
      <c r="N34" s="25">
        <f t="shared" ref="N34:P34" si="24">C27</f>
        <v>0.5</v>
      </c>
      <c r="O34" s="25">
        <f t="shared" si="24"/>
        <v>567</v>
      </c>
      <c r="P34" s="25">
        <f t="shared" si="24"/>
        <v>2767</v>
      </c>
      <c r="Q34" s="25"/>
    </row>
    <row r="35" spans="2:17">
      <c r="B35" s="4">
        <v>830</v>
      </c>
      <c r="C35" s="4">
        <v>0.61</v>
      </c>
      <c r="D35" s="4">
        <v>399</v>
      </c>
      <c r="E35" s="4">
        <v>1708</v>
      </c>
      <c r="F35" s="4">
        <f t="shared" si="0"/>
        <v>434.90713699999969</v>
      </c>
      <c r="M35" s="25">
        <v>1</v>
      </c>
      <c r="N35" s="25">
        <f t="shared" ref="N35:P35" si="25">C28</f>
        <v>0.5</v>
      </c>
      <c r="O35" s="25">
        <f t="shared" si="25"/>
        <v>536</v>
      </c>
      <c r="P35" s="25">
        <f t="shared" si="25"/>
        <v>2613</v>
      </c>
      <c r="Q35" s="25"/>
    </row>
    <row r="36" spans="2:17">
      <c r="B36" s="4">
        <v>949</v>
      </c>
      <c r="C36" s="4">
        <v>0.64</v>
      </c>
      <c r="D36" s="4">
        <v>383</v>
      </c>
      <c r="E36" s="4">
        <v>1583</v>
      </c>
      <c r="F36" s="4">
        <f t="shared" si="0"/>
        <v>361.08958799999982</v>
      </c>
      <c r="M36" s="25">
        <v>1</v>
      </c>
      <c r="N36" s="25">
        <f t="shared" ref="N36:P36" si="26">C29</f>
        <v>0.51</v>
      </c>
      <c r="O36" s="25">
        <f t="shared" si="26"/>
        <v>522</v>
      </c>
      <c r="P36" s="25">
        <f t="shared" si="26"/>
        <v>2404</v>
      </c>
      <c r="Q36" s="25"/>
    </row>
    <row r="37" spans="2:17">
      <c r="B37" s="4">
        <v>1007</v>
      </c>
      <c r="C37" s="4">
        <v>0.66</v>
      </c>
      <c r="D37" s="4">
        <v>363</v>
      </c>
      <c r="E37" s="4">
        <v>1416</v>
      </c>
      <c r="F37" s="4">
        <f t="shared" si="0"/>
        <v>233.08272199999965</v>
      </c>
      <c r="M37" s="25">
        <v>1</v>
      </c>
      <c r="N37" s="25">
        <f t="shared" ref="N37:P37" si="27">C30</f>
        <v>0.53</v>
      </c>
      <c r="O37" s="25">
        <f t="shared" si="27"/>
        <v>492</v>
      </c>
      <c r="P37" s="25">
        <f t="shared" si="27"/>
        <v>2180</v>
      </c>
      <c r="Q37" s="25"/>
    </row>
    <row r="38" spans="2:17">
      <c r="B38" s="4">
        <v>682</v>
      </c>
      <c r="C38" s="4">
        <v>0.67</v>
      </c>
      <c r="D38" s="4">
        <v>354</v>
      </c>
      <c r="E38" s="4">
        <v>1414</v>
      </c>
      <c r="F38" s="4">
        <f t="shared" si="0"/>
        <v>292.19333899999992</v>
      </c>
      <c r="M38" s="25">
        <v>1</v>
      </c>
      <c r="N38" s="25">
        <f t="shared" ref="N38:P38" si="28">C31</f>
        <v>0.54</v>
      </c>
      <c r="O38" s="25">
        <f t="shared" si="28"/>
        <v>484</v>
      </c>
      <c r="P38" s="25">
        <f t="shared" si="28"/>
        <v>2165</v>
      </c>
      <c r="Q38" s="25"/>
    </row>
    <row r="39" spans="2:17">
      <c r="B39" s="4">
        <v>365</v>
      </c>
      <c r="C39" s="4">
        <v>0.67</v>
      </c>
      <c r="D39" s="4">
        <v>342</v>
      </c>
      <c r="E39" s="4">
        <v>1403</v>
      </c>
      <c r="F39" s="4">
        <f t="shared" si="0"/>
        <v>343.55503899999985</v>
      </c>
      <c r="M39" s="25">
        <v>1</v>
      </c>
      <c r="N39" s="25">
        <f t="shared" ref="N39:P39" si="29">C32</f>
        <v>0.56000000000000005</v>
      </c>
      <c r="O39" s="25">
        <f t="shared" si="29"/>
        <v>469</v>
      </c>
      <c r="P39" s="25">
        <f t="shared" si="29"/>
        <v>2167</v>
      </c>
      <c r="Q39" s="25"/>
    </row>
    <row r="40" spans="2:17">
      <c r="B40" s="4">
        <v>847</v>
      </c>
      <c r="C40" s="4">
        <v>0.67</v>
      </c>
      <c r="D40" s="4">
        <v>312</v>
      </c>
      <c r="E40" s="4">
        <v>1278</v>
      </c>
      <c r="F40" s="4">
        <f t="shared" si="0"/>
        <v>317.8215389999998</v>
      </c>
      <c r="M40" s="25">
        <v>1</v>
      </c>
      <c r="N40" s="25">
        <f t="shared" ref="N40:P40" si="30">C33</f>
        <v>0.56999999999999995</v>
      </c>
      <c r="O40" s="25">
        <f t="shared" si="30"/>
        <v>446</v>
      </c>
      <c r="P40" s="25">
        <f t="shared" si="30"/>
        <v>1997</v>
      </c>
      <c r="Q40" s="25"/>
    </row>
    <row r="41" spans="2:17">
      <c r="B41" s="4">
        <v>642</v>
      </c>
      <c r="C41" s="4">
        <v>0.65</v>
      </c>
      <c r="D41" s="4">
        <v>283</v>
      </c>
      <c r="E41" s="4">
        <v>1201</v>
      </c>
      <c r="F41" s="4">
        <f t="shared" si="0"/>
        <v>340.82450499999959</v>
      </c>
      <c r="M41" s="25">
        <v>1</v>
      </c>
      <c r="N41" s="25">
        <f t="shared" ref="N41:P41" si="31">C34</f>
        <v>0.59</v>
      </c>
      <c r="O41" s="25">
        <f t="shared" si="31"/>
        <v>415</v>
      </c>
      <c r="P41" s="25">
        <f t="shared" si="31"/>
        <v>1827</v>
      </c>
      <c r="Q41" s="25"/>
    </row>
    <row r="42" spans="2:17">
      <c r="B42" s="4">
        <v>627</v>
      </c>
      <c r="C42" s="4">
        <v>0.65</v>
      </c>
      <c r="D42" s="4">
        <v>273</v>
      </c>
      <c r="E42" s="4">
        <v>1102</v>
      </c>
      <c r="F42" s="4">
        <f t="shared" si="0"/>
        <v>241.60840499999972</v>
      </c>
      <c r="M42" s="25">
        <v>1</v>
      </c>
      <c r="N42" s="25">
        <f t="shared" ref="N42:P42" si="32">C35</f>
        <v>0.61</v>
      </c>
      <c r="O42" s="25">
        <f t="shared" si="32"/>
        <v>399</v>
      </c>
      <c r="P42" s="25">
        <f t="shared" si="32"/>
        <v>1708</v>
      </c>
      <c r="Q42" s="25"/>
    </row>
    <row r="43" spans="2:17">
      <c r="B43" s="4">
        <v>577</v>
      </c>
      <c r="C43" s="4">
        <v>0.66</v>
      </c>
      <c r="D43" s="4">
        <v>266</v>
      </c>
      <c r="E43" s="4">
        <v>1046</v>
      </c>
      <c r="F43" s="4">
        <f t="shared" si="0"/>
        <v>203.89182200000005</v>
      </c>
      <c r="M43" s="25">
        <v>1</v>
      </c>
      <c r="N43" s="25">
        <f t="shared" ref="N43:P43" si="33">C36</f>
        <v>0.64</v>
      </c>
      <c r="O43" s="25">
        <f t="shared" si="33"/>
        <v>383</v>
      </c>
      <c r="P43" s="25">
        <f t="shared" si="33"/>
        <v>1583</v>
      </c>
      <c r="Q43" s="25"/>
    </row>
    <row r="44" spans="2:17">
      <c r="B44" s="4">
        <v>564</v>
      </c>
      <c r="C44" s="4">
        <v>0.68</v>
      </c>
      <c r="D44" s="4">
        <v>253</v>
      </c>
      <c r="E44" s="4">
        <v>980</v>
      </c>
      <c r="F44" s="4">
        <f t="shared" si="0"/>
        <v>195.45075599999973</v>
      </c>
      <c r="M44" s="25">
        <v>1</v>
      </c>
      <c r="N44" s="25">
        <f t="shared" ref="N44:P44" si="34">C37</f>
        <v>0.66</v>
      </c>
      <c r="O44" s="25">
        <f t="shared" si="34"/>
        <v>363</v>
      </c>
      <c r="P44" s="25">
        <f t="shared" si="34"/>
        <v>1416</v>
      </c>
      <c r="Q44" s="25"/>
    </row>
    <row r="45" spans="2:17">
      <c r="B45" s="4">
        <v>541</v>
      </c>
      <c r="C45" s="4">
        <v>0.69</v>
      </c>
      <c r="D45" s="4">
        <v>242</v>
      </c>
      <c r="E45" s="4">
        <v>976</v>
      </c>
      <c r="F45" s="4">
        <f t="shared" si="0"/>
        <v>262.85817299999962</v>
      </c>
      <c r="M45" s="25">
        <v>1</v>
      </c>
      <c r="N45" s="25">
        <f t="shared" ref="N45:P45" si="35">C38</f>
        <v>0.67</v>
      </c>
      <c r="O45" s="25">
        <f t="shared" si="35"/>
        <v>354</v>
      </c>
      <c r="P45" s="25">
        <f t="shared" si="35"/>
        <v>1414</v>
      </c>
      <c r="Q45" s="25"/>
    </row>
    <row r="46" spans="2:17">
      <c r="B46" s="4">
        <v>256</v>
      </c>
      <c r="C46" s="4">
        <v>0.7</v>
      </c>
      <c r="D46" s="4">
        <v>231</v>
      </c>
      <c r="E46" s="4">
        <v>996</v>
      </c>
      <c r="F46" s="4">
        <f t="shared" si="0"/>
        <v>368.20718999999963</v>
      </c>
      <c r="M46" s="25">
        <v>1</v>
      </c>
      <c r="N46" s="25">
        <f t="shared" ref="N46:P46" si="36">C39</f>
        <v>0.67</v>
      </c>
      <c r="O46" s="25">
        <f t="shared" si="36"/>
        <v>342</v>
      </c>
      <c r="P46" s="25">
        <f t="shared" si="36"/>
        <v>1403</v>
      </c>
      <c r="Q46" s="25"/>
    </row>
    <row r="47" spans="2:17">
      <c r="B47" s="4">
        <v>384</v>
      </c>
      <c r="C47" s="4">
        <v>0.71</v>
      </c>
      <c r="D47" s="4">
        <v>213</v>
      </c>
      <c r="E47" s="4">
        <v>955</v>
      </c>
      <c r="F47" s="4">
        <f t="shared" si="0"/>
        <v>417.22640699999943</v>
      </c>
      <c r="M47" s="25">
        <v>1</v>
      </c>
      <c r="N47" s="25">
        <f t="shared" ref="N47:P47" si="37">C40</f>
        <v>0.67</v>
      </c>
      <c r="O47" s="25">
        <f t="shared" si="37"/>
        <v>312</v>
      </c>
      <c r="P47" s="25">
        <f t="shared" si="37"/>
        <v>1278</v>
      </c>
      <c r="Q47" s="25"/>
    </row>
    <row r="48" spans="2:17">
      <c r="B48" s="4">
        <v>673</v>
      </c>
      <c r="C48" s="4">
        <v>0.72</v>
      </c>
      <c r="D48" s="4">
        <v>205</v>
      </c>
      <c r="E48" s="4">
        <v>856</v>
      </c>
      <c r="F48" s="4">
        <f t="shared" si="0"/>
        <v>317.26042399999983</v>
      </c>
      <c r="M48" s="25">
        <v>1</v>
      </c>
      <c r="N48" s="25">
        <f t="shared" ref="N48:P48" si="38">C41</f>
        <v>0.65</v>
      </c>
      <c r="O48" s="25">
        <f t="shared" si="38"/>
        <v>283</v>
      </c>
      <c r="P48" s="25">
        <f t="shared" si="38"/>
        <v>1201</v>
      </c>
      <c r="Q48" s="25"/>
    </row>
    <row r="49" spans="2:140">
      <c r="B49" s="4">
        <v>485</v>
      </c>
      <c r="C49" s="4">
        <v>0.74</v>
      </c>
      <c r="D49" s="4">
        <v>187</v>
      </c>
      <c r="E49" s="4">
        <v>828</v>
      </c>
      <c r="F49" s="4">
        <f t="shared" si="0"/>
        <v>397.54005799999982</v>
      </c>
      <c r="M49" s="25">
        <v>1</v>
      </c>
      <c r="N49" s="25">
        <f t="shared" ref="N49:P49" si="39">C42</f>
        <v>0.65</v>
      </c>
      <c r="O49" s="25">
        <f t="shared" si="39"/>
        <v>273</v>
      </c>
      <c r="P49" s="25">
        <f t="shared" si="39"/>
        <v>1102</v>
      </c>
      <c r="Q49" s="25"/>
    </row>
    <row r="50" spans="2:140">
      <c r="B50" s="4">
        <v>568</v>
      </c>
      <c r="C50" s="4">
        <v>0.76</v>
      </c>
      <c r="D50" s="4">
        <v>182</v>
      </c>
      <c r="E50" s="4">
        <v>789</v>
      </c>
      <c r="F50" s="4">
        <f t="shared" si="0"/>
        <v>385.94889199999977</v>
      </c>
      <c r="M50" s="25">
        <v>1</v>
      </c>
      <c r="N50" s="25">
        <f t="shared" ref="N50:P50" si="40">C43</f>
        <v>0.66</v>
      </c>
      <c r="O50" s="25">
        <f t="shared" si="40"/>
        <v>266</v>
      </c>
      <c r="P50" s="25">
        <f t="shared" si="40"/>
        <v>1046</v>
      </c>
      <c r="Q50" s="25"/>
    </row>
    <row r="51" spans="2:140">
      <c r="B51" s="4">
        <v>457</v>
      </c>
      <c r="C51" s="4">
        <v>0.77</v>
      </c>
      <c r="D51" s="4">
        <v>170</v>
      </c>
      <c r="E51" s="4">
        <v>744</v>
      </c>
      <c r="F51" s="4">
        <f t="shared" si="0"/>
        <v>394.26870899999983</v>
      </c>
      <c r="M51" s="25">
        <v>1</v>
      </c>
      <c r="N51" s="25">
        <f t="shared" ref="N51:P51" si="41">C44</f>
        <v>0.68</v>
      </c>
      <c r="O51" s="25">
        <f t="shared" si="41"/>
        <v>253</v>
      </c>
      <c r="P51" s="25">
        <f t="shared" si="41"/>
        <v>980</v>
      </c>
      <c r="Q51" s="25"/>
    </row>
    <row r="52" spans="2:140">
      <c r="B52" s="4">
        <v>450</v>
      </c>
      <c r="C52" s="4">
        <v>0.79</v>
      </c>
      <c r="D52" s="4">
        <v>170</v>
      </c>
      <c r="E52" s="4">
        <v>765</v>
      </c>
      <c r="F52" s="4">
        <f t="shared" si="0"/>
        <v>448.885043</v>
      </c>
      <c r="M52" s="25">
        <v>1</v>
      </c>
      <c r="N52" s="25">
        <f t="shared" ref="N52:P52" si="42">C45</f>
        <v>0.69</v>
      </c>
      <c r="O52" s="25">
        <f t="shared" si="42"/>
        <v>242</v>
      </c>
      <c r="P52" s="25">
        <f t="shared" si="42"/>
        <v>976</v>
      </c>
      <c r="Q52" s="25"/>
    </row>
    <row r="53" spans="2:140">
      <c r="B53" s="4">
        <v>248</v>
      </c>
      <c r="C53" s="4">
        <v>0.8</v>
      </c>
      <c r="D53" s="4">
        <v>165</v>
      </c>
      <c r="E53" s="4">
        <v>771</v>
      </c>
      <c r="F53" s="4">
        <f t="shared" si="0"/>
        <v>497.72565999999995</v>
      </c>
      <c r="M53" s="25">
        <v>1</v>
      </c>
      <c r="N53" s="25">
        <f t="shared" ref="N53:P53" si="43">C46</f>
        <v>0.7</v>
      </c>
      <c r="O53" s="25">
        <f t="shared" si="43"/>
        <v>231</v>
      </c>
      <c r="P53" s="25">
        <f t="shared" si="43"/>
        <v>996</v>
      </c>
      <c r="Q53" s="25"/>
    </row>
    <row r="54" spans="2:140">
      <c r="B54" s="4">
        <v>434</v>
      </c>
      <c r="C54" s="4">
        <v>0.81</v>
      </c>
      <c r="D54" s="4">
        <v>159</v>
      </c>
      <c r="E54" s="4">
        <v>743</v>
      </c>
      <c r="F54" s="4">
        <f t="shared" si="0"/>
        <v>498.5449769999999</v>
      </c>
      <c r="M54" s="25">
        <v>1</v>
      </c>
      <c r="N54" s="25">
        <f t="shared" ref="N54:P54" si="44">C47</f>
        <v>0.71</v>
      </c>
      <c r="O54" s="25">
        <f t="shared" si="44"/>
        <v>213</v>
      </c>
      <c r="P54" s="25">
        <f t="shared" si="44"/>
        <v>955</v>
      </c>
      <c r="Q54" s="25"/>
    </row>
    <row r="55" spans="2:140">
      <c r="B55" s="4">
        <v>575</v>
      </c>
      <c r="C55" s="4">
        <v>0.82</v>
      </c>
      <c r="D55" s="4">
        <v>155</v>
      </c>
      <c r="E55" s="4">
        <v>712</v>
      </c>
      <c r="F55" s="4">
        <f t="shared" si="0"/>
        <v>483.16299399999969</v>
      </c>
      <c r="M55" s="25">
        <v>1</v>
      </c>
      <c r="N55" s="25">
        <f t="shared" ref="N55:P55" si="45">C48</f>
        <v>0.72</v>
      </c>
      <c r="O55" s="25">
        <f t="shared" si="45"/>
        <v>205</v>
      </c>
      <c r="P55" s="25">
        <f t="shared" si="45"/>
        <v>856</v>
      </c>
      <c r="Q55" s="25"/>
    </row>
    <row r="56" spans="2:140">
      <c r="B56" s="4">
        <v>423</v>
      </c>
      <c r="C56" s="4">
        <v>0.83</v>
      </c>
      <c r="D56" s="4">
        <v>154</v>
      </c>
      <c r="E56" s="4">
        <v>695</v>
      </c>
      <c r="F56" s="4">
        <f t="shared" si="0"/>
        <v>472.72571099999982</v>
      </c>
      <c r="M56" s="25">
        <v>1</v>
      </c>
      <c r="N56" s="25">
        <f t="shared" ref="N56:P56" si="46">C49</f>
        <v>0.74</v>
      </c>
      <c r="O56" s="25">
        <f t="shared" si="46"/>
        <v>187</v>
      </c>
      <c r="P56" s="25">
        <f t="shared" si="46"/>
        <v>828</v>
      </c>
      <c r="Q56" s="25"/>
      <c r="U56">
        <f t="array" ref="U56:EJ59">TRANSPOSE(M11:P130)</f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</row>
    <row r="57" spans="2:140">
      <c r="B57" s="4">
        <v>488</v>
      </c>
      <c r="C57" s="4">
        <v>0.84</v>
      </c>
      <c r="D57" s="4">
        <v>155</v>
      </c>
      <c r="E57" s="4">
        <v>669</v>
      </c>
      <c r="F57" s="4">
        <f t="shared" si="0"/>
        <v>436.60172799999987</v>
      </c>
      <c r="M57" s="25">
        <v>1</v>
      </c>
      <c r="N57" s="25">
        <f t="shared" ref="N57:P57" si="47">C50</f>
        <v>0.76</v>
      </c>
      <c r="O57" s="25">
        <f t="shared" si="47"/>
        <v>182</v>
      </c>
      <c r="P57" s="25">
        <f t="shared" si="47"/>
        <v>789</v>
      </c>
      <c r="Q57" s="25"/>
      <c r="U57">
        <v>0.82</v>
      </c>
      <c r="V57">
        <v>0.76</v>
      </c>
      <c r="W57">
        <v>0.71</v>
      </c>
      <c r="X57">
        <v>0.67</v>
      </c>
      <c r="Y57">
        <v>0.64</v>
      </c>
      <c r="Z57">
        <v>0.62</v>
      </c>
      <c r="AA57">
        <v>0.59</v>
      </c>
      <c r="AB57">
        <v>0.56000000000000005</v>
      </c>
      <c r="AC57">
        <v>0.53</v>
      </c>
      <c r="AD57">
        <v>0.51</v>
      </c>
      <c r="AE57">
        <v>0.49</v>
      </c>
      <c r="AF57">
        <v>0.48</v>
      </c>
      <c r="AG57">
        <v>0.48</v>
      </c>
      <c r="AH57">
        <v>0.48</v>
      </c>
      <c r="AI57">
        <v>0.48</v>
      </c>
      <c r="AJ57">
        <v>0.47</v>
      </c>
      <c r="AK57">
        <v>0.47</v>
      </c>
      <c r="AL57">
        <v>0.47</v>
      </c>
      <c r="AM57">
        <v>0.48</v>
      </c>
      <c r="AN57">
        <v>0.48</v>
      </c>
      <c r="AO57">
        <v>0.49</v>
      </c>
      <c r="AP57">
        <v>0.49</v>
      </c>
      <c r="AQ57">
        <v>0.49</v>
      </c>
      <c r="AR57">
        <v>0.5</v>
      </c>
      <c r="AS57">
        <v>0.5</v>
      </c>
      <c r="AT57">
        <v>0.51</v>
      </c>
      <c r="AU57">
        <v>0.53</v>
      </c>
      <c r="AV57">
        <v>0.54</v>
      </c>
      <c r="AW57">
        <v>0.56000000000000005</v>
      </c>
      <c r="AX57">
        <v>0.56999999999999995</v>
      </c>
      <c r="AY57">
        <v>0.59</v>
      </c>
      <c r="AZ57">
        <v>0.61</v>
      </c>
      <c r="BA57">
        <v>0.64</v>
      </c>
      <c r="BB57">
        <v>0.66</v>
      </c>
      <c r="BC57">
        <v>0.67</v>
      </c>
      <c r="BD57">
        <v>0.67</v>
      </c>
      <c r="BE57">
        <v>0.67</v>
      </c>
      <c r="BF57">
        <v>0.65</v>
      </c>
      <c r="BG57">
        <v>0.65</v>
      </c>
      <c r="BH57">
        <v>0.66</v>
      </c>
      <c r="BI57">
        <v>0.68</v>
      </c>
      <c r="BJ57">
        <v>0.69</v>
      </c>
      <c r="BK57">
        <v>0.7</v>
      </c>
      <c r="BL57">
        <v>0.71</v>
      </c>
      <c r="BM57">
        <v>0.72</v>
      </c>
      <c r="BN57">
        <v>0.74</v>
      </c>
      <c r="BO57">
        <v>0.76</v>
      </c>
      <c r="BP57">
        <v>0.77</v>
      </c>
      <c r="BQ57">
        <v>0.79</v>
      </c>
      <c r="BR57">
        <v>0.8</v>
      </c>
      <c r="BS57">
        <v>0.81</v>
      </c>
      <c r="BT57">
        <v>0.82</v>
      </c>
      <c r="BU57">
        <v>0.83</v>
      </c>
      <c r="BV57">
        <v>0.84</v>
      </c>
      <c r="BW57">
        <v>0.86</v>
      </c>
      <c r="BX57">
        <v>0.89</v>
      </c>
      <c r="BY57">
        <v>0.92</v>
      </c>
      <c r="BZ57">
        <v>0.94</v>
      </c>
      <c r="CA57">
        <v>0.97</v>
      </c>
      <c r="CB57">
        <v>0.98</v>
      </c>
      <c r="CC57">
        <v>0.98</v>
      </c>
      <c r="CD57">
        <v>0.97</v>
      </c>
      <c r="CE57">
        <v>1</v>
      </c>
      <c r="CF57">
        <v>1.06</v>
      </c>
      <c r="CG57">
        <v>1.1399999999999999</v>
      </c>
      <c r="CH57">
        <v>1.1399999999999999</v>
      </c>
      <c r="CI57">
        <v>1.1299999999999999</v>
      </c>
      <c r="CJ57">
        <v>1.1200000000000001</v>
      </c>
      <c r="CK57">
        <v>1.1000000000000001</v>
      </c>
      <c r="CL57">
        <v>1.07</v>
      </c>
      <c r="CM57">
        <v>1.04</v>
      </c>
      <c r="CN57">
        <v>1.01</v>
      </c>
      <c r="CO57">
        <v>1.01</v>
      </c>
      <c r="CP57">
        <v>1</v>
      </c>
      <c r="CQ57">
        <v>1</v>
      </c>
      <c r="CR57">
        <v>1</v>
      </c>
      <c r="CS57">
        <v>0.99</v>
      </c>
      <c r="CT57">
        <v>0.98</v>
      </c>
      <c r="CU57">
        <v>0.97</v>
      </c>
      <c r="CV57">
        <v>0.97</v>
      </c>
      <c r="CW57">
        <v>0.97</v>
      </c>
      <c r="CX57">
        <v>0.96</v>
      </c>
      <c r="CY57">
        <v>0.96</v>
      </c>
      <c r="CZ57">
        <v>0.94</v>
      </c>
      <c r="DA57">
        <v>0.92</v>
      </c>
      <c r="DB57">
        <v>0.91</v>
      </c>
      <c r="DC57">
        <v>0.9</v>
      </c>
      <c r="DD57">
        <v>0.89</v>
      </c>
      <c r="DE57">
        <v>0.88</v>
      </c>
      <c r="DF57">
        <v>0.87</v>
      </c>
      <c r="DG57">
        <v>0.86</v>
      </c>
      <c r="DH57">
        <v>0.86</v>
      </c>
      <c r="DI57">
        <v>0.85</v>
      </c>
      <c r="DJ57">
        <v>0.85</v>
      </c>
      <c r="DK57">
        <v>0.87</v>
      </c>
      <c r="DL57">
        <v>0.89</v>
      </c>
      <c r="DM57">
        <v>0.91</v>
      </c>
      <c r="DN57">
        <v>0.93</v>
      </c>
      <c r="DO57">
        <v>0.95</v>
      </c>
      <c r="DP57">
        <v>0.97</v>
      </c>
      <c r="DQ57">
        <v>1</v>
      </c>
      <c r="DR57">
        <v>1.02</v>
      </c>
      <c r="DS57">
        <v>1.04</v>
      </c>
      <c r="DT57">
        <v>1.05</v>
      </c>
      <c r="DU57">
        <v>1.06</v>
      </c>
      <c r="DV57">
        <v>1.07</v>
      </c>
      <c r="DW57">
        <v>1.08</v>
      </c>
      <c r="DX57">
        <v>1.0900000000000001</v>
      </c>
      <c r="DY57">
        <v>1.1000000000000001</v>
      </c>
      <c r="DZ57">
        <v>1.1200000000000001</v>
      </c>
      <c r="EA57">
        <v>1.1200000000000001</v>
      </c>
      <c r="EB57">
        <v>1.1200000000000001</v>
      </c>
      <c r="EC57">
        <v>1.1100000000000001</v>
      </c>
      <c r="ED57">
        <v>1.1200000000000001</v>
      </c>
      <c r="EE57">
        <v>1.1299999999999999</v>
      </c>
      <c r="EF57">
        <v>1.1399999999999999</v>
      </c>
      <c r="EG57">
        <v>1.1599999999999999</v>
      </c>
      <c r="EH57">
        <v>1.1599999999999999</v>
      </c>
      <c r="EI57">
        <v>1.1599999999999999</v>
      </c>
      <c r="EJ57">
        <v>1.1599999999999999</v>
      </c>
    </row>
    <row r="58" spans="2:140">
      <c r="B58" s="4">
        <v>344</v>
      </c>
      <c r="C58" s="4">
        <v>0.86</v>
      </c>
      <c r="D58" s="4">
        <v>148</v>
      </c>
      <c r="E58" s="4">
        <v>618</v>
      </c>
      <c r="F58" s="4">
        <f t="shared" si="0"/>
        <v>417.4983619999997</v>
      </c>
      <c r="M58" s="25">
        <v>1</v>
      </c>
      <c r="N58" s="25">
        <f t="shared" ref="N58:P58" si="48">C51</f>
        <v>0.77</v>
      </c>
      <c r="O58" s="25">
        <f t="shared" si="48"/>
        <v>170</v>
      </c>
      <c r="P58" s="25">
        <f t="shared" si="48"/>
        <v>744</v>
      </c>
      <c r="Q58" s="25"/>
      <c r="U58">
        <v>865</v>
      </c>
      <c r="V58">
        <v>852</v>
      </c>
      <c r="W58">
        <v>877</v>
      </c>
      <c r="X58">
        <v>863</v>
      </c>
      <c r="Y58">
        <v>904</v>
      </c>
      <c r="Z58">
        <v>891</v>
      </c>
      <c r="AA58">
        <v>865</v>
      </c>
      <c r="AB58">
        <v>877</v>
      </c>
      <c r="AC58">
        <v>862</v>
      </c>
      <c r="AD58">
        <v>853</v>
      </c>
      <c r="AE58">
        <v>836</v>
      </c>
      <c r="AF58">
        <v>846</v>
      </c>
      <c r="AG58">
        <v>803</v>
      </c>
      <c r="AH58">
        <v>795</v>
      </c>
      <c r="AI58">
        <v>784</v>
      </c>
      <c r="AJ58">
        <v>752</v>
      </c>
      <c r="AK58">
        <v>719</v>
      </c>
      <c r="AL58">
        <v>688</v>
      </c>
      <c r="AM58">
        <v>669</v>
      </c>
      <c r="AN58">
        <v>656</v>
      </c>
      <c r="AO58">
        <v>638</v>
      </c>
      <c r="AP58">
        <v>627</v>
      </c>
      <c r="AQ58">
        <v>597</v>
      </c>
      <c r="AR58">
        <v>567</v>
      </c>
      <c r="AS58">
        <v>536</v>
      </c>
      <c r="AT58">
        <v>522</v>
      </c>
      <c r="AU58">
        <v>492</v>
      </c>
      <c r="AV58">
        <v>484</v>
      </c>
      <c r="AW58">
        <v>469</v>
      </c>
      <c r="AX58">
        <v>446</v>
      </c>
      <c r="AY58">
        <v>415</v>
      </c>
      <c r="AZ58">
        <v>399</v>
      </c>
      <c r="BA58">
        <v>383</v>
      </c>
      <c r="BB58">
        <v>363</v>
      </c>
      <c r="BC58">
        <v>354</v>
      </c>
      <c r="BD58">
        <v>342</v>
      </c>
      <c r="BE58">
        <v>312</v>
      </c>
      <c r="BF58">
        <v>283</v>
      </c>
      <c r="BG58">
        <v>273</v>
      </c>
      <c r="BH58">
        <v>266</v>
      </c>
      <c r="BI58">
        <v>253</v>
      </c>
      <c r="BJ58">
        <v>242</v>
      </c>
      <c r="BK58">
        <v>231</v>
      </c>
      <c r="BL58">
        <v>213</v>
      </c>
      <c r="BM58">
        <v>205</v>
      </c>
      <c r="BN58">
        <v>187</v>
      </c>
      <c r="BO58">
        <v>182</v>
      </c>
      <c r="BP58">
        <v>170</v>
      </c>
      <c r="BQ58">
        <v>170</v>
      </c>
      <c r="BR58">
        <v>165</v>
      </c>
      <c r="BS58">
        <v>159</v>
      </c>
      <c r="BT58">
        <v>155</v>
      </c>
      <c r="BU58">
        <v>154</v>
      </c>
      <c r="BV58">
        <v>155</v>
      </c>
      <c r="BW58">
        <v>148</v>
      </c>
      <c r="BX58">
        <v>142</v>
      </c>
      <c r="BY58">
        <v>136</v>
      </c>
      <c r="BZ58">
        <v>129</v>
      </c>
      <c r="CA58">
        <v>127</v>
      </c>
      <c r="CB58">
        <v>129</v>
      </c>
      <c r="CC58">
        <v>131</v>
      </c>
      <c r="CD58">
        <v>126</v>
      </c>
      <c r="CE58">
        <v>117</v>
      </c>
      <c r="CF58">
        <v>112</v>
      </c>
      <c r="CG58">
        <v>113</v>
      </c>
      <c r="CH58">
        <v>116</v>
      </c>
      <c r="CI58">
        <v>122</v>
      </c>
      <c r="CJ58">
        <v>128</v>
      </c>
      <c r="CK58">
        <v>119</v>
      </c>
      <c r="CL58">
        <v>113</v>
      </c>
      <c r="CM58">
        <v>119</v>
      </c>
      <c r="CN58">
        <v>118</v>
      </c>
      <c r="CO58">
        <v>116</v>
      </c>
      <c r="CP58">
        <v>109</v>
      </c>
      <c r="CQ58">
        <v>101</v>
      </c>
      <c r="CR58">
        <v>103</v>
      </c>
      <c r="CS58">
        <v>109</v>
      </c>
      <c r="CT58">
        <v>112</v>
      </c>
      <c r="CU58">
        <v>113</v>
      </c>
      <c r="CV58">
        <v>110</v>
      </c>
      <c r="CW58">
        <v>104</v>
      </c>
      <c r="CX58">
        <v>98</v>
      </c>
      <c r="CY58">
        <v>98</v>
      </c>
      <c r="CZ58">
        <v>98</v>
      </c>
      <c r="DA58">
        <v>91</v>
      </c>
      <c r="DB58">
        <v>86</v>
      </c>
      <c r="DC58">
        <v>88</v>
      </c>
      <c r="DD58">
        <v>89</v>
      </c>
      <c r="DE58">
        <v>89</v>
      </c>
      <c r="DF58">
        <v>84</v>
      </c>
      <c r="DG58">
        <v>85</v>
      </c>
      <c r="DH58">
        <v>90</v>
      </c>
      <c r="DI58">
        <v>87</v>
      </c>
      <c r="DJ58">
        <v>83</v>
      </c>
      <c r="DK58">
        <v>77</v>
      </c>
      <c r="DL58">
        <v>75</v>
      </c>
      <c r="DM58">
        <v>74</v>
      </c>
      <c r="DN58">
        <v>74</v>
      </c>
      <c r="DO58">
        <v>73</v>
      </c>
      <c r="DP58">
        <v>71</v>
      </c>
      <c r="DQ58">
        <v>71</v>
      </c>
      <c r="DR58">
        <v>70</v>
      </c>
      <c r="DS58">
        <v>72</v>
      </c>
      <c r="DT58">
        <v>71</v>
      </c>
      <c r="DU58">
        <v>76</v>
      </c>
      <c r="DV58">
        <v>72</v>
      </c>
      <c r="DW58">
        <v>66</v>
      </c>
      <c r="DX58">
        <v>56</v>
      </c>
      <c r="DY58">
        <v>58</v>
      </c>
      <c r="DZ58">
        <v>55</v>
      </c>
      <c r="EA58">
        <v>59</v>
      </c>
      <c r="EB58">
        <v>58</v>
      </c>
      <c r="EC58">
        <v>57</v>
      </c>
      <c r="ED58">
        <v>52</v>
      </c>
      <c r="EE58">
        <v>53</v>
      </c>
      <c r="EF58">
        <v>53</v>
      </c>
      <c r="EG58">
        <v>52</v>
      </c>
      <c r="EH58">
        <v>49</v>
      </c>
      <c r="EI58">
        <v>54</v>
      </c>
      <c r="EJ58">
        <v>52</v>
      </c>
    </row>
    <row r="59" spans="2:140">
      <c r="B59" s="4">
        <v>365</v>
      </c>
      <c r="C59" s="4">
        <v>0.89</v>
      </c>
      <c r="D59" s="4">
        <v>142</v>
      </c>
      <c r="E59" s="4">
        <v>633</v>
      </c>
      <c r="F59" s="4">
        <f t="shared" si="0"/>
        <v>507.71381299999985</v>
      </c>
      <c r="M59" s="25">
        <v>1</v>
      </c>
      <c r="N59" s="25">
        <f t="shared" ref="N59:P59" si="49">C52</f>
        <v>0.79</v>
      </c>
      <c r="O59" s="25">
        <f t="shared" si="49"/>
        <v>170</v>
      </c>
      <c r="P59" s="25">
        <f t="shared" si="49"/>
        <v>765</v>
      </c>
      <c r="Q59" s="25"/>
      <c r="U59">
        <v>6869</v>
      </c>
      <c r="V59">
        <v>6775</v>
      </c>
      <c r="W59">
        <v>6684</v>
      </c>
      <c r="X59">
        <v>6496</v>
      </c>
      <c r="Y59">
        <v>6412</v>
      </c>
      <c r="Z59">
        <v>6158</v>
      </c>
      <c r="AA59">
        <v>6248</v>
      </c>
      <c r="AB59">
        <v>6344</v>
      </c>
      <c r="AC59">
        <v>6070</v>
      </c>
      <c r="AD59">
        <v>5829</v>
      </c>
      <c r="AE59">
        <v>5570</v>
      </c>
      <c r="AF59">
        <v>5230</v>
      </c>
      <c r="AG59">
        <v>4850</v>
      </c>
      <c r="AH59">
        <v>4826</v>
      </c>
      <c r="AI59">
        <v>4832</v>
      </c>
      <c r="AJ59">
        <v>4482</v>
      </c>
      <c r="AK59">
        <v>4137</v>
      </c>
      <c r="AL59">
        <v>3819</v>
      </c>
      <c r="AM59">
        <v>3584</v>
      </c>
      <c r="AN59">
        <v>3284</v>
      </c>
      <c r="AO59">
        <v>3316</v>
      </c>
      <c r="AP59">
        <v>3322</v>
      </c>
      <c r="AQ59">
        <v>3012</v>
      </c>
      <c r="AR59">
        <v>2767</v>
      </c>
      <c r="AS59">
        <v>2613</v>
      </c>
      <c r="AT59">
        <v>2404</v>
      </c>
      <c r="AU59">
        <v>2180</v>
      </c>
      <c r="AV59">
        <v>2165</v>
      </c>
      <c r="AW59">
        <v>2167</v>
      </c>
      <c r="AX59">
        <v>1997</v>
      </c>
      <c r="AY59">
        <v>1827</v>
      </c>
      <c r="AZ59">
        <v>1708</v>
      </c>
      <c r="BA59">
        <v>1583</v>
      </c>
      <c r="BB59">
        <v>1416</v>
      </c>
      <c r="BC59">
        <v>1414</v>
      </c>
      <c r="BD59">
        <v>1403</v>
      </c>
      <c r="BE59">
        <v>1278</v>
      </c>
      <c r="BF59">
        <v>1201</v>
      </c>
      <c r="BG59">
        <v>1102</v>
      </c>
      <c r="BH59">
        <v>1046</v>
      </c>
      <c r="BI59">
        <v>980</v>
      </c>
      <c r="BJ59">
        <v>976</v>
      </c>
      <c r="BK59">
        <v>996</v>
      </c>
      <c r="BL59">
        <v>955</v>
      </c>
      <c r="BM59">
        <v>856</v>
      </c>
      <c r="BN59">
        <v>828</v>
      </c>
      <c r="BO59">
        <v>789</v>
      </c>
      <c r="BP59">
        <v>744</v>
      </c>
      <c r="BQ59">
        <v>765</v>
      </c>
      <c r="BR59">
        <v>771</v>
      </c>
      <c r="BS59">
        <v>743</v>
      </c>
      <c r="BT59">
        <v>712</v>
      </c>
      <c r="BU59">
        <v>695</v>
      </c>
      <c r="BV59">
        <v>669</v>
      </c>
      <c r="BW59">
        <v>618</v>
      </c>
      <c r="BX59">
        <v>633</v>
      </c>
      <c r="BY59">
        <v>623</v>
      </c>
      <c r="BZ59">
        <v>584</v>
      </c>
      <c r="CA59">
        <v>558</v>
      </c>
      <c r="CB59">
        <v>538</v>
      </c>
      <c r="CC59">
        <v>513</v>
      </c>
      <c r="CD59">
        <v>512</v>
      </c>
      <c r="CE59">
        <v>517</v>
      </c>
      <c r="CF59">
        <v>536</v>
      </c>
      <c r="CG59">
        <v>504</v>
      </c>
      <c r="CH59">
        <v>488</v>
      </c>
      <c r="CI59">
        <v>495</v>
      </c>
      <c r="CJ59">
        <v>486</v>
      </c>
      <c r="CK59">
        <v>466</v>
      </c>
      <c r="CL59">
        <v>466</v>
      </c>
      <c r="CM59">
        <v>479</v>
      </c>
      <c r="CN59">
        <v>459</v>
      </c>
      <c r="CO59">
        <v>447</v>
      </c>
      <c r="CP59">
        <v>423</v>
      </c>
      <c r="CQ59">
        <v>429</v>
      </c>
      <c r="CR59">
        <v>415</v>
      </c>
      <c r="CS59">
        <v>428</v>
      </c>
      <c r="CT59">
        <v>454</v>
      </c>
      <c r="CU59">
        <v>429</v>
      </c>
      <c r="CV59">
        <v>397</v>
      </c>
      <c r="CW59">
        <v>395</v>
      </c>
      <c r="CX59">
        <v>384</v>
      </c>
      <c r="CY59">
        <v>342</v>
      </c>
      <c r="CZ59">
        <v>348</v>
      </c>
      <c r="DA59">
        <v>365</v>
      </c>
      <c r="DB59">
        <v>346</v>
      </c>
      <c r="DC59">
        <v>332</v>
      </c>
      <c r="DD59">
        <v>324</v>
      </c>
      <c r="DE59">
        <v>324</v>
      </c>
      <c r="DF59">
        <v>302</v>
      </c>
      <c r="DG59">
        <v>311</v>
      </c>
      <c r="DH59">
        <v>322</v>
      </c>
      <c r="DI59">
        <v>296</v>
      </c>
      <c r="DJ59">
        <v>297</v>
      </c>
      <c r="DK59">
        <v>283</v>
      </c>
      <c r="DL59">
        <v>280</v>
      </c>
      <c r="DM59">
        <v>260</v>
      </c>
      <c r="DN59">
        <v>268</v>
      </c>
      <c r="DO59">
        <v>277</v>
      </c>
      <c r="DP59">
        <v>257</v>
      </c>
      <c r="DQ59">
        <v>248</v>
      </c>
      <c r="DR59">
        <v>244</v>
      </c>
      <c r="DS59">
        <v>236</v>
      </c>
      <c r="DT59">
        <v>223</v>
      </c>
      <c r="DU59">
        <v>245</v>
      </c>
      <c r="DV59">
        <v>246</v>
      </c>
      <c r="DW59">
        <v>233</v>
      </c>
      <c r="DX59">
        <v>211</v>
      </c>
      <c r="DY59">
        <v>208</v>
      </c>
      <c r="DZ59">
        <v>207</v>
      </c>
      <c r="EA59">
        <v>210</v>
      </c>
      <c r="EB59">
        <v>220</v>
      </c>
      <c r="EC59">
        <v>239</v>
      </c>
      <c r="ED59">
        <v>237</v>
      </c>
      <c r="EE59">
        <v>233</v>
      </c>
      <c r="EF59">
        <v>233</v>
      </c>
      <c r="EG59">
        <v>246</v>
      </c>
      <c r="EH59">
        <v>244</v>
      </c>
      <c r="EI59">
        <v>271</v>
      </c>
      <c r="EJ59">
        <v>283</v>
      </c>
    </row>
    <row r="60" spans="2:140">
      <c r="B60" s="4">
        <v>309</v>
      </c>
      <c r="C60" s="4">
        <v>0.92</v>
      </c>
      <c r="D60" s="4">
        <v>136</v>
      </c>
      <c r="E60" s="4">
        <v>623</v>
      </c>
      <c r="F60" s="4">
        <f t="shared" si="0"/>
        <v>558.40676399999995</v>
      </c>
      <c r="M60" s="25">
        <v>1</v>
      </c>
      <c r="N60" s="25">
        <f t="shared" ref="N60:P60" si="50">C53</f>
        <v>0.8</v>
      </c>
      <c r="O60" s="25">
        <f t="shared" si="50"/>
        <v>165</v>
      </c>
      <c r="P60" s="25">
        <f t="shared" si="50"/>
        <v>771</v>
      </c>
      <c r="Q60" s="25"/>
    </row>
    <row r="61" spans="2:140">
      <c r="B61" s="4">
        <v>388</v>
      </c>
      <c r="C61" s="4">
        <v>0.94</v>
      </c>
      <c r="D61" s="4">
        <v>129</v>
      </c>
      <c r="E61" s="4">
        <v>584</v>
      </c>
      <c r="F61" s="4">
        <f t="shared" si="0"/>
        <v>558.27419799999973</v>
      </c>
      <c r="M61" s="25">
        <v>1</v>
      </c>
      <c r="N61" s="25">
        <f t="shared" ref="N61:P61" si="51">C54</f>
        <v>0.81</v>
      </c>
      <c r="O61" s="25">
        <f t="shared" si="51"/>
        <v>159</v>
      </c>
      <c r="P61" s="25">
        <f t="shared" si="51"/>
        <v>743</v>
      </c>
      <c r="Q61" s="25"/>
    </row>
    <row r="62" spans="2:140">
      <c r="B62" s="4">
        <v>618</v>
      </c>
      <c r="C62" s="4">
        <v>0.97</v>
      </c>
      <c r="D62" s="4">
        <v>127</v>
      </c>
      <c r="E62" s="4">
        <v>558</v>
      </c>
      <c r="F62" s="4">
        <f t="shared" si="0"/>
        <v>560.75554899999986</v>
      </c>
      <c r="M62" s="25">
        <v>1</v>
      </c>
      <c r="N62" s="25">
        <f t="shared" ref="N62:P62" si="52">C55</f>
        <v>0.82</v>
      </c>
      <c r="O62" s="25">
        <f t="shared" si="52"/>
        <v>155</v>
      </c>
      <c r="P62" s="25">
        <f t="shared" si="52"/>
        <v>712</v>
      </c>
      <c r="Q62" s="25"/>
    </row>
    <row r="63" spans="2:140">
      <c r="B63" s="4">
        <v>592</v>
      </c>
      <c r="C63" s="4">
        <v>0.98</v>
      </c>
      <c r="D63" s="4">
        <v>129</v>
      </c>
      <c r="E63" s="4">
        <v>538</v>
      </c>
      <c r="F63" s="4">
        <f t="shared" si="0"/>
        <v>528.38766599999985</v>
      </c>
      <c r="M63" s="25">
        <v>1</v>
      </c>
      <c r="N63" s="25">
        <f t="shared" ref="N63:P63" si="53">C56</f>
        <v>0.83</v>
      </c>
      <c r="O63" s="25">
        <f t="shared" si="53"/>
        <v>154</v>
      </c>
      <c r="P63" s="25">
        <f t="shared" si="53"/>
        <v>695</v>
      </c>
      <c r="Q63" s="25"/>
    </row>
    <row r="64" spans="2:140">
      <c r="B64" s="4">
        <v>548</v>
      </c>
      <c r="C64" s="4">
        <v>0.98</v>
      </c>
      <c r="D64" s="4">
        <v>131</v>
      </c>
      <c r="E64" s="4">
        <v>513</v>
      </c>
      <c r="F64" s="4">
        <f t="shared" si="0"/>
        <v>477.40656599999988</v>
      </c>
      <c r="M64" s="25">
        <v>1</v>
      </c>
      <c r="N64" s="25">
        <f t="shared" ref="N64:P64" si="54">C57</f>
        <v>0.84</v>
      </c>
      <c r="O64" s="25">
        <f t="shared" si="54"/>
        <v>155</v>
      </c>
      <c r="P64" s="25">
        <f t="shared" si="54"/>
        <v>669</v>
      </c>
      <c r="Q64" s="25"/>
    </row>
    <row r="65" spans="2:140">
      <c r="B65" s="4">
        <v>280</v>
      </c>
      <c r="C65" s="4">
        <v>0.97</v>
      </c>
      <c r="D65" s="4">
        <v>126</v>
      </c>
      <c r="E65" s="4">
        <v>512</v>
      </c>
      <c r="F65" s="4">
        <f t="shared" si="0"/>
        <v>493.76344899999992</v>
      </c>
      <c r="M65" s="25">
        <v>1</v>
      </c>
      <c r="N65" s="25">
        <f t="shared" ref="N65:P65" si="55">C58</f>
        <v>0.86</v>
      </c>
      <c r="O65" s="25">
        <f t="shared" si="55"/>
        <v>148</v>
      </c>
      <c r="P65" s="25">
        <f t="shared" si="55"/>
        <v>618</v>
      </c>
      <c r="Q65" s="25"/>
    </row>
    <row r="66" spans="2:140">
      <c r="B66" s="4">
        <v>193</v>
      </c>
      <c r="C66" s="4">
        <v>1</v>
      </c>
      <c r="D66" s="4">
        <v>117</v>
      </c>
      <c r="E66" s="4">
        <v>517</v>
      </c>
      <c r="F66" s="4">
        <f t="shared" si="0"/>
        <v>585.35779999999977</v>
      </c>
      <c r="M66" s="25">
        <v>1</v>
      </c>
      <c r="N66" s="25">
        <f t="shared" ref="N66:P66" si="56">C59</f>
        <v>0.89</v>
      </c>
      <c r="O66" s="25">
        <f t="shared" si="56"/>
        <v>142</v>
      </c>
      <c r="P66" s="25">
        <f t="shared" si="56"/>
        <v>633</v>
      </c>
      <c r="Q66" s="25"/>
    </row>
    <row r="67" spans="2:140">
      <c r="B67" s="4">
        <v>159</v>
      </c>
      <c r="C67" s="4">
        <v>1.06</v>
      </c>
      <c r="D67" s="4">
        <v>112</v>
      </c>
      <c r="E67" s="4">
        <v>536</v>
      </c>
      <c r="F67" s="4">
        <f t="shared" si="0"/>
        <v>708.29370199999994</v>
      </c>
      <c r="M67" s="25">
        <v>1</v>
      </c>
      <c r="N67" s="25">
        <f t="shared" ref="N67:P67" si="57">C60</f>
        <v>0.92</v>
      </c>
      <c r="O67" s="25">
        <f t="shared" si="57"/>
        <v>136</v>
      </c>
      <c r="P67" s="25">
        <f t="shared" si="57"/>
        <v>623</v>
      </c>
      <c r="Q67" s="25"/>
    </row>
    <row r="68" spans="2:140">
      <c r="B68" s="4">
        <v>874</v>
      </c>
      <c r="C68" s="4">
        <v>1.1399999999999999</v>
      </c>
      <c r="D68" s="4">
        <v>113</v>
      </c>
      <c r="E68" s="4">
        <v>504</v>
      </c>
      <c r="F68" s="4">
        <f t="shared" si="0"/>
        <v>737.6453379999997</v>
      </c>
      <c r="M68" s="25">
        <v>1</v>
      </c>
      <c r="N68" s="25">
        <f t="shared" ref="N68:P68" si="58">C61</f>
        <v>0.94</v>
      </c>
      <c r="O68" s="25">
        <f t="shared" si="58"/>
        <v>129</v>
      </c>
      <c r="P68" s="25">
        <f t="shared" si="58"/>
        <v>584</v>
      </c>
      <c r="Q68" s="25"/>
      <c r="U68">
        <f t="array" ref="U68:EJ68">TRANSPOSE(B4:B123)</f>
        <v>5805</v>
      </c>
      <c r="V68">
        <v>5540</v>
      </c>
      <c r="W68">
        <v>9083</v>
      </c>
      <c r="X68">
        <v>7914</v>
      </c>
      <c r="Y68">
        <v>6916</v>
      </c>
      <c r="Z68">
        <v>6132</v>
      </c>
      <c r="AA68">
        <v>3508</v>
      </c>
      <c r="AB68">
        <v>2505</v>
      </c>
      <c r="AC68">
        <v>2583</v>
      </c>
      <c r="AD68">
        <v>4387</v>
      </c>
      <c r="AE68">
        <v>3480</v>
      </c>
      <c r="AF68">
        <v>2854</v>
      </c>
      <c r="AG68">
        <v>2856</v>
      </c>
      <c r="AH68">
        <v>1677</v>
      </c>
      <c r="AI68">
        <v>1303</v>
      </c>
      <c r="AJ68">
        <v>1502</v>
      </c>
      <c r="AK68">
        <v>2324</v>
      </c>
      <c r="AL68">
        <v>1944</v>
      </c>
      <c r="AM68">
        <v>1940</v>
      </c>
      <c r="AN68">
        <v>1570</v>
      </c>
      <c r="AO68">
        <v>1186</v>
      </c>
      <c r="AP68">
        <v>549</v>
      </c>
      <c r="AQ68">
        <v>1032</v>
      </c>
      <c r="AR68">
        <v>1480</v>
      </c>
      <c r="AS68">
        <v>1160</v>
      </c>
      <c r="AT68">
        <v>1027</v>
      </c>
      <c r="AU68">
        <v>1071</v>
      </c>
      <c r="AV68">
        <v>718</v>
      </c>
      <c r="AW68">
        <v>394</v>
      </c>
      <c r="AX68">
        <v>691</v>
      </c>
      <c r="AY68">
        <v>979</v>
      </c>
      <c r="AZ68">
        <v>830</v>
      </c>
      <c r="BA68">
        <v>949</v>
      </c>
      <c r="BB68">
        <v>1007</v>
      </c>
      <c r="BC68">
        <v>682</v>
      </c>
      <c r="BD68">
        <v>365</v>
      </c>
      <c r="BE68">
        <v>847</v>
      </c>
      <c r="BF68">
        <v>642</v>
      </c>
      <c r="BG68">
        <v>627</v>
      </c>
      <c r="BH68">
        <v>577</v>
      </c>
      <c r="BI68">
        <v>564</v>
      </c>
      <c r="BJ68">
        <v>541</v>
      </c>
      <c r="BK68">
        <v>256</v>
      </c>
      <c r="BL68">
        <v>384</v>
      </c>
      <c r="BM68">
        <v>673</v>
      </c>
      <c r="BN68">
        <v>485</v>
      </c>
      <c r="BO68">
        <v>568</v>
      </c>
      <c r="BP68">
        <v>457</v>
      </c>
      <c r="BQ68">
        <v>450</v>
      </c>
      <c r="BR68">
        <v>248</v>
      </c>
      <c r="BS68">
        <v>434</v>
      </c>
      <c r="BT68">
        <v>575</v>
      </c>
      <c r="BU68">
        <v>423</v>
      </c>
      <c r="BV68">
        <v>488</v>
      </c>
      <c r="BW68">
        <v>344</v>
      </c>
      <c r="BX68">
        <v>365</v>
      </c>
      <c r="BY68">
        <v>309</v>
      </c>
      <c r="BZ68">
        <v>388</v>
      </c>
      <c r="CA68">
        <v>618</v>
      </c>
      <c r="CB68">
        <v>592</v>
      </c>
      <c r="CC68">
        <v>548</v>
      </c>
      <c r="CD68">
        <v>280</v>
      </c>
      <c r="CE68">
        <v>193</v>
      </c>
      <c r="CF68">
        <v>159</v>
      </c>
      <c r="CG68">
        <v>874</v>
      </c>
      <c r="CH68">
        <v>663</v>
      </c>
      <c r="CI68">
        <v>602</v>
      </c>
      <c r="CJ68">
        <v>694</v>
      </c>
      <c r="CK68">
        <v>601</v>
      </c>
      <c r="CL68">
        <v>566</v>
      </c>
      <c r="CM68">
        <v>271</v>
      </c>
      <c r="CN68">
        <v>408</v>
      </c>
      <c r="CO68">
        <v>684</v>
      </c>
      <c r="CP68">
        <v>501</v>
      </c>
      <c r="CQ68">
        <v>553</v>
      </c>
      <c r="CR68">
        <v>649</v>
      </c>
      <c r="CS68">
        <v>441</v>
      </c>
      <c r="CT68">
        <v>220</v>
      </c>
      <c r="CU68">
        <v>424</v>
      </c>
      <c r="CV68">
        <v>610</v>
      </c>
      <c r="CW68">
        <v>636</v>
      </c>
      <c r="CX68">
        <v>506</v>
      </c>
      <c r="CY68">
        <v>567</v>
      </c>
      <c r="CZ68">
        <v>478</v>
      </c>
      <c r="DA68">
        <v>196</v>
      </c>
      <c r="DB68">
        <v>353</v>
      </c>
      <c r="DC68">
        <v>572</v>
      </c>
      <c r="DD68">
        <v>470</v>
      </c>
      <c r="DE68">
        <v>460</v>
      </c>
      <c r="DF68">
        <v>454</v>
      </c>
      <c r="DG68">
        <v>330</v>
      </c>
      <c r="DH68">
        <v>180</v>
      </c>
      <c r="DI68">
        <v>258</v>
      </c>
      <c r="DJ68">
        <v>387</v>
      </c>
      <c r="DK68">
        <v>373</v>
      </c>
      <c r="DL68">
        <v>377</v>
      </c>
      <c r="DM68">
        <v>406</v>
      </c>
      <c r="DN68">
        <v>324</v>
      </c>
      <c r="DO68">
        <v>158</v>
      </c>
      <c r="DP68">
        <v>268</v>
      </c>
      <c r="DQ68">
        <v>485</v>
      </c>
      <c r="DR68">
        <v>436</v>
      </c>
      <c r="DS68">
        <v>450</v>
      </c>
      <c r="DT68">
        <v>469</v>
      </c>
      <c r="DU68">
        <v>334</v>
      </c>
      <c r="DV68">
        <v>199</v>
      </c>
      <c r="DW68">
        <v>386</v>
      </c>
      <c r="DX68">
        <v>511</v>
      </c>
      <c r="DY68">
        <v>451</v>
      </c>
      <c r="DZ68">
        <v>559</v>
      </c>
      <c r="EA68">
        <v>523</v>
      </c>
      <c r="EB68">
        <v>413</v>
      </c>
      <c r="EC68">
        <v>241</v>
      </c>
      <c r="ED68">
        <v>375</v>
      </c>
      <c r="EE68">
        <v>594</v>
      </c>
      <c r="EF68">
        <v>572</v>
      </c>
      <c r="EG68">
        <v>598</v>
      </c>
      <c r="EH68">
        <v>609</v>
      </c>
      <c r="EI68">
        <v>445</v>
      </c>
      <c r="EJ68">
        <v>435</v>
      </c>
    </row>
    <row r="69" spans="2:140">
      <c r="B69" s="4">
        <v>663</v>
      </c>
      <c r="C69" s="4">
        <v>1.1399999999999999</v>
      </c>
      <c r="D69" s="4">
        <v>116</v>
      </c>
      <c r="E69" s="4">
        <v>488</v>
      </c>
      <c r="F69" s="4">
        <f t="shared" ref="F69:F123" si="59">ROUND($AH$137,4)+ROUND($AH$138,4)*C69+ROUND($AH$139,4)*D69+ROUND($AH$140,4)*E69</f>
        <v>695.1630379999998</v>
      </c>
      <c r="M69" s="25">
        <v>1</v>
      </c>
      <c r="N69" s="25">
        <f t="shared" ref="N69:P69" si="60">C62</f>
        <v>0.97</v>
      </c>
      <c r="O69" s="25">
        <f t="shared" si="60"/>
        <v>127</v>
      </c>
      <c r="P69" s="25">
        <f t="shared" si="60"/>
        <v>558</v>
      </c>
      <c r="Q69" s="25"/>
    </row>
    <row r="70" spans="2:140">
      <c r="B70" s="4">
        <v>602</v>
      </c>
      <c r="C70" s="4">
        <v>1.1299999999999999</v>
      </c>
      <c r="D70" s="4">
        <v>122</v>
      </c>
      <c r="E70" s="4">
        <v>495</v>
      </c>
      <c r="F70" s="4">
        <f t="shared" si="59"/>
        <v>661.14482099999975</v>
      </c>
      <c r="M70" s="25">
        <v>1</v>
      </c>
      <c r="N70" s="25">
        <f t="shared" ref="N70:P70" si="61">C63</f>
        <v>0.98</v>
      </c>
      <c r="O70" s="25">
        <f t="shared" si="61"/>
        <v>129</v>
      </c>
      <c r="P70" s="25">
        <f t="shared" si="61"/>
        <v>538</v>
      </c>
      <c r="Q70" s="25"/>
    </row>
    <row r="71" spans="2:140">
      <c r="B71" s="4">
        <v>694</v>
      </c>
      <c r="C71" s="4">
        <v>1.1200000000000001</v>
      </c>
      <c r="D71" s="4">
        <v>128</v>
      </c>
      <c r="E71" s="4">
        <v>486</v>
      </c>
      <c r="F71" s="4">
        <f t="shared" si="59"/>
        <v>601.83220400000005</v>
      </c>
      <c r="M71" s="25">
        <v>1</v>
      </c>
      <c r="N71" s="25">
        <f t="shared" ref="N71:P71" si="62">C64</f>
        <v>0.98</v>
      </c>
      <c r="O71" s="25">
        <f t="shared" si="62"/>
        <v>131</v>
      </c>
      <c r="P71" s="25">
        <f t="shared" si="62"/>
        <v>513</v>
      </c>
      <c r="Q71" s="25"/>
    </row>
    <row r="72" spans="2:140">
      <c r="B72" s="4">
        <v>601</v>
      </c>
      <c r="C72" s="4">
        <v>1.1000000000000001</v>
      </c>
      <c r="D72" s="4">
        <v>119</v>
      </c>
      <c r="E72" s="4">
        <v>466</v>
      </c>
      <c r="F72" s="4">
        <f t="shared" si="59"/>
        <v>600.36046999999985</v>
      </c>
      <c r="M72" s="25">
        <v>1</v>
      </c>
      <c r="N72" s="25">
        <f t="shared" ref="N72:P72" si="63">C65</f>
        <v>0.97</v>
      </c>
      <c r="O72" s="25">
        <f t="shared" si="63"/>
        <v>126</v>
      </c>
      <c r="P72" s="25">
        <f t="shared" si="63"/>
        <v>512</v>
      </c>
      <c r="Q72" s="25"/>
    </row>
    <row r="73" spans="2:140">
      <c r="B73" s="4">
        <v>566</v>
      </c>
      <c r="C73" s="4">
        <v>1.07</v>
      </c>
      <c r="D73" s="4">
        <v>113</v>
      </c>
      <c r="E73" s="4">
        <v>466</v>
      </c>
      <c r="F73" s="4">
        <f t="shared" si="59"/>
        <v>602.61011899999983</v>
      </c>
      <c r="M73" s="25">
        <v>1</v>
      </c>
      <c r="N73" s="25">
        <f t="shared" ref="N73:P73" si="64">C66</f>
        <v>1</v>
      </c>
      <c r="O73" s="25">
        <f t="shared" si="64"/>
        <v>117</v>
      </c>
      <c r="P73" s="25">
        <f t="shared" si="64"/>
        <v>517</v>
      </c>
      <c r="Q73" s="25"/>
    </row>
    <row r="74" spans="2:140">
      <c r="B74" s="4">
        <v>271</v>
      </c>
      <c r="C74" s="4">
        <v>1.04</v>
      </c>
      <c r="D74" s="4">
        <v>119</v>
      </c>
      <c r="E74" s="4">
        <v>479</v>
      </c>
      <c r="F74" s="4">
        <f t="shared" si="59"/>
        <v>556.65986799999996</v>
      </c>
      <c r="M74" s="25">
        <v>1</v>
      </c>
      <c r="N74" s="25">
        <f t="shared" ref="N74:P74" si="65">C67</f>
        <v>1.06</v>
      </c>
      <c r="O74" s="25">
        <f t="shared" si="65"/>
        <v>112</v>
      </c>
      <c r="P74" s="25">
        <f t="shared" si="65"/>
        <v>536</v>
      </c>
      <c r="Q74" s="25"/>
    </row>
    <row r="75" spans="2:140">
      <c r="B75" s="4">
        <v>408</v>
      </c>
      <c r="C75" s="4">
        <v>1.01</v>
      </c>
      <c r="D75" s="4">
        <v>118</v>
      </c>
      <c r="E75" s="4">
        <v>459</v>
      </c>
      <c r="F75" s="4">
        <f t="shared" si="59"/>
        <v>498.64501699999983</v>
      </c>
      <c r="M75" s="25">
        <v>1</v>
      </c>
      <c r="N75" s="25">
        <f t="shared" ref="N75:P75" si="66">C68</f>
        <v>1.1399999999999999</v>
      </c>
      <c r="O75" s="25">
        <f t="shared" si="66"/>
        <v>113</v>
      </c>
      <c r="P75" s="25">
        <f t="shared" si="66"/>
        <v>504</v>
      </c>
      <c r="Q75" s="25"/>
    </row>
    <row r="76" spans="2:140">
      <c r="B76" s="4">
        <v>684</v>
      </c>
      <c r="C76" s="4">
        <v>1.01</v>
      </c>
      <c r="D76" s="4">
        <v>116</v>
      </c>
      <c r="E76" s="4">
        <v>447</v>
      </c>
      <c r="F76" s="4">
        <f t="shared" si="59"/>
        <v>491.13281699999982</v>
      </c>
      <c r="M76" s="25">
        <v>1</v>
      </c>
      <c r="N76" s="25">
        <f t="shared" ref="N76:P76" si="67">C69</f>
        <v>1.1399999999999999</v>
      </c>
      <c r="O76" s="25">
        <f t="shared" si="67"/>
        <v>116</v>
      </c>
      <c r="P76" s="25">
        <f t="shared" si="67"/>
        <v>488</v>
      </c>
      <c r="Q76" s="25"/>
    </row>
    <row r="77" spans="2:140">
      <c r="B77" s="4">
        <v>501</v>
      </c>
      <c r="C77" s="4">
        <v>1</v>
      </c>
      <c r="D77" s="4">
        <v>109</v>
      </c>
      <c r="E77" s="4">
        <v>423</v>
      </c>
      <c r="F77" s="4">
        <f t="shared" si="59"/>
        <v>482.58759999999984</v>
      </c>
      <c r="M77" s="25">
        <v>1</v>
      </c>
      <c r="N77" s="25">
        <f t="shared" ref="N77:P77" si="68">C70</f>
        <v>1.1299999999999999</v>
      </c>
      <c r="O77" s="25">
        <f t="shared" si="68"/>
        <v>122</v>
      </c>
      <c r="P77" s="25">
        <f t="shared" si="68"/>
        <v>495</v>
      </c>
      <c r="Q77" s="25"/>
    </row>
    <row r="78" spans="2:140">
      <c r="B78" s="4">
        <v>553</v>
      </c>
      <c r="C78" s="4">
        <v>1</v>
      </c>
      <c r="D78" s="4">
        <v>101</v>
      </c>
      <c r="E78" s="4">
        <v>429</v>
      </c>
      <c r="F78" s="4">
        <f t="shared" si="59"/>
        <v>537.90739999999983</v>
      </c>
      <c r="M78" s="25">
        <v>1</v>
      </c>
      <c r="N78" s="25">
        <f t="shared" ref="N78:P78" si="69">C71</f>
        <v>1.1200000000000001</v>
      </c>
      <c r="O78" s="25">
        <f t="shared" si="69"/>
        <v>128</v>
      </c>
      <c r="P78" s="25">
        <f t="shared" si="69"/>
        <v>486</v>
      </c>
      <c r="Q78" s="25"/>
    </row>
    <row r="79" spans="2:140">
      <c r="B79" s="4">
        <v>649</v>
      </c>
      <c r="C79" s="4">
        <v>1</v>
      </c>
      <c r="D79" s="4">
        <v>103</v>
      </c>
      <c r="E79" s="4">
        <v>415</v>
      </c>
      <c r="F79" s="4">
        <f t="shared" si="59"/>
        <v>504.31619999999975</v>
      </c>
      <c r="M79" s="25">
        <v>1</v>
      </c>
      <c r="N79" s="25">
        <f t="shared" ref="N79:P79" si="70">C72</f>
        <v>1.1000000000000001</v>
      </c>
      <c r="O79" s="25">
        <f t="shared" si="70"/>
        <v>119</v>
      </c>
      <c r="P79" s="25">
        <f t="shared" si="70"/>
        <v>466</v>
      </c>
      <c r="Q79" s="25"/>
    </row>
    <row r="80" spans="2:140">
      <c r="B80" s="4">
        <v>441</v>
      </c>
      <c r="C80" s="4">
        <v>0.99</v>
      </c>
      <c r="D80" s="4">
        <v>109</v>
      </c>
      <c r="E80" s="4">
        <v>428</v>
      </c>
      <c r="F80" s="4">
        <f t="shared" si="59"/>
        <v>479.78338299999984</v>
      </c>
      <c r="M80" s="25">
        <v>1</v>
      </c>
      <c r="N80" s="25">
        <f t="shared" ref="N80:P80" si="71">C73</f>
        <v>1.07</v>
      </c>
      <c r="O80" s="25">
        <f t="shared" si="71"/>
        <v>113</v>
      </c>
      <c r="P80" s="25">
        <f t="shared" si="71"/>
        <v>466</v>
      </c>
      <c r="Q80" s="25"/>
    </row>
    <row r="81" spans="2:17">
      <c r="B81" s="4">
        <v>220</v>
      </c>
      <c r="C81" s="4">
        <v>0.98</v>
      </c>
      <c r="D81" s="4">
        <v>112</v>
      </c>
      <c r="E81" s="4">
        <v>454</v>
      </c>
      <c r="F81" s="4">
        <f t="shared" si="59"/>
        <v>492.99016599999993</v>
      </c>
      <c r="M81" s="25">
        <v>1</v>
      </c>
      <c r="N81" s="25">
        <f t="shared" ref="N81:P81" si="72">C74</f>
        <v>1.04</v>
      </c>
      <c r="O81" s="25">
        <f t="shared" si="72"/>
        <v>119</v>
      </c>
      <c r="P81" s="25">
        <f t="shared" si="72"/>
        <v>479</v>
      </c>
      <c r="Q81" s="25"/>
    </row>
    <row r="82" spans="2:17">
      <c r="B82" s="4">
        <v>424</v>
      </c>
      <c r="C82" s="4">
        <v>0.97</v>
      </c>
      <c r="D82" s="4">
        <v>113</v>
      </c>
      <c r="E82" s="4">
        <v>429</v>
      </c>
      <c r="F82" s="4">
        <f t="shared" si="59"/>
        <v>437.02964899999984</v>
      </c>
      <c r="M82" s="25">
        <v>1</v>
      </c>
      <c r="N82" s="25">
        <f t="shared" ref="N82:P82" si="73">C75</f>
        <v>1.01</v>
      </c>
      <c r="O82" s="25">
        <f t="shared" si="73"/>
        <v>118</v>
      </c>
      <c r="P82" s="25">
        <f t="shared" si="73"/>
        <v>459</v>
      </c>
      <c r="Q82" s="25"/>
    </row>
    <row r="83" spans="2:17">
      <c r="B83" s="4">
        <v>610</v>
      </c>
      <c r="C83" s="4">
        <v>0.97</v>
      </c>
      <c r="D83" s="4">
        <v>110</v>
      </c>
      <c r="E83" s="4">
        <v>397</v>
      </c>
      <c r="F83" s="4">
        <f t="shared" si="59"/>
        <v>403.62874899999986</v>
      </c>
      <c r="M83" s="25">
        <v>1</v>
      </c>
      <c r="N83" s="25">
        <f t="shared" ref="N83:P83" si="74">C76</f>
        <v>1.01</v>
      </c>
      <c r="O83" s="25">
        <f t="shared" si="74"/>
        <v>116</v>
      </c>
      <c r="P83" s="25">
        <f t="shared" si="74"/>
        <v>447</v>
      </c>
      <c r="Q83" s="25"/>
    </row>
    <row r="84" spans="2:17">
      <c r="B84" s="4">
        <v>636</v>
      </c>
      <c r="C84" s="4">
        <v>0.97</v>
      </c>
      <c r="D84" s="4">
        <v>104</v>
      </c>
      <c r="E84" s="4">
        <v>395</v>
      </c>
      <c r="F84" s="4">
        <f t="shared" si="59"/>
        <v>434.84274899999991</v>
      </c>
      <c r="M84" s="25">
        <v>1</v>
      </c>
      <c r="N84" s="25">
        <f t="shared" ref="N84:P84" si="75">C77</f>
        <v>1</v>
      </c>
      <c r="O84" s="25">
        <f t="shared" si="75"/>
        <v>109</v>
      </c>
      <c r="P84" s="25">
        <f t="shared" si="75"/>
        <v>423</v>
      </c>
      <c r="Q84" s="25"/>
    </row>
    <row r="85" spans="2:17">
      <c r="B85" s="4">
        <v>506</v>
      </c>
      <c r="C85" s="4">
        <v>0.96</v>
      </c>
      <c r="D85" s="4">
        <v>98</v>
      </c>
      <c r="E85" s="4">
        <v>384</v>
      </c>
      <c r="F85" s="4">
        <f t="shared" si="59"/>
        <v>441.11993199999972</v>
      </c>
      <c r="M85" s="25">
        <v>1</v>
      </c>
      <c r="N85" s="25">
        <f t="shared" ref="N85:P85" si="76">C78</f>
        <v>1</v>
      </c>
      <c r="O85" s="25">
        <f t="shared" si="76"/>
        <v>101</v>
      </c>
      <c r="P85" s="25">
        <f t="shared" si="76"/>
        <v>429</v>
      </c>
      <c r="Q85" s="25"/>
    </row>
    <row r="86" spans="2:17">
      <c r="B86" s="4">
        <v>567</v>
      </c>
      <c r="C86" s="4">
        <v>0.96</v>
      </c>
      <c r="D86" s="4">
        <v>98</v>
      </c>
      <c r="E86" s="4">
        <v>342</v>
      </c>
      <c r="F86" s="4">
        <f t="shared" si="59"/>
        <v>374.72213199999965</v>
      </c>
      <c r="M86" s="25">
        <v>1</v>
      </c>
      <c r="N86" s="25">
        <f t="shared" ref="N86:P86" si="77">C79</f>
        <v>1</v>
      </c>
      <c r="O86" s="25">
        <f t="shared" si="77"/>
        <v>103</v>
      </c>
      <c r="P86" s="25">
        <f t="shared" si="77"/>
        <v>415</v>
      </c>
      <c r="Q86" s="25"/>
    </row>
    <row r="87" spans="2:17">
      <c r="B87" s="4">
        <v>478</v>
      </c>
      <c r="C87" s="4">
        <v>0.94</v>
      </c>
      <c r="D87" s="4">
        <v>98</v>
      </c>
      <c r="E87" s="4">
        <v>348</v>
      </c>
      <c r="F87" s="4">
        <f t="shared" si="59"/>
        <v>362.79009799999972</v>
      </c>
      <c r="M87" s="25">
        <v>1</v>
      </c>
      <c r="N87" s="25">
        <f t="shared" ref="N87:P87" si="78">C80</f>
        <v>0.99</v>
      </c>
      <c r="O87" s="25">
        <f t="shared" si="78"/>
        <v>109</v>
      </c>
      <c r="P87" s="25">
        <f t="shared" si="78"/>
        <v>428</v>
      </c>
      <c r="Q87" s="25"/>
    </row>
    <row r="88" spans="2:17">
      <c r="B88" s="4">
        <v>196</v>
      </c>
      <c r="C88" s="4">
        <v>0.92</v>
      </c>
      <c r="D88" s="4">
        <v>91</v>
      </c>
      <c r="E88" s="4">
        <v>365</v>
      </c>
      <c r="F88" s="4">
        <f t="shared" si="59"/>
        <v>408.3530639999999</v>
      </c>
      <c r="M88" s="25">
        <v>1</v>
      </c>
      <c r="N88" s="25">
        <f t="shared" ref="N88:P88" si="79">C81</f>
        <v>0.98</v>
      </c>
      <c r="O88" s="25">
        <f t="shared" si="79"/>
        <v>112</v>
      </c>
      <c r="P88" s="25">
        <f t="shared" si="79"/>
        <v>454</v>
      </c>
      <c r="Q88" s="25"/>
    </row>
    <row r="89" spans="2:17">
      <c r="B89" s="4">
        <v>353</v>
      </c>
      <c r="C89" s="4">
        <v>0.91</v>
      </c>
      <c r="D89" s="4">
        <v>86</v>
      </c>
      <c r="E89" s="4">
        <v>346</v>
      </c>
      <c r="F89" s="4">
        <f t="shared" si="59"/>
        <v>396.25374699999992</v>
      </c>
      <c r="M89" s="25">
        <v>1</v>
      </c>
      <c r="N89" s="25">
        <f t="shared" ref="N89:P89" si="80">C82</f>
        <v>0.97</v>
      </c>
      <c r="O89" s="25">
        <f t="shared" si="80"/>
        <v>113</v>
      </c>
      <c r="P89" s="25">
        <f t="shared" si="80"/>
        <v>429</v>
      </c>
      <c r="Q89" s="25"/>
    </row>
    <row r="90" spans="2:17">
      <c r="B90" s="4">
        <v>572</v>
      </c>
      <c r="C90" s="4">
        <v>0.9</v>
      </c>
      <c r="D90" s="4">
        <v>88</v>
      </c>
      <c r="E90" s="4">
        <v>332</v>
      </c>
      <c r="F90" s="4">
        <f t="shared" si="59"/>
        <v>351.95382999999981</v>
      </c>
      <c r="M90" s="25">
        <v>1</v>
      </c>
      <c r="N90" s="25">
        <f t="shared" ref="N90:P90" si="81">C83</f>
        <v>0.97</v>
      </c>
      <c r="O90" s="25">
        <f t="shared" si="81"/>
        <v>110</v>
      </c>
      <c r="P90" s="25">
        <f t="shared" si="81"/>
        <v>397</v>
      </c>
      <c r="Q90" s="25"/>
    </row>
    <row r="91" spans="2:17">
      <c r="B91" s="4">
        <v>470</v>
      </c>
      <c r="C91" s="4">
        <v>0.89</v>
      </c>
      <c r="D91" s="4">
        <v>89</v>
      </c>
      <c r="E91" s="4">
        <v>324</v>
      </c>
      <c r="F91" s="4">
        <f t="shared" si="59"/>
        <v>322.86861299999981</v>
      </c>
      <c r="M91" s="25">
        <v>1</v>
      </c>
      <c r="N91" s="25">
        <f t="shared" ref="N91:P91" si="82">C84</f>
        <v>0.97</v>
      </c>
      <c r="O91" s="25">
        <f t="shared" si="82"/>
        <v>104</v>
      </c>
      <c r="P91" s="25">
        <f t="shared" si="82"/>
        <v>395</v>
      </c>
      <c r="Q91" s="25"/>
    </row>
    <row r="92" spans="2:17">
      <c r="B92" s="4">
        <v>460</v>
      </c>
      <c r="C92" s="4">
        <v>0.88</v>
      </c>
      <c r="D92" s="4">
        <v>89</v>
      </c>
      <c r="E92" s="4">
        <v>324</v>
      </c>
      <c r="F92" s="4">
        <f t="shared" si="59"/>
        <v>312.15989599999983</v>
      </c>
      <c r="M92" s="25">
        <v>1</v>
      </c>
      <c r="N92" s="25">
        <f t="shared" ref="N92:P92" si="83">C85</f>
        <v>0.96</v>
      </c>
      <c r="O92" s="25">
        <f t="shared" si="83"/>
        <v>98</v>
      </c>
      <c r="P92" s="25">
        <f t="shared" si="83"/>
        <v>384</v>
      </c>
      <c r="Q92" s="25"/>
    </row>
    <row r="93" spans="2:17">
      <c r="B93" s="4">
        <v>454</v>
      </c>
      <c r="C93" s="4">
        <v>0.87</v>
      </c>
      <c r="D93" s="4">
        <v>84</v>
      </c>
      <c r="E93" s="4">
        <v>302</v>
      </c>
      <c r="F93" s="4">
        <f t="shared" si="59"/>
        <v>295.31787899999989</v>
      </c>
      <c r="M93" s="25">
        <v>1</v>
      </c>
      <c r="N93" s="25">
        <f t="shared" ref="N93:P93" si="84">C86</f>
        <v>0.96</v>
      </c>
      <c r="O93" s="25">
        <f t="shared" si="84"/>
        <v>98</v>
      </c>
      <c r="P93" s="25">
        <f t="shared" si="84"/>
        <v>342</v>
      </c>
      <c r="Q93" s="25"/>
    </row>
    <row r="94" spans="2:17">
      <c r="B94" s="4">
        <v>330</v>
      </c>
      <c r="C94" s="4">
        <v>0.86</v>
      </c>
      <c r="D94" s="4">
        <v>85</v>
      </c>
      <c r="E94" s="4">
        <v>311</v>
      </c>
      <c r="F94" s="4">
        <f t="shared" si="59"/>
        <v>293.10796199999982</v>
      </c>
      <c r="M94" s="25">
        <v>1</v>
      </c>
      <c r="N94" s="25">
        <f t="shared" ref="N94:P94" si="85">C87</f>
        <v>0.94</v>
      </c>
      <c r="O94" s="25">
        <f t="shared" si="85"/>
        <v>98</v>
      </c>
      <c r="P94" s="25">
        <f t="shared" si="85"/>
        <v>348</v>
      </c>
      <c r="Q94" s="25"/>
    </row>
    <row r="95" spans="2:17">
      <c r="B95" s="4">
        <v>180</v>
      </c>
      <c r="C95" s="4">
        <v>0.86</v>
      </c>
      <c r="D95" s="4">
        <v>90</v>
      </c>
      <c r="E95" s="4">
        <v>322</v>
      </c>
      <c r="F95" s="4">
        <f t="shared" si="59"/>
        <v>281.85136199999977</v>
      </c>
      <c r="M95" s="25">
        <v>1</v>
      </c>
      <c r="N95" s="25">
        <f t="shared" ref="N95:P95" si="86">C88</f>
        <v>0.92</v>
      </c>
      <c r="O95" s="25">
        <f t="shared" si="86"/>
        <v>91</v>
      </c>
      <c r="P95" s="25">
        <f t="shared" si="86"/>
        <v>365</v>
      </c>
      <c r="Q95" s="25"/>
    </row>
    <row r="96" spans="2:17">
      <c r="B96" s="4">
        <v>258</v>
      </c>
      <c r="C96" s="4">
        <v>0.85</v>
      </c>
      <c r="D96" s="4">
        <v>87</v>
      </c>
      <c r="E96" s="4">
        <v>296</v>
      </c>
      <c r="F96" s="4">
        <f t="shared" si="59"/>
        <v>247.22714499999978</v>
      </c>
      <c r="M96" s="25">
        <v>1</v>
      </c>
      <c r="N96" s="25">
        <f t="shared" ref="N96:P96" si="87">C89</f>
        <v>0.91</v>
      </c>
      <c r="O96" s="25">
        <f t="shared" si="87"/>
        <v>86</v>
      </c>
      <c r="P96" s="25">
        <f t="shared" si="87"/>
        <v>346</v>
      </c>
      <c r="Q96" s="25"/>
    </row>
    <row r="97" spans="2:17">
      <c r="B97" s="4">
        <v>387</v>
      </c>
      <c r="C97" s="4">
        <v>0.85</v>
      </c>
      <c r="D97" s="4">
        <v>83</v>
      </c>
      <c r="E97" s="4">
        <v>297</v>
      </c>
      <c r="F97" s="4">
        <f t="shared" si="59"/>
        <v>271.7252449999998</v>
      </c>
      <c r="M97" s="25">
        <v>1</v>
      </c>
      <c r="N97" s="25">
        <f t="shared" ref="N97:P97" si="88">C90</f>
        <v>0.9</v>
      </c>
      <c r="O97" s="25">
        <f t="shared" si="88"/>
        <v>88</v>
      </c>
      <c r="P97" s="25">
        <f t="shared" si="88"/>
        <v>332</v>
      </c>
      <c r="Q97" s="25"/>
    </row>
    <row r="98" spans="2:17">
      <c r="B98" s="4">
        <v>373</v>
      </c>
      <c r="C98" s="4">
        <v>0.87</v>
      </c>
      <c r="D98" s="4">
        <v>77</v>
      </c>
      <c r="E98" s="4">
        <v>283</v>
      </c>
      <c r="F98" s="4">
        <f t="shared" si="59"/>
        <v>305.38587899999987</v>
      </c>
      <c r="M98" s="25">
        <v>1</v>
      </c>
      <c r="N98" s="25">
        <f t="shared" ref="N98:P98" si="89">C91</f>
        <v>0.89</v>
      </c>
      <c r="O98" s="25">
        <f t="shared" si="89"/>
        <v>89</v>
      </c>
      <c r="P98" s="25">
        <f t="shared" si="89"/>
        <v>324</v>
      </c>
      <c r="Q98" s="25"/>
    </row>
    <row r="99" spans="2:17">
      <c r="B99" s="4">
        <v>377</v>
      </c>
      <c r="C99" s="4">
        <v>0.89</v>
      </c>
      <c r="D99" s="4">
        <v>75</v>
      </c>
      <c r="E99" s="4">
        <v>280</v>
      </c>
      <c r="F99" s="4">
        <f t="shared" si="59"/>
        <v>333.51921299999981</v>
      </c>
      <c r="M99" s="25">
        <v>1</v>
      </c>
      <c r="N99" s="25">
        <f t="shared" ref="N99:P99" si="90">C92</f>
        <v>0.88</v>
      </c>
      <c r="O99" s="25">
        <f t="shared" si="90"/>
        <v>89</v>
      </c>
      <c r="P99" s="25">
        <f t="shared" si="90"/>
        <v>324</v>
      </c>
      <c r="Q99" s="25"/>
    </row>
    <row r="100" spans="2:17">
      <c r="B100" s="4">
        <v>406</v>
      </c>
      <c r="C100" s="4">
        <v>0.91</v>
      </c>
      <c r="D100" s="4">
        <v>74</v>
      </c>
      <c r="E100" s="4">
        <v>260</v>
      </c>
      <c r="F100" s="4">
        <f t="shared" si="59"/>
        <v>329.04794699999991</v>
      </c>
      <c r="M100" s="25">
        <v>1</v>
      </c>
      <c r="N100" s="25">
        <f t="shared" ref="N100:P100" si="91">C93</f>
        <v>0.87</v>
      </c>
      <c r="O100" s="25">
        <f t="shared" si="91"/>
        <v>84</v>
      </c>
      <c r="P100" s="25">
        <f t="shared" si="91"/>
        <v>302</v>
      </c>
      <c r="Q100" s="25"/>
    </row>
    <row r="101" spans="2:17">
      <c r="B101" s="4">
        <v>324</v>
      </c>
      <c r="C101" s="4">
        <v>0.93</v>
      </c>
      <c r="D101" s="4">
        <v>74</v>
      </c>
      <c r="E101" s="4">
        <v>268</v>
      </c>
      <c r="F101" s="4">
        <f t="shared" si="59"/>
        <v>363.11258099999986</v>
      </c>
      <c r="M101" s="25">
        <v>1</v>
      </c>
      <c r="N101" s="25">
        <f t="shared" ref="N101:P101" si="92">C94</f>
        <v>0.86</v>
      </c>
      <c r="O101" s="25">
        <f t="shared" si="92"/>
        <v>85</v>
      </c>
      <c r="P101" s="25">
        <f t="shared" si="92"/>
        <v>311</v>
      </c>
      <c r="Q101" s="25"/>
    </row>
    <row r="102" spans="2:17">
      <c r="B102" s="4">
        <v>158</v>
      </c>
      <c r="C102" s="4">
        <v>0.95</v>
      </c>
      <c r="D102" s="4">
        <v>73</v>
      </c>
      <c r="E102" s="4">
        <v>277</v>
      </c>
      <c r="F102" s="4">
        <f t="shared" si="59"/>
        <v>404.48741499999983</v>
      </c>
      <c r="M102" s="25">
        <v>1</v>
      </c>
      <c r="N102" s="25">
        <f t="shared" ref="N102:P102" si="93">C95</f>
        <v>0.86</v>
      </c>
      <c r="O102" s="25">
        <f t="shared" si="93"/>
        <v>90</v>
      </c>
      <c r="P102" s="25">
        <f t="shared" si="93"/>
        <v>322</v>
      </c>
      <c r="Q102" s="25"/>
    </row>
    <row r="103" spans="2:17">
      <c r="B103" s="4">
        <v>268</v>
      </c>
      <c r="C103" s="4">
        <v>0.97</v>
      </c>
      <c r="D103" s="4">
        <v>71</v>
      </c>
      <c r="E103" s="4">
        <v>257</v>
      </c>
      <c r="F103" s="4">
        <f t="shared" si="59"/>
        <v>405.74544899999989</v>
      </c>
      <c r="M103" s="25">
        <v>1</v>
      </c>
      <c r="N103" s="25">
        <f t="shared" ref="N103:P103" si="94">C96</f>
        <v>0.85</v>
      </c>
      <c r="O103" s="25">
        <f t="shared" si="94"/>
        <v>87</v>
      </c>
      <c r="P103" s="25">
        <f t="shared" si="94"/>
        <v>296</v>
      </c>
      <c r="Q103" s="25"/>
    </row>
    <row r="104" spans="2:17">
      <c r="B104" s="4">
        <v>485</v>
      </c>
      <c r="C104" s="4">
        <v>1</v>
      </c>
      <c r="D104" s="4">
        <v>71</v>
      </c>
      <c r="E104" s="4">
        <v>248</v>
      </c>
      <c r="F104" s="4">
        <f t="shared" si="59"/>
        <v>423.64349999999985</v>
      </c>
      <c r="M104" s="25">
        <v>1</v>
      </c>
      <c r="N104" s="25">
        <f t="shared" ref="N104:P104" si="95">C97</f>
        <v>0.85</v>
      </c>
      <c r="O104" s="25">
        <f t="shared" si="95"/>
        <v>83</v>
      </c>
      <c r="P104" s="25">
        <f t="shared" si="95"/>
        <v>297</v>
      </c>
      <c r="Q104" s="25"/>
    </row>
    <row r="105" spans="2:17">
      <c r="B105" s="4">
        <v>436</v>
      </c>
      <c r="C105" s="4">
        <v>1.02</v>
      </c>
      <c r="D105" s="4">
        <v>70</v>
      </c>
      <c r="E105" s="4">
        <v>244</v>
      </c>
      <c r="F105" s="4">
        <f t="shared" si="59"/>
        <v>444.46663399999977</v>
      </c>
      <c r="M105" s="25">
        <v>1</v>
      </c>
      <c r="N105" s="25">
        <f t="shared" ref="N105:P105" si="96">C98</f>
        <v>0.87</v>
      </c>
      <c r="O105" s="25">
        <f t="shared" si="96"/>
        <v>77</v>
      </c>
      <c r="P105" s="25">
        <f t="shared" si="96"/>
        <v>283</v>
      </c>
      <c r="Q105" s="25"/>
    </row>
    <row r="106" spans="2:17">
      <c r="B106" s="4">
        <v>450</v>
      </c>
      <c r="C106" s="4">
        <v>1.04</v>
      </c>
      <c r="D106" s="4">
        <v>72</v>
      </c>
      <c r="E106" s="4">
        <v>236</v>
      </c>
      <c r="F106" s="4">
        <f t="shared" si="59"/>
        <v>441.77826799999997</v>
      </c>
      <c r="M106" s="25">
        <v>1</v>
      </c>
      <c r="N106" s="25">
        <f t="shared" ref="N106:P106" si="97">C99</f>
        <v>0.89</v>
      </c>
      <c r="O106" s="25">
        <f t="shared" si="97"/>
        <v>75</v>
      </c>
      <c r="P106" s="25">
        <f t="shared" si="97"/>
        <v>280</v>
      </c>
      <c r="Q106" s="25"/>
    </row>
    <row r="107" spans="2:17">
      <c r="B107" s="4">
        <v>469</v>
      </c>
      <c r="C107" s="4">
        <v>1.05</v>
      </c>
      <c r="D107" s="4">
        <v>71</v>
      </c>
      <c r="E107" s="4">
        <v>223</v>
      </c>
      <c r="F107" s="4">
        <f t="shared" si="59"/>
        <v>437.66458499999999</v>
      </c>
      <c r="M107" s="25">
        <v>1</v>
      </c>
      <c r="N107" s="25">
        <f t="shared" ref="N107:P107" si="98">C100</f>
        <v>0.91</v>
      </c>
      <c r="O107" s="25">
        <f t="shared" si="98"/>
        <v>74</v>
      </c>
      <c r="P107" s="25">
        <f t="shared" si="98"/>
        <v>260</v>
      </c>
      <c r="Q107" s="25"/>
    </row>
    <row r="108" spans="2:17">
      <c r="B108" s="4">
        <v>334</v>
      </c>
      <c r="C108" s="4">
        <v>1.06</v>
      </c>
      <c r="D108" s="4">
        <v>76</v>
      </c>
      <c r="E108" s="4">
        <v>245</v>
      </c>
      <c r="F108" s="4">
        <f t="shared" si="59"/>
        <v>454.50660199999993</v>
      </c>
      <c r="M108" s="25">
        <v>1</v>
      </c>
      <c r="N108" s="25">
        <f t="shared" ref="N108:P108" si="99">C101</f>
        <v>0.93</v>
      </c>
      <c r="O108" s="25">
        <f t="shared" si="99"/>
        <v>74</v>
      </c>
      <c r="P108" s="25">
        <f t="shared" si="99"/>
        <v>268</v>
      </c>
      <c r="Q108" s="25"/>
    </row>
    <row r="109" spans="2:17">
      <c r="B109" s="4">
        <v>199</v>
      </c>
      <c r="C109" s="4">
        <v>1.07</v>
      </c>
      <c r="D109" s="4">
        <v>72</v>
      </c>
      <c r="E109" s="4">
        <v>246</v>
      </c>
      <c r="F109" s="4">
        <f t="shared" si="59"/>
        <v>489.71341899999987</v>
      </c>
      <c r="M109" s="25">
        <v>1</v>
      </c>
      <c r="N109" s="25">
        <f t="shared" ref="N109:P109" si="100">C102</f>
        <v>0.95</v>
      </c>
      <c r="O109" s="25">
        <f t="shared" si="100"/>
        <v>73</v>
      </c>
      <c r="P109" s="25">
        <f t="shared" si="100"/>
        <v>277</v>
      </c>
      <c r="Q109" s="25"/>
    </row>
    <row r="110" spans="2:17">
      <c r="B110" s="4">
        <v>386</v>
      </c>
      <c r="C110" s="4">
        <v>1.08</v>
      </c>
      <c r="D110" s="4">
        <v>66</v>
      </c>
      <c r="E110" s="4">
        <v>233</v>
      </c>
      <c r="F110" s="4">
        <f t="shared" si="59"/>
        <v>514.24623599999995</v>
      </c>
      <c r="M110" s="25">
        <v>1</v>
      </c>
      <c r="N110" s="25">
        <f t="shared" ref="N110:P110" si="101">C103</f>
        <v>0.97</v>
      </c>
      <c r="O110" s="25">
        <f t="shared" si="101"/>
        <v>71</v>
      </c>
      <c r="P110" s="25">
        <f t="shared" si="101"/>
        <v>257</v>
      </c>
      <c r="Q110" s="25"/>
    </row>
    <row r="111" spans="2:17">
      <c r="B111" s="4">
        <v>511</v>
      </c>
      <c r="C111" s="4">
        <v>1.0900000000000001</v>
      </c>
      <c r="D111" s="4">
        <v>56</v>
      </c>
      <c r="E111" s="4">
        <v>211</v>
      </c>
      <c r="F111" s="4">
        <f t="shared" si="59"/>
        <v>547.46815299999992</v>
      </c>
      <c r="M111" s="25">
        <v>1</v>
      </c>
      <c r="N111" s="25">
        <f t="shared" ref="N111:P111" si="102">C104</f>
        <v>1</v>
      </c>
      <c r="O111" s="25">
        <f t="shared" si="102"/>
        <v>71</v>
      </c>
      <c r="P111" s="25">
        <f t="shared" si="102"/>
        <v>248</v>
      </c>
      <c r="Q111" s="25"/>
    </row>
    <row r="112" spans="2:17">
      <c r="B112" s="4">
        <v>451</v>
      </c>
      <c r="C112" s="4">
        <v>1.1000000000000001</v>
      </c>
      <c r="D112" s="4">
        <v>58</v>
      </c>
      <c r="E112" s="4">
        <v>208</v>
      </c>
      <c r="F112" s="4">
        <f t="shared" si="59"/>
        <v>541.97556999999983</v>
      </c>
      <c r="M112" s="25">
        <v>1</v>
      </c>
      <c r="N112" s="25">
        <f t="shared" ref="N112:P112" si="103">C105</f>
        <v>1.02</v>
      </c>
      <c r="O112" s="25">
        <f t="shared" si="103"/>
        <v>70</v>
      </c>
      <c r="P112" s="25">
        <f t="shared" si="103"/>
        <v>244</v>
      </c>
      <c r="Q112" s="25"/>
    </row>
    <row r="113" spans="2:17">
      <c r="B113" s="4">
        <v>559</v>
      </c>
      <c r="C113" s="4">
        <v>1.1200000000000001</v>
      </c>
      <c r="D113" s="4">
        <v>55</v>
      </c>
      <c r="E113" s="4">
        <v>207</v>
      </c>
      <c r="F113" s="4">
        <f t="shared" si="59"/>
        <v>579.00000399999999</v>
      </c>
      <c r="M113" s="25">
        <v>1</v>
      </c>
      <c r="N113" s="25">
        <f t="shared" ref="N113:P113" si="104">C106</f>
        <v>1.04</v>
      </c>
      <c r="O113" s="25">
        <f t="shared" si="104"/>
        <v>72</v>
      </c>
      <c r="P113" s="25">
        <f t="shared" si="104"/>
        <v>236</v>
      </c>
      <c r="Q113" s="25"/>
    </row>
    <row r="114" spans="2:17">
      <c r="B114" s="4">
        <v>523</v>
      </c>
      <c r="C114" s="4">
        <v>1.1200000000000001</v>
      </c>
      <c r="D114" s="4">
        <v>59</v>
      </c>
      <c r="E114" s="4">
        <v>210</v>
      </c>
      <c r="F114" s="4">
        <f t="shared" si="59"/>
        <v>560.82550400000002</v>
      </c>
      <c r="M114" s="25">
        <v>1</v>
      </c>
      <c r="N114" s="25">
        <f t="shared" ref="N114:P114" si="105">C107</f>
        <v>1.05</v>
      </c>
      <c r="O114" s="25">
        <f t="shared" si="105"/>
        <v>71</v>
      </c>
      <c r="P114" s="25">
        <f t="shared" si="105"/>
        <v>223</v>
      </c>
      <c r="Q114" s="25"/>
    </row>
    <row r="115" spans="2:17">
      <c r="B115" s="4">
        <v>413</v>
      </c>
      <c r="C115" s="4">
        <v>1.1200000000000001</v>
      </c>
      <c r="D115" s="4">
        <v>58</v>
      </c>
      <c r="E115" s="4">
        <v>220</v>
      </c>
      <c r="F115" s="4">
        <f t="shared" si="59"/>
        <v>582.36380400000007</v>
      </c>
      <c r="M115" s="25">
        <v>1</v>
      </c>
      <c r="N115" s="25">
        <f t="shared" ref="N115:P115" si="106">C108</f>
        <v>1.06</v>
      </c>
      <c r="O115" s="25">
        <f t="shared" si="106"/>
        <v>76</v>
      </c>
      <c r="P115" s="25">
        <f t="shared" si="106"/>
        <v>245</v>
      </c>
      <c r="Q115" s="25"/>
    </row>
    <row r="116" spans="2:17">
      <c r="B116" s="4">
        <v>241</v>
      </c>
      <c r="C116" s="4">
        <v>1.1100000000000001</v>
      </c>
      <c r="D116" s="4">
        <v>57</v>
      </c>
      <c r="E116" s="4">
        <v>239</v>
      </c>
      <c r="F116" s="4">
        <f t="shared" si="59"/>
        <v>607.42148699999984</v>
      </c>
      <c r="M116" s="25">
        <v>1</v>
      </c>
      <c r="N116" s="25">
        <f t="shared" ref="N116:P116" si="107">C109</f>
        <v>1.07</v>
      </c>
      <c r="O116" s="25">
        <f t="shared" si="107"/>
        <v>72</v>
      </c>
      <c r="P116" s="25">
        <f t="shared" si="107"/>
        <v>246</v>
      </c>
      <c r="Q116" s="25"/>
    </row>
    <row r="117" spans="2:17">
      <c r="B117" s="4">
        <v>375</v>
      </c>
      <c r="C117" s="4">
        <v>1.1200000000000001</v>
      </c>
      <c r="D117" s="4">
        <v>52</v>
      </c>
      <c r="E117" s="4">
        <v>237</v>
      </c>
      <c r="F117" s="4">
        <f t="shared" si="59"/>
        <v>643.61490400000002</v>
      </c>
      <c r="M117" s="25">
        <v>1</v>
      </c>
      <c r="N117" s="25">
        <f t="shared" ref="N117:P117" si="108">C110</f>
        <v>1.08</v>
      </c>
      <c r="O117" s="25">
        <f t="shared" si="108"/>
        <v>66</v>
      </c>
      <c r="P117" s="25">
        <f t="shared" si="108"/>
        <v>233</v>
      </c>
      <c r="Q117" s="25"/>
    </row>
    <row r="118" spans="2:17">
      <c r="B118" s="4">
        <v>594</v>
      </c>
      <c r="C118" s="4">
        <v>1.1299999999999999</v>
      </c>
      <c r="D118" s="4">
        <v>53</v>
      </c>
      <c r="E118" s="4">
        <v>233</v>
      </c>
      <c r="F118" s="4">
        <f t="shared" si="59"/>
        <v>642.27072099999987</v>
      </c>
      <c r="M118" s="25">
        <v>1</v>
      </c>
      <c r="N118" s="25">
        <f t="shared" ref="N118:P118" si="109">C111</f>
        <v>1.0900000000000001</v>
      </c>
      <c r="O118" s="25">
        <f t="shared" si="109"/>
        <v>56</v>
      </c>
      <c r="P118" s="25">
        <f t="shared" si="109"/>
        <v>211</v>
      </c>
      <c r="Q118" s="25"/>
    </row>
    <row r="119" spans="2:17">
      <c r="B119" s="4">
        <v>572</v>
      </c>
      <c r="C119" s="4">
        <v>1.1399999999999999</v>
      </c>
      <c r="D119" s="4">
        <v>53</v>
      </c>
      <c r="E119" s="4">
        <v>233</v>
      </c>
      <c r="F119" s="4">
        <f t="shared" si="59"/>
        <v>652.97943799999985</v>
      </c>
      <c r="M119" s="25">
        <v>1</v>
      </c>
      <c r="N119" s="25">
        <f t="shared" ref="N119:P119" si="110">C112</f>
        <v>1.1000000000000001</v>
      </c>
      <c r="O119" s="25">
        <f t="shared" si="110"/>
        <v>58</v>
      </c>
      <c r="P119" s="25">
        <f t="shared" si="110"/>
        <v>208</v>
      </c>
      <c r="Q119" s="25"/>
    </row>
    <row r="120" spans="2:17">
      <c r="B120" s="4">
        <v>598</v>
      </c>
      <c r="C120" s="4">
        <v>1.1599999999999999</v>
      </c>
      <c r="D120" s="4">
        <v>52</v>
      </c>
      <c r="E120" s="4">
        <v>246</v>
      </c>
      <c r="F120" s="4">
        <f t="shared" si="59"/>
        <v>700.67787199999975</v>
      </c>
      <c r="M120" s="25">
        <v>1</v>
      </c>
      <c r="N120" s="25">
        <f t="shared" ref="N120:P120" si="111">C113</f>
        <v>1.1200000000000001</v>
      </c>
      <c r="O120" s="25">
        <f t="shared" si="111"/>
        <v>55</v>
      </c>
      <c r="P120" s="25">
        <f t="shared" si="111"/>
        <v>207</v>
      </c>
      <c r="Q120" s="25"/>
    </row>
    <row r="121" spans="2:17">
      <c r="B121" s="4">
        <v>609</v>
      </c>
      <c r="C121" s="4">
        <v>1.1599999999999999</v>
      </c>
      <c r="D121" s="4">
        <v>49</v>
      </c>
      <c r="E121" s="4">
        <v>244</v>
      </c>
      <c r="F121" s="4">
        <f t="shared" si="59"/>
        <v>714.70397199999979</v>
      </c>
      <c r="M121" s="25">
        <v>1</v>
      </c>
      <c r="N121" s="25">
        <f t="shared" ref="N121:P121" si="112">C114</f>
        <v>1.1200000000000001</v>
      </c>
      <c r="O121" s="25">
        <f t="shared" si="112"/>
        <v>59</v>
      </c>
      <c r="P121" s="25">
        <f t="shared" si="112"/>
        <v>210</v>
      </c>
      <c r="Q121" s="25"/>
    </row>
    <row r="122" spans="2:17">
      <c r="B122" s="4">
        <v>445</v>
      </c>
      <c r="C122" s="4">
        <v>1.1599999999999999</v>
      </c>
      <c r="D122" s="4">
        <v>54</v>
      </c>
      <c r="E122" s="4">
        <v>271</v>
      </c>
      <c r="F122" s="4">
        <f t="shared" si="59"/>
        <v>728.74177199999974</v>
      </c>
      <c r="M122" s="25">
        <v>1</v>
      </c>
      <c r="N122" s="25">
        <f t="shared" ref="N122:P122" si="113">C115</f>
        <v>1.1200000000000001</v>
      </c>
      <c r="O122" s="25">
        <f t="shared" si="113"/>
        <v>58</v>
      </c>
      <c r="P122" s="25">
        <f t="shared" si="113"/>
        <v>220</v>
      </c>
      <c r="Q122" s="25"/>
    </row>
    <row r="123" spans="2:17">
      <c r="B123" s="4">
        <v>435</v>
      </c>
      <c r="C123" s="4">
        <v>1.1599999999999999</v>
      </c>
      <c r="D123" s="4">
        <v>52</v>
      </c>
      <c r="E123" s="4">
        <v>283</v>
      </c>
      <c r="F123" s="4">
        <f t="shared" si="59"/>
        <v>759.17117199999973</v>
      </c>
      <c r="M123" s="25">
        <v>1</v>
      </c>
      <c r="N123" s="25">
        <f t="shared" ref="N123:P123" si="114">C116</f>
        <v>1.1100000000000001</v>
      </c>
      <c r="O123" s="25">
        <f t="shared" si="114"/>
        <v>57</v>
      </c>
      <c r="P123" s="25">
        <f t="shared" si="114"/>
        <v>239</v>
      </c>
      <c r="Q123" s="25"/>
    </row>
    <row r="124" spans="2:17">
      <c r="M124" s="25">
        <v>1</v>
      </c>
      <c r="N124" s="25">
        <f t="shared" ref="N124:P124" si="115">C117</f>
        <v>1.1200000000000001</v>
      </c>
      <c r="O124" s="25">
        <f t="shared" si="115"/>
        <v>52</v>
      </c>
      <c r="P124" s="25">
        <f t="shared" si="115"/>
        <v>237</v>
      </c>
      <c r="Q124" s="25"/>
    </row>
    <row r="125" spans="2:17">
      <c r="M125" s="25">
        <v>1</v>
      </c>
      <c r="N125" s="25">
        <f t="shared" ref="N125:P125" si="116">C118</f>
        <v>1.1299999999999999</v>
      </c>
      <c r="O125" s="25">
        <f t="shared" si="116"/>
        <v>53</v>
      </c>
      <c r="P125" s="25">
        <f t="shared" si="116"/>
        <v>233</v>
      </c>
      <c r="Q125" s="25"/>
    </row>
    <row r="126" spans="2:17">
      <c r="M126" s="25">
        <v>1</v>
      </c>
      <c r="N126" s="25">
        <f t="shared" ref="N126:P126" si="117">C119</f>
        <v>1.1399999999999999</v>
      </c>
      <c r="O126" s="25">
        <f t="shared" si="117"/>
        <v>53</v>
      </c>
      <c r="P126" s="25">
        <f t="shared" si="117"/>
        <v>233</v>
      </c>
      <c r="Q126" s="25"/>
    </row>
    <row r="127" spans="2:17">
      <c r="M127" s="25">
        <v>1</v>
      </c>
      <c r="N127" s="25">
        <f t="shared" ref="N127:P127" si="118">C120</f>
        <v>1.1599999999999999</v>
      </c>
      <c r="O127" s="25">
        <f t="shared" si="118"/>
        <v>52</v>
      </c>
      <c r="P127" s="25">
        <f t="shared" si="118"/>
        <v>246</v>
      </c>
      <c r="Q127" s="25"/>
    </row>
    <row r="128" spans="2:17">
      <c r="M128" s="25">
        <v>1</v>
      </c>
      <c r="N128" s="25">
        <f t="shared" ref="N128:P128" si="119">C121</f>
        <v>1.1599999999999999</v>
      </c>
      <c r="O128" s="25">
        <f t="shared" si="119"/>
        <v>49</v>
      </c>
      <c r="P128" s="25">
        <f t="shared" si="119"/>
        <v>244</v>
      </c>
      <c r="Q128" s="25"/>
    </row>
    <row r="129" spans="5:34">
      <c r="M129" s="25">
        <v>1</v>
      </c>
      <c r="N129" s="25">
        <f t="shared" ref="N129:P129" si="120">C122</f>
        <v>1.1599999999999999</v>
      </c>
      <c r="O129" s="25">
        <f t="shared" si="120"/>
        <v>54</v>
      </c>
      <c r="P129" s="25">
        <f t="shared" si="120"/>
        <v>271</v>
      </c>
      <c r="Q129" s="25"/>
    </row>
    <row r="130" spans="5:34">
      <c r="M130" s="25">
        <v>1</v>
      </c>
      <c r="N130" s="25">
        <f t="shared" ref="N130:P130" si="121">C123</f>
        <v>1.1599999999999999</v>
      </c>
      <c r="O130" s="25">
        <f t="shared" si="121"/>
        <v>52</v>
      </c>
      <c r="P130" s="25">
        <f t="shared" si="121"/>
        <v>283</v>
      </c>
      <c r="Q130" s="25"/>
    </row>
    <row r="137" spans="5:34">
      <c r="Y137">
        <f t="array" ref="Y137:Y140">MMULT(U56:EJ59,B4:B123)</f>
        <v>128577</v>
      </c>
      <c r="AH137">
        <f t="array" ref="AH137:AH140">MMULT(P138:S141,Y137:Y140)</f>
        <v>-632.5110703331884</v>
      </c>
    </row>
    <row r="138" spans="5:34">
      <c r="E138">
        <f t="array" ref="E138:H141">MMULT(U56:EJ59,M11:P130)</f>
        <v>120</v>
      </c>
      <c r="F138">
        <v>99.889999999999986</v>
      </c>
      <c r="G138">
        <v>33704</v>
      </c>
      <c r="H138">
        <v>183826</v>
      </c>
      <c r="P138">
        <f t="array" ref="P138:S141">MINVERSE(E138:H141)</f>
        <v>1.6476850676046058</v>
      </c>
      <c r="Q138">
        <v>-1.4644917598710607</v>
      </c>
      <c r="R138">
        <v>-3.5585023300718256E-3</v>
      </c>
      <c r="S138">
        <v>3.7808382010002964E-4</v>
      </c>
      <c r="Y138">
        <v>90806.080000000016</v>
      </c>
      <c r="AH138">
        <v>1070.8717221753323</v>
      </c>
    </row>
    <row r="139" spans="5:34">
      <c r="E139">
        <v>99.889999999999986</v>
      </c>
      <c r="F139">
        <v>88.893900000000031</v>
      </c>
      <c r="G139">
        <v>22146.890000000007</v>
      </c>
      <c r="H139">
        <v>117452.48000000003</v>
      </c>
      <c r="P139">
        <v>-1.4644917598710621</v>
      </c>
      <c r="Q139">
        <v>1.3214032039492378</v>
      </c>
      <c r="R139">
        <v>3.0604309819083873E-3</v>
      </c>
      <c r="S139">
        <v>-3.2315733722216585E-4</v>
      </c>
      <c r="Y139">
        <v>75527663</v>
      </c>
      <c r="AH139">
        <v>-5.7293111620384707</v>
      </c>
    </row>
    <row r="140" spans="5:34">
      <c r="E140">
        <v>33704</v>
      </c>
      <c r="F140">
        <v>22146.890000000007</v>
      </c>
      <c r="G140">
        <v>18548310</v>
      </c>
      <c r="H140">
        <v>113478976</v>
      </c>
      <c r="P140">
        <v>-3.5585023300717857E-3</v>
      </c>
      <c r="Q140">
        <v>3.0604309819083461E-3</v>
      </c>
      <c r="R140">
        <v>9.6256726652889317E-6</v>
      </c>
      <c r="S140">
        <v>-1.104902694314777E-6</v>
      </c>
      <c r="Y140">
        <v>500585311</v>
      </c>
      <c r="AH140">
        <v>1.5808952787812842</v>
      </c>
    </row>
    <row r="141" spans="5:34">
      <c r="E141">
        <v>183826</v>
      </c>
      <c r="F141">
        <v>117452.48000000003</v>
      </c>
      <c r="G141">
        <v>113478976</v>
      </c>
      <c r="H141">
        <v>721892924</v>
      </c>
      <c r="P141">
        <v>3.780838201000246E-4</v>
      </c>
      <c r="Q141">
        <v>-3.2315733722216103E-4</v>
      </c>
      <c r="R141">
        <v>-1.1049026943147742E-6</v>
      </c>
      <c r="S141">
        <v>1.3137297451015543E-7</v>
      </c>
    </row>
    <row r="147" spans="1:17" ht="20.25">
      <c r="B147" s="83" t="str">
        <f>"𝑦 ̂="&amp;ROUND(AH137,4)&amp;"+"&amp;ROUND(AH138,4)&amp;"X1"&amp;"+"&amp;ROUND(AH139,4)&amp;"X2"&amp;"+"&amp;ROUND(AH140,4)&amp;"X3"</f>
        <v>𝑦 ̂=-632,5111+1070,8717X1+-5,7293X2+1,5809X3</v>
      </c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</row>
    <row r="150" spans="1:17" ht="18.75" thickBot="1">
      <c r="A150" s="25"/>
      <c r="B150" s="25"/>
      <c r="C150" s="25"/>
      <c r="D150" s="25"/>
      <c r="E150" s="25"/>
      <c r="F150" s="25"/>
      <c r="G150" s="25"/>
      <c r="M150" s="31" t="s">
        <v>73</v>
      </c>
      <c r="N150">
        <f>MMULT(U68:EJ68,B4:B123)</f>
        <v>423547897</v>
      </c>
    </row>
    <row r="151" spans="1:17">
      <c r="A151" s="39" t="s">
        <v>81</v>
      </c>
      <c r="B151" s="41"/>
      <c r="C151" s="41"/>
      <c r="D151" s="41"/>
      <c r="E151" s="41"/>
      <c r="F151" s="42"/>
      <c r="G151" s="25"/>
    </row>
    <row r="152" spans="1:17">
      <c r="A152" s="43"/>
      <c r="B152" s="14"/>
      <c r="C152" s="14"/>
      <c r="D152" s="14">
        <f>N150-(N152^2*N154)</f>
        <v>285780855.92500001</v>
      </c>
      <c r="E152" s="14"/>
      <c r="F152" s="45"/>
      <c r="G152" s="25"/>
      <c r="M152" s="25" t="s">
        <v>74</v>
      </c>
      <c r="N152">
        <f>AVERAGE(B4:B123)</f>
        <v>1071.4749999999999</v>
      </c>
    </row>
    <row r="153" spans="1:17">
      <c r="A153" s="43"/>
      <c r="B153" s="14"/>
      <c r="C153" s="14"/>
      <c r="D153" s="14"/>
      <c r="E153" s="14"/>
      <c r="F153" s="45"/>
      <c r="G153" s="25"/>
    </row>
    <row r="154" spans="1:17">
      <c r="A154" s="43"/>
      <c r="B154" s="14"/>
      <c r="C154" s="14"/>
      <c r="D154" s="14">
        <f>ROUND(N158-(N154*N152^2),4)</f>
        <v>236799718.4269</v>
      </c>
      <c r="E154" s="14"/>
      <c r="F154" s="45"/>
      <c r="G154" s="25"/>
      <c r="M154" s="31" t="s">
        <v>19</v>
      </c>
      <c r="N154">
        <v>120</v>
      </c>
    </row>
    <row r="155" spans="1:17">
      <c r="A155" s="43"/>
      <c r="B155" s="14"/>
      <c r="C155" s="14"/>
      <c r="D155" s="14"/>
      <c r="E155" s="14"/>
      <c r="F155" s="45"/>
      <c r="G155" s="25"/>
    </row>
    <row r="156" spans="1:17">
      <c r="A156" s="43"/>
      <c r="B156" s="14"/>
      <c r="C156" s="14"/>
      <c r="D156" s="14">
        <f>ROUND(N150-N158,4)</f>
        <v>48981137.498099998</v>
      </c>
      <c r="E156" s="14"/>
      <c r="F156" s="45"/>
      <c r="G156" s="25"/>
      <c r="N156">
        <f t="array" ref="N156:Q156">TRANSPOSE(AH137:AH140)</f>
        <v>-632.5110703331884</v>
      </c>
      <c r="O156">
        <v>1070.8717221753323</v>
      </c>
      <c r="P156">
        <v>-5.7293111620384707</v>
      </c>
      <c r="Q156">
        <v>1.5808952787812842</v>
      </c>
    </row>
    <row r="157" spans="1:17">
      <c r="A157" s="43"/>
      <c r="B157" s="14"/>
      <c r="C157" s="14"/>
      <c r="D157" s="14"/>
      <c r="E157" s="14"/>
      <c r="F157" s="45"/>
      <c r="G157" s="25"/>
    </row>
    <row r="158" spans="1:17">
      <c r="A158" s="43"/>
      <c r="B158" s="14"/>
      <c r="C158" s="14"/>
      <c r="D158" s="14"/>
      <c r="E158" s="14"/>
      <c r="F158" s="45"/>
      <c r="G158" s="25"/>
      <c r="N158">
        <f>MMULT(N156:Q156,Y137:Y140)</f>
        <v>374566759.50194156</v>
      </c>
    </row>
    <row r="159" spans="1:17">
      <c r="A159" s="43"/>
      <c r="B159" s="14"/>
      <c r="C159" s="14"/>
      <c r="D159" s="14">
        <f>D154/B171</f>
        <v>78933239.475633338</v>
      </c>
      <c r="E159" s="14"/>
      <c r="F159" s="45"/>
      <c r="G159" s="25"/>
    </row>
    <row r="160" spans="1:17">
      <c r="A160" s="43"/>
      <c r="B160" s="14"/>
      <c r="C160" s="14"/>
      <c r="D160" s="14"/>
      <c r="E160" s="14"/>
      <c r="F160" s="45"/>
      <c r="G160" s="25"/>
    </row>
    <row r="161" spans="1:7">
      <c r="A161" s="43"/>
      <c r="B161" s="14"/>
      <c r="C161" s="14"/>
      <c r="D161" s="14"/>
      <c r="E161" s="14"/>
      <c r="F161" s="45"/>
      <c r="G161" s="25"/>
    </row>
    <row r="162" spans="1:7">
      <c r="A162" s="43"/>
      <c r="B162" s="14"/>
      <c r="C162" s="14"/>
      <c r="D162" s="14">
        <f>D156/(N154-(B171+1))</f>
        <v>422251.18532844825</v>
      </c>
      <c r="E162" s="14"/>
      <c r="F162" s="45"/>
      <c r="G162" s="25"/>
    </row>
    <row r="163" spans="1:7">
      <c r="A163" s="43"/>
      <c r="B163" s="14"/>
      <c r="C163" s="14"/>
      <c r="D163" s="14"/>
      <c r="E163" s="14"/>
      <c r="F163" s="45"/>
      <c r="G163" s="25"/>
    </row>
    <row r="164" spans="1:7">
      <c r="A164" s="43"/>
      <c r="B164" s="14"/>
      <c r="C164" s="14"/>
      <c r="D164" s="14"/>
      <c r="E164" s="14"/>
      <c r="F164" s="45"/>
      <c r="G164" s="25"/>
    </row>
    <row r="165" spans="1:7">
      <c r="A165" s="43"/>
      <c r="B165" s="14"/>
      <c r="C165" s="14"/>
      <c r="D165" s="14">
        <f>D159/D162</f>
        <v>186.93432302442227</v>
      </c>
      <c r="E165" s="14"/>
      <c r="F165" s="45"/>
      <c r="G165" s="25"/>
    </row>
    <row r="166" spans="1:7">
      <c r="A166" s="43"/>
      <c r="B166" s="14"/>
      <c r="C166" s="14"/>
      <c r="D166" s="14"/>
      <c r="E166" s="14"/>
      <c r="F166" s="45"/>
      <c r="G166" s="25"/>
    </row>
    <row r="167" spans="1:7">
      <c r="A167" s="43"/>
      <c r="B167" s="14"/>
      <c r="C167" s="14"/>
      <c r="D167" s="14"/>
      <c r="E167" s="14"/>
      <c r="F167" s="45"/>
      <c r="G167" s="25"/>
    </row>
    <row r="168" spans="1:7">
      <c r="A168" s="43"/>
      <c r="B168" s="14"/>
      <c r="C168" s="14"/>
      <c r="D168" s="14"/>
      <c r="E168" s="14"/>
      <c r="F168" s="45"/>
      <c r="G168" s="25"/>
    </row>
    <row r="169" spans="1:7" ht="13.5" thickBot="1">
      <c r="A169" s="43" t="s">
        <v>44</v>
      </c>
      <c r="B169" s="14"/>
      <c r="C169" s="14"/>
      <c r="D169" s="14"/>
      <c r="E169" s="14"/>
      <c r="F169" s="45"/>
      <c r="G169" s="25"/>
    </row>
    <row r="170" spans="1:7">
      <c r="A170" s="56"/>
      <c r="B170" s="20" t="s">
        <v>48</v>
      </c>
      <c r="C170" s="20" t="s">
        <v>49</v>
      </c>
      <c r="D170" s="20" t="s">
        <v>50</v>
      </c>
      <c r="E170" s="20" t="s">
        <v>51</v>
      </c>
      <c r="F170" s="57"/>
      <c r="G170" s="25"/>
    </row>
    <row r="171" spans="1:7">
      <c r="A171" s="58" t="s">
        <v>45</v>
      </c>
      <c r="B171" s="18">
        <v>3</v>
      </c>
      <c r="C171" s="18">
        <f>D154</f>
        <v>236799718.4269</v>
      </c>
      <c r="D171" s="18">
        <f>D159</f>
        <v>78933239.475633338</v>
      </c>
      <c r="E171" s="18">
        <f>D171/D172</f>
        <v>186.93432302442227</v>
      </c>
      <c r="F171" s="59"/>
      <c r="G171" s="25"/>
    </row>
    <row r="172" spans="1:7">
      <c r="A172" s="58" t="s">
        <v>46</v>
      </c>
      <c r="B172" s="18">
        <v>116</v>
      </c>
      <c r="C172" s="18">
        <f>D156</f>
        <v>48981137.498099998</v>
      </c>
      <c r="D172" s="18">
        <f>D162</f>
        <v>422251.18532844825</v>
      </c>
      <c r="E172" s="18"/>
      <c r="F172" s="59"/>
      <c r="G172" s="25"/>
    </row>
    <row r="173" spans="1:7" ht="13.5" thickBot="1">
      <c r="A173" s="60" t="s">
        <v>47</v>
      </c>
      <c r="B173" s="19">
        <v>119</v>
      </c>
      <c r="C173" s="19">
        <f>D152</f>
        <v>285780855.92500001</v>
      </c>
      <c r="D173" s="19"/>
      <c r="E173" s="19"/>
      <c r="F173" s="59"/>
      <c r="G173" s="25"/>
    </row>
    <row r="174" spans="1:7" ht="13.5" thickBot="1">
      <c r="A174" s="47"/>
      <c r="B174" s="28"/>
      <c r="C174" s="28"/>
      <c r="D174" s="28"/>
      <c r="E174" s="28"/>
      <c r="F174" s="49"/>
      <c r="G174" s="25"/>
    </row>
    <row r="175" spans="1:7" ht="13.5" thickBot="1">
      <c r="A175" s="25"/>
      <c r="B175" s="25"/>
      <c r="C175" s="25"/>
      <c r="D175" s="25"/>
      <c r="E175" s="25"/>
      <c r="F175" s="25"/>
      <c r="G175" s="25"/>
    </row>
    <row r="176" spans="1:7">
      <c r="A176" s="39" t="s">
        <v>75</v>
      </c>
      <c r="B176" s="41"/>
      <c r="C176" s="41"/>
      <c r="D176" s="41"/>
      <c r="E176" s="41"/>
      <c r="F176" s="42"/>
      <c r="G176" s="25"/>
    </row>
    <row r="177" spans="1:12">
      <c r="A177" s="43"/>
      <c r="B177" s="14"/>
      <c r="C177" s="14"/>
      <c r="D177" s="14"/>
      <c r="E177" s="14"/>
      <c r="F177" s="45"/>
      <c r="G177" s="25"/>
    </row>
    <row r="178" spans="1:12">
      <c r="A178" s="43"/>
      <c r="B178" s="14"/>
      <c r="C178" s="14"/>
      <c r="D178" s="14"/>
      <c r="E178" s="14"/>
      <c r="F178" s="45"/>
      <c r="G178" s="25"/>
    </row>
    <row r="179" spans="1:12">
      <c r="A179" s="43"/>
      <c r="B179" s="14"/>
      <c r="C179" s="14"/>
      <c r="D179" s="14"/>
      <c r="E179" s="14"/>
      <c r="F179" s="45"/>
      <c r="G179" s="25"/>
    </row>
    <row r="180" spans="1:12">
      <c r="A180" s="43"/>
      <c r="B180" s="14"/>
      <c r="C180" s="14"/>
      <c r="D180" s="14"/>
      <c r="E180" s="14"/>
      <c r="F180" s="45"/>
      <c r="G180" s="25"/>
    </row>
    <row r="181" spans="1:12">
      <c r="A181" s="43"/>
      <c r="B181" s="14"/>
      <c r="C181" s="14"/>
      <c r="D181" s="14"/>
      <c r="E181" s="14"/>
      <c r="F181" s="45"/>
      <c r="G181" s="25"/>
    </row>
    <row r="182" spans="1:12">
      <c r="A182" s="43"/>
      <c r="B182" s="14"/>
      <c r="C182" s="14"/>
      <c r="D182" s="14"/>
      <c r="E182" s="14"/>
      <c r="F182" s="45"/>
      <c r="G182" s="25"/>
    </row>
    <row r="183" spans="1:12">
      <c r="A183" s="43"/>
      <c r="B183" s="14"/>
      <c r="C183" s="14"/>
      <c r="D183" s="14"/>
      <c r="E183" s="14"/>
      <c r="F183" s="45"/>
      <c r="G183" s="25"/>
    </row>
    <row r="184" spans="1:12">
      <c r="A184" s="43"/>
      <c r="B184" s="14"/>
      <c r="C184" s="14"/>
      <c r="D184" s="14"/>
      <c r="E184" s="14"/>
      <c r="F184" s="45"/>
      <c r="G184" s="25"/>
    </row>
    <row r="185" spans="1:12">
      <c r="A185" s="43"/>
      <c r="B185" s="14"/>
      <c r="C185" s="14"/>
      <c r="D185" s="14"/>
      <c r="E185" s="14"/>
      <c r="F185" s="45"/>
      <c r="G185" s="25"/>
    </row>
    <row r="186" spans="1:12">
      <c r="A186" s="43"/>
      <c r="B186" s="29" t="s">
        <v>76</v>
      </c>
      <c r="C186" s="14">
        <f>D154/D152</f>
        <v>0.82860595283907135</v>
      </c>
      <c r="D186" s="14"/>
      <c r="E186" s="14"/>
      <c r="F186" s="45"/>
      <c r="G186" s="25"/>
    </row>
    <row r="187" spans="1:12">
      <c r="A187" s="43"/>
      <c r="B187" s="29" t="s">
        <v>77</v>
      </c>
      <c r="C187" s="14">
        <f>1  -         (       (D156/(N154-B171+1))     /           (D152/(N154-1))              )</f>
        <v>0.82715346091397879</v>
      </c>
      <c r="D187" s="14"/>
      <c r="E187" s="14"/>
      <c r="F187" s="45"/>
      <c r="G187" s="25"/>
    </row>
    <row r="188" spans="1:12" ht="13.5" thickBot="1">
      <c r="A188" s="47"/>
      <c r="B188" s="28"/>
      <c r="C188" s="28"/>
      <c r="D188" s="28"/>
      <c r="E188" s="28"/>
      <c r="F188" s="49"/>
      <c r="G188" s="25"/>
    </row>
    <row r="189" spans="1:12" ht="13.5" thickBot="1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</row>
    <row r="190" spans="1:12">
      <c r="A190" s="39" t="s">
        <v>79</v>
      </c>
      <c r="B190" s="41"/>
      <c r="C190" s="41"/>
      <c r="D190" s="41"/>
      <c r="E190" s="41"/>
      <c r="F190" s="41"/>
      <c r="G190" s="41"/>
      <c r="H190" s="41"/>
      <c r="I190" s="41"/>
      <c r="J190" s="42"/>
      <c r="K190" s="61"/>
      <c r="L190" s="61"/>
    </row>
    <row r="191" spans="1:12">
      <c r="A191" s="43"/>
      <c r="B191" s="14"/>
      <c r="C191" s="14"/>
      <c r="D191" s="14"/>
      <c r="E191" s="14"/>
      <c r="F191" s="14"/>
      <c r="G191" s="14"/>
      <c r="H191" s="14"/>
      <c r="I191" s="14"/>
      <c r="J191" s="45"/>
      <c r="K191" s="61"/>
      <c r="L191" s="61"/>
    </row>
    <row r="192" spans="1:12">
      <c r="A192" s="46" t="s">
        <v>80</v>
      </c>
      <c r="B192" s="14">
        <v>0.05</v>
      </c>
      <c r="C192" s="14"/>
      <c r="D192" s="14"/>
      <c r="E192" s="14"/>
      <c r="F192" s="14"/>
      <c r="G192" s="14"/>
      <c r="H192" s="14"/>
      <c r="I192" s="14"/>
      <c r="J192" s="45"/>
      <c r="K192" s="61"/>
      <c r="L192" s="61"/>
    </row>
    <row r="193" spans="1:23">
      <c r="A193" s="43"/>
      <c r="B193" s="14"/>
      <c r="C193" s="14"/>
      <c r="D193" s="14"/>
      <c r="E193" s="14"/>
      <c r="F193" s="14"/>
      <c r="G193" s="14"/>
      <c r="H193" s="14"/>
      <c r="I193" s="14"/>
      <c r="J193" s="45"/>
      <c r="K193" s="61"/>
      <c r="L193" s="61"/>
    </row>
    <row r="194" spans="1:23">
      <c r="A194" s="43" t="str">
        <f>"f(0,05);("&amp;B171&amp;","&amp;B172&amp;")="</f>
        <v>f(0,05);(3,116)=</v>
      </c>
      <c r="B194" s="29"/>
      <c r="C194" s="14">
        <f>ROUND(_xlfn.F.INV.RT(B192,B171,B172),4)</f>
        <v>2.6827999999999999</v>
      </c>
      <c r="D194" s="14"/>
      <c r="E194" s="14"/>
      <c r="F194" s="14"/>
      <c r="G194" s="14"/>
      <c r="H194" s="14"/>
      <c r="I194" s="14"/>
      <c r="J194" s="45"/>
      <c r="K194" s="61"/>
      <c r="L194" s="61"/>
    </row>
    <row r="195" spans="1:23">
      <c r="A195" s="43"/>
      <c r="B195" s="14"/>
      <c r="C195" s="14"/>
      <c r="D195" s="14"/>
      <c r="E195" s="14"/>
      <c r="F195" s="14"/>
      <c r="G195" s="14"/>
      <c r="H195" s="14"/>
      <c r="I195" s="14"/>
      <c r="J195" s="45"/>
      <c r="K195" s="61"/>
      <c r="L195" s="61"/>
    </row>
    <row r="196" spans="1:23">
      <c r="A196" s="43" t="str">
        <f>IF(C194&lt;=E171, "R: Como  " &amp;ROUND(C194,4) &amp;" &lt; "&amp;ROUND(E171,4)&amp;" o modelo é significativo","R: Como  " &amp;ROUND(C194,4) &amp;" &gt; "&amp;ROUND(E171,4)&amp;" o modelo não é significativo" )</f>
        <v>R: Como  2,6828 &lt; 186,9343 o modelo é significativo</v>
      </c>
      <c r="B196" s="14"/>
      <c r="C196" s="14"/>
      <c r="D196" s="14"/>
      <c r="E196" s="14"/>
      <c r="F196" s="14"/>
      <c r="G196" s="14"/>
      <c r="H196" s="14"/>
      <c r="I196" s="14"/>
      <c r="J196" s="45"/>
      <c r="K196" s="61"/>
      <c r="L196" s="61"/>
    </row>
    <row r="197" spans="1:23" ht="13.5" thickBot="1">
      <c r="A197" s="47"/>
      <c r="B197" s="28"/>
      <c r="C197" s="28"/>
      <c r="D197" s="28"/>
      <c r="E197" s="28"/>
      <c r="F197" s="28"/>
      <c r="G197" s="28"/>
      <c r="H197" s="28"/>
      <c r="I197" s="28"/>
      <c r="J197" s="49"/>
      <c r="K197" s="61"/>
      <c r="L197" s="61"/>
    </row>
    <row r="198" spans="1:23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</row>
    <row r="199" spans="1:23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</row>
    <row r="200" spans="1:23" ht="13.5" thickBot="1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</row>
    <row r="201" spans="1:23">
      <c r="A201" s="21" t="s">
        <v>78</v>
      </c>
      <c r="B201" s="39"/>
      <c r="C201" s="40" t="s">
        <v>61</v>
      </c>
      <c r="D201" s="41">
        <v>0.95</v>
      </c>
      <c r="E201" s="41"/>
      <c r="F201" s="41"/>
      <c r="G201" s="41"/>
      <c r="H201" s="41"/>
      <c r="I201" s="41"/>
      <c r="J201" s="41"/>
      <c r="K201" s="42"/>
      <c r="L201" s="61"/>
      <c r="N201" s="39"/>
      <c r="O201" s="40" t="s">
        <v>61</v>
      </c>
      <c r="P201" s="41">
        <v>0.9</v>
      </c>
      <c r="Q201" s="41"/>
      <c r="R201" s="41"/>
      <c r="S201" s="41"/>
      <c r="T201" s="41"/>
      <c r="U201" s="41"/>
      <c r="V201" s="41"/>
      <c r="W201" s="42"/>
    </row>
    <row r="202" spans="1:23">
      <c r="A202" s="61" t="s">
        <v>82</v>
      </c>
      <c r="B202" s="43"/>
      <c r="C202" s="44" t="s">
        <v>62</v>
      </c>
      <c r="D202" s="14">
        <f>1-D201</f>
        <v>5.0000000000000044E-2</v>
      </c>
      <c r="E202" s="14"/>
      <c r="F202" s="14"/>
      <c r="G202" s="29" t="str">
        <f>A205&amp;"="</f>
        <v>β0=</v>
      </c>
      <c r="H202" s="14">
        <f>AH137</f>
        <v>-632.5110703331884</v>
      </c>
      <c r="I202" s="14"/>
      <c r="J202" s="14"/>
      <c r="K202" s="45"/>
      <c r="L202" s="61"/>
      <c r="N202" s="43"/>
      <c r="O202" s="44" t="s">
        <v>62</v>
      </c>
      <c r="P202" s="14">
        <f>1-P201</f>
        <v>9.9999999999999978E-2</v>
      </c>
      <c r="Q202" s="14"/>
      <c r="R202" s="14"/>
      <c r="S202" s="29" t="str">
        <f>G202</f>
        <v>β0=</v>
      </c>
      <c r="T202" s="29">
        <f>H202</f>
        <v>-632.5110703331884</v>
      </c>
      <c r="U202" s="14"/>
      <c r="V202" s="14"/>
      <c r="W202" s="45"/>
    </row>
    <row r="203" spans="1:23">
      <c r="A203" s="21" t="s">
        <v>83</v>
      </c>
      <c r="B203" s="43"/>
      <c r="C203" s="14"/>
      <c r="D203" s="14">
        <f>ROUND(_xlfn.T.INV(1-D202/2,120-(3+1)),2)</f>
        <v>1.98</v>
      </c>
      <c r="E203" s="14"/>
      <c r="F203" s="14"/>
      <c r="G203" s="14"/>
      <c r="H203" s="14"/>
      <c r="I203" s="14"/>
      <c r="J203" s="14"/>
      <c r="K203" s="45"/>
      <c r="L203" s="61"/>
      <c r="N203" s="43"/>
      <c r="O203" s="14"/>
      <c r="P203" s="14">
        <f>ROUND(_xlfn.T.INV(1-P202/2,120-(3+1)),2)</f>
        <v>1.66</v>
      </c>
      <c r="Q203" s="14"/>
      <c r="R203" s="14"/>
      <c r="S203" s="14"/>
      <c r="T203" s="14"/>
      <c r="U203" s="14"/>
      <c r="V203" s="14"/>
      <c r="W203" s="45"/>
    </row>
    <row r="204" spans="1:23">
      <c r="A204" s="61" t="s">
        <v>45</v>
      </c>
      <c r="B204" s="43"/>
      <c r="C204" s="14"/>
      <c r="D204" s="14"/>
      <c r="E204" s="14"/>
      <c r="F204" s="14"/>
      <c r="G204" s="67" t="s">
        <v>109</v>
      </c>
      <c r="H204" s="14">
        <f>SQRT(D205*D207)</f>
        <v>834.10848985250664</v>
      </c>
      <c r="I204" s="14"/>
      <c r="J204" s="14"/>
      <c r="K204" s="45"/>
      <c r="L204" s="61"/>
      <c r="N204" s="43"/>
      <c r="O204" s="14"/>
      <c r="P204" s="14"/>
      <c r="Q204" s="14"/>
      <c r="R204" s="14"/>
      <c r="S204" s="76" t="s">
        <v>109</v>
      </c>
      <c r="T204" s="29">
        <f>H204</f>
        <v>834.10848985250664</v>
      </c>
      <c r="U204" s="14"/>
      <c r="V204" s="14"/>
      <c r="W204" s="45"/>
    </row>
    <row r="205" spans="1:23">
      <c r="A205" s="21" t="s">
        <v>84</v>
      </c>
      <c r="B205" s="43"/>
      <c r="C205" s="14"/>
      <c r="D205" s="14">
        <f>D162</f>
        <v>422251.18532844825</v>
      </c>
      <c r="E205" s="14"/>
      <c r="F205" s="14"/>
      <c r="G205" s="14"/>
      <c r="H205" s="14"/>
      <c r="I205" s="14"/>
      <c r="J205" s="14"/>
      <c r="K205" s="45"/>
      <c r="L205" s="61"/>
      <c r="N205" s="43"/>
      <c r="O205" s="14"/>
      <c r="P205" s="14">
        <f>D205</f>
        <v>422251.18532844825</v>
      </c>
      <c r="Q205" s="14"/>
      <c r="R205" s="14"/>
      <c r="S205" s="14"/>
      <c r="T205" s="14"/>
      <c r="U205" s="14"/>
      <c r="V205" s="14"/>
      <c r="W205" s="45"/>
    </row>
    <row r="206" spans="1:23">
      <c r="A206" s="61"/>
      <c r="B206" s="43"/>
      <c r="C206" s="14"/>
      <c r="D206" s="14"/>
      <c r="E206" s="14"/>
      <c r="F206" s="14"/>
      <c r="G206" s="14"/>
      <c r="H206" s="14"/>
      <c r="I206" s="14"/>
      <c r="J206" s="14"/>
      <c r="K206" s="45"/>
      <c r="L206" s="61"/>
      <c r="N206" s="43"/>
      <c r="O206" s="14"/>
      <c r="P206" s="14"/>
      <c r="Q206" s="14"/>
      <c r="R206" s="14"/>
      <c r="S206" s="14"/>
      <c r="T206" s="14"/>
      <c r="U206" s="14"/>
      <c r="V206" s="14"/>
      <c r="W206" s="45"/>
    </row>
    <row r="207" spans="1:23">
      <c r="A207" s="61"/>
      <c r="B207" s="43"/>
      <c r="C207" s="14"/>
      <c r="D207" s="14">
        <f>P138</f>
        <v>1.6476850676046058</v>
      </c>
      <c r="E207" s="14"/>
      <c r="F207" s="14"/>
      <c r="G207" s="14"/>
      <c r="H207" s="14"/>
      <c r="I207" s="14"/>
      <c r="J207" s="14"/>
      <c r="K207" s="45"/>
      <c r="L207" s="61"/>
      <c r="N207" s="43"/>
      <c r="O207" s="14"/>
      <c r="P207" s="14">
        <f>D207</f>
        <v>1.6476850676046058</v>
      </c>
      <c r="Q207" s="14"/>
      <c r="R207" s="14"/>
      <c r="S207" s="14"/>
      <c r="T207" s="14"/>
      <c r="U207" s="14"/>
      <c r="V207" s="14"/>
      <c r="W207" s="45"/>
    </row>
    <row r="208" spans="1:23">
      <c r="A208" s="61"/>
      <c r="B208" s="43"/>
      <c r="C208" s="14"/>
      <c r="D208" s="14"/>
      <c r="E208" s="14"/>
      <c r="F208" s="29" t="s">
        <v>67</v>
      </c>
      <c r="G208" s="14">
        <f>H202-D209</f>
        <v>-2284.0458802411513</v>
      </c>
      <c r="H208" s="14"/>
      <c r="I208" s="14"/>
      <c r="J208" s="14"/>
      <c r="K208" s="45"/>
      <c r="L208" s="61"/>
      <c r="N208" s="43"/>
      <c r="O208" s="14"/>
      <c r="P208" s="14"/>
      <c r="Q208" s="14"/>
      <c r="R208" s="29" t="s">
        <v>67</v>
      </c>
      <c r="S208" s="14">
        <f>T202-P209</f>
        <v>-2017.1311634883493</v>
      </c>
      <c r="T208" s="14"/>
      <c r="U208" s="14"/>
      <c r="V208" s="14"/>
      <c r="W208" s="45"/>
    </row>
    <row r="209" spans="1:23" ht="13.5" thickBot="1">
      <c r="A209" s="61"/>
      <c r="B209" s="47"/>
      <c r="C209" s="48" t="s">
        <v>60</v>
      </c>
      <c r="D209" s="28">
        <f>D203*SQRT(D205*D207)</f>
        <v>1651.5348099079631</v>
      </c>
      <c r="E209" s="28"/>
      <c r="F209" s="48" t="s">
        <v>68</v>
      </c>
      <c r="G209" s="28">
        <f>H202+D209</f>
        <v>1019.0237395747747</v>
      </c>
      <c r="H209" s="28"/>
      <c r="I209" s="28"/>
      <c r="J209" s="28"/>
      <c r="K209" s="49"/>
      <c r="L209" s="61"/>
      <c r="N209" s="47"/>
      <c r="O209" s="48" t="s">
        <v>60</v>
      </c>
      <c r="P209" s="28">
        <f>P203*SQRT(P205*P207)</f>
        <v>1384.6200931551609</v>
      </c>
      <c r="Q209" s="28"/>
      <c r="R209" s="48" t="s">
        <v>68</v>
      </c>
      <c r="S209" s="28">
        <f>T202+P209</f>
        <v>752.10902282197253</v>
      </c>
      <c r="T209" s="28"/>
      <c r="U209" s="28"/>
      <c r="V209" s="28"/>
      <c r="W209" s="49"/>
    </row>
    <row r="210" spans="1:23" ht="13.5" thickBot="1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N210" s="77"/>
      <c r="O210" s="77"/>
      <c r="P210" s="77"/>
      <c r="Q210" s="77"/>
      <c r="R210" s="77"/>
      <c r="S210" s="77"/>
      <c r="T210" s="77"/>
      <c r="U210" s="77"/>
      <c r="V210" s="77"/>
      <c r="W210" s="77"/>
    </row>
    <row r="211" spans="1:23">
      <c r="A211" s="21" t="s">
        <v>78</v>
      </c>
      <c r="B211" s="39"/>
      <c r="C211" s="40" t="s">
        <v>61</v>
      </c>
      <c r="D211" s="41">
        <v>0.95</v>
      </c>
      <c r="E211" s="41"/>
      <c r="F211" s="41"/>
      <c r="G211" s="41"/>
      <c r="H211" s="41"/>
      <c r="I211" s="41"/>
      <c r="J211" s="41"/>
      <c r="K211" s="42"/>
      <c r="L211" s="61"/>
      <c r="N211" s="39"/>
      <c r="O211" s="40" t="s">
        <v>61</v>
      </c>
      <c r="P211" s="41">
        <v>0.9</v>
      </c>
      <c r="Q211" s="41"/>
      <c r="R211" s="41"/>
      <c r="S211" s="41"/>
      <c r="T211" s="41"/>
      <c r="U211" s="41"/>
      <c r="V211" s="41"/>
      <c r="W211" s="42"/>
    </row>
    <row r="212" spans="1:23">
      <c r="A212" s="61" t="s">
        <v>82</v>
      </c>
      <c r="B212" s="43"/>
      <c r="C212" s="44" t="s">
        <v>62</v>
      </c>
      <c r="D212" s="14">
        <f>1-D211</f>
        <v>5.0000000000000044E-2</v>
      </c>
      <c r="E212" s="14"/>
      <c r="F212" s="14"/>
      <c r="G212" s="29" t="str">
        <f>A215&amp;"="</f>
        <v>β1=</v>
      </c>
      <c r="H212" s="14">
        <f>AH138</f>
        <v>1070.8717221753323</v>
      </c>
      <c r="I212" s="14"/>
      <c r="J212" s="14"/>
      <c r="K212" s="45"/>
      <c r="L212" s="61"/>
      <c r="N212" s="43"/>
      <c r="O212" s="44" t="s">
        <v>62</v>
      </c>
      <c r="P212" s="14">
        <f>1-P211</f>
        <v>9.9999999999999978E-2</v>
      </c>
      <c r="Q212" s="14"/>
      <c r="R212" s="14"/>
      <c r="S212" s="29" t="str">
        <f>G212</f>
        <v>β1=</v>
      </c>
      <c r="T212" s="29">
        <f>H212</f>
        <v>1070.8717221753323</v>
      </c>
      <c r="U212" s="14"/>
      <c r="V212" s="14"/>
      <c r="W212" s="45"/>
    </row>
    <row r="213" spans="1:23">
      <c r="A213" s="21" t="s">
        <v>83</v>
      </c>
      <c r="B213" s="43"/>
      <c r="C213" s="14"/>
      <c r="D213" s="14">
        <f>ROUND(_xlfn.T.INV(1-D212/2,120-(3+1)),2)</f>
        <v>1.98</v>
      </c>
      <c r="E213" s="14"/>
      <c r="F213" s="14"/>
      <c r="G213" s="14"/>
      <c r="H213" s="14"/>
      <c r="I213" s="14"/>
      <c r="J213" s="14"/>
      <c r="K213" s="45"/>
      <c r="L213" s="61"/>
      <c r="N213" s="43"/>
      <c r="O213" s="14"/>
      <c r="P213" s="14">
        <f>ROUND(_xlfn.T.INV(1-P212/2,120-(3+1)),2)</f>
        <v>1.66</v>
      </c>
      <c r="Q213" s="14"/>
      <c r="R213" s="14"/>
      <c r="S213" s="14"/>
      <c r="T213" s="14"/>
      <c r="U213" s="14"/>
      <c r="V213" s="14"/>
      <c r="W213" s="45"/>
    </row>
    <row r="214" spans="1:23">
      <c r="A214" s="61" t="s">
        <v>45</v>
      </c>
      <c r="B214" s="43"/>
      <c r="C214" s="14"/>
      <c r="D214" s="14"/>
      <c r="E214" s="14"/>
      <c r="F214" s="14"/>
      <c r="G214" s="67" t="s">
        <v>109</v>
      </c>
      <c r="H214" s="14">
        <f>SQRT(D215*D217)</f>
        <v>746.96992520741753</v>
      </c>
      <c r="I214" s="14"/>
      <c r="J214" s="14"/>
      <c r="K214" s="45"/>
      <c r="L214" s="61"/>
      <c r="N214" s="43"/>
      <c r="O214" s="14"/>
      <c r="P214" s="14"/>
      <c r="Q214" s="14"/>
      <c r="R214" s="14"/>
      <c r="S214" s="76" t="s">
        <v>109</v>
      </c>
      <c r="T214" s="29">
        <f>H214</f>
        <v>746.96992520741753</v>
      </c>
      <c r="U214" s="14"/>
      <c r="V214" s="14"/>
      <c r="W214" s="45"/>
    </row>
    <row r="215" spans="1:23">
      <c r="A215" s="21" t="s">
        <v>85</v>
      </c>
      <c r="B215" s="43"/>
      <c r="C215" s="14"/>
      <c r="D215" s="14">
        <f>D162</f>
        <v>422251.18532844825</v>
      </c>
      <c r="E215" s="14"/>
      <c r="F215" s="14"/>
      <c r="G215" s="14"/>
      <c r="H215" s="14"/>
      <c r="I215" s="14"/>
      <c r="J215" s="14"/>
      <c r="K215" s="45"/>
      <c r="L215" s="61"/>
      <c r="N215" s="43"/>
      <c r="O215" s="14"/>
      <c r="P215" s="14">
        <f>D215</f>
        <v>422251.18532844825</v>
      </c>
      <c r="Q215" s="14"/>
      <c r="R215" s="14"/>
      <c r="S215" s="14"/>
      <c r="T215" s="14"/>
      <c r="U215" s="14"/>
      <c r="V215" s="14"/>
      <c r="W215" s="45"/>
    </row>
    <row r="216" spans="1:23">
      <c r="A216" s="61"/>
      <c r="B216" s="43"/>
      <c r="C216" s="14"/>
      <c r="D216" s="14"/>
      <c r="E216" s="14"/>
      <c r="F216" s="14"/>
      <c r="G216" s="14"/>
      <c r="H216" s="14"/>
      <c r="I216" s="14"/>
      <c r="J216" s="14"/>
      <c r="K216" s="45"/>
      <c r="L216" s="61"/>
      <c r="N216" s="43"/>
      <c r="O216" s="14"/>
      <c r="P216" s="14"/>
      <c r="Q216" s="14"/>
      <c r="R216" s="14"/>
      <c r="S216" s="14"/>
      <c r="T216" s="14"/>
      <c r="U216" s="14"/>
      <c r="V216" s="14"/>
      <c r="W216" s="45"/>
    </row>
    <row r="217" spans="1:23">
      <c r="A217" s="61"/>
      <c r="B217" s="43"/>
      <c r="C217" s="14"/>
      <c r="D217" s="14">
        <f>Q139</f>
        <v>1.3214032039492378</v>
      </c>
      <c r="E217" s="14"/>
      <c r="F217" s="14"/>
      <c r="G217" s="14"/>
      <c r="H217" s="14"/>
      <c r="I217" s="14"/>
      <c r="J217" s="14"/>
      <c r="K217" s="45"/>
      <c r="L217" s="61"/>
      <c r="N217" s="43"/>
      <c r="O217" s="14"/>
      <c r="P217" s="14">
        <f>D217</f>
        <v>1.3214032039492378</v>
      </c>
      <c r="Q217" s="14"/>
      <c r="R217" s="14"/>
      <c r="S217" s="14"/>
      <c r="T217" s="14"/>
      <c r="U217" s="14"/>
      <c r="V217" s="14"/>
      <c r="W217" s="45"/>
    </row>
    <row r="218" spans="1:23">
      <c r="A218" s="61"/>
      <c r="B218" s="43"/>
      <c r="C218" s="14"/>
      <c r="D218" s="14"/>
      <c r="E218" s="14"/>
      <c r="F218" s="29" t="s">
        <v>67</v>
      </c>
      <c r="G218" s="14">
        <f>H212-D219</f>
        <v>-408.12872973535445</v>
      </c>
      <c r="H218" s="14"/>
      <c r="I218" s="14"/>
      <c r="J218" s="14"/>
      <c r="K218" s="45"/>
      <c r="L218" s="61"/>
      <c r="N218" s="43"/>
      <c r="O218" s="14"/>
      <c r="P218" s="14"/>
      <c r="Q218" s="14"/>
      <c r="R218" s="29" t="s">
        <v>67</v>
      </c>
      <c r="S218" s="14">
        <f>T212-P219</f>
        <v>-169.09835366898074</v>
      </c>
      <c r="T218" s="14"/>
      <c r="U218" s="14"/>
      <c r="V218" s="14"/>
      <c r="W218" s="45"/>
    </row>
    <row r="219" spans="1:23" ht="13.5" thickBot="1">
      <c r="A219" s="61"/>
      <c r="B219" s="47"/>
      <c r="C219" s="48" t="s">
        <v>60</v>
      </c>
      <c r="D219" s="28">
        <f>D213*SQRT(D215*D217)</f>
        <v>1479.0004519106867</v>
      </c>
      <c r="E219" s="28"/>
      <c r="F219" s="48" t="s">
        <v>68</v>
      </c>
      <c r="G219" s="28">
        <f>H212+D219</f>
        <v>2549.8721740860192</v>
      </c>
      <c r="H219" s="28"/>
      <c r="I219" s="28"/>
      <c r="J219" s="28"/>
      <c r="K219" s="49"/>
      <c r="L219" s="61"/>
      <c r="N219" s="47"/>
      <c r="O219" s="48" t="s">
        <v>60</v>
      </c>
      <c r="P219" s="28">
        <f>P213*SQRT(P215*P217)</f>
        <v>1239.970075844313</v>
      </c>
      <c r="Q219" s="28"/>
      <c r="R219" s="48" t="s">
        <v>68</v>
      </c>
      <c r="S219" s="28">
        <f>T212+P219</f>
        <v>2310.8417980196455</v>
      </c>
      <c r="T219" s="28"/>
      <c r="U219" s="28"/>
      <c r="V219" s="28"/>
      <c r="W219" s="49"/>
    </row>
    <row r="220" spans="1:23" ht="13.5" thickBot="1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N220" s="77"/>
      <c r="O220" s="77"/>
      <c r="P220" s="77"/>
      <c r="Q220" s="77"/>
      <c r="R220" s="77"/>
      <c r="S220" s="77"/>
      <c r="T220" s="77"/>
      <c r="U220" s="77"/>
      <c r="V220" s="77"/>
      <c r="W220" s="77"/>
    </row>
    <row r="221" spans="1:23">
      <c r="A221" s="21" t="s">
        <v>78</v>
      </c>
      <c r="B221" s="39"/>
      <c r="C221" s="40" t="s">
        <v>61</v>
      </c>
      <c r="D221" s="41">
        <v>0.95</v>
      </c>
      <c r="E221" s="41"/>
      <c r="F221" s="41"/>
      <c r="G221" s="41"/>
      <c r="H221" s="41"/>
      <c r="I221" s="41"/>
      <c r="J221" s="41"/>
      <c r="K221" s="42"/>
      <c r="L221" s="61"/>
      <c r="N221" s="39"/>
      <c r="O221" s="40" t="s">
        <v>61</v>
      </c>
      <c r="P221" s="41">
        <v>0.9</v>
      </c>
      <c r="Q221" s="41"/>
      <c r="R221" s="41"/>
      <c r="S221" s="41"/>
      <c r="T221" s="41"/>
      <c r="U221" s="41"/>
      <c r="V221" s="41"/>
      <c r="W221" s="42"/>
    </row>
    <row r="222" spans="1:23">
      <c r="A222" s="61" t="s">
        <v>82</v>
      </c>
      <c r="B222" s="43"/>
      <c r="C222" s="44" t="s">
        <v>62</v>
      </c>
      <c r="D222" s="14">
        <f>1-D221</f>
        <v>5.0000000000000044E-2</v>
      </c>
      <c r="E222" s="14"/>
      <c r="F222" s="14"/>
      <c r="G222" s="29" t="str">
        <f>A225&amp;"="</f>
        <v>β2=</v>
      </c>
      <c r="H222" s="14">
        <f>AH139</f>
        <v>-5.7293111620384707</v>
      </c>
      <c r="I222" s="14"/>
      <c r="J222" s="14"/>
      <c r="K222" s="45"/>
      <c r="L222" s="61"/>
      <c r="N222" s="43"/>
      <c r="O222" s="44" t="s">
        <v>62</v>
      </c>
      <c r="P222" s="14">
        <f>1-P221</f>
        <v>9.9999999999999978E-2</v>
      </c>
      <c r="Q222" s="14"/>
      <c r="R222" s="14"/>
      <c r="S222" s="29" t="str">
        <f>G222</f>
        <v>β2=</v>
      </c>
      <c r="T222" s="29">
        <f>H222</f>
        <v>-5.7293111620384707</v>
      </c>
      <c r="U222" s="14"/>
      <c r="V222" s="14"/>
      <c r="W222" s="45"/>
    </row>
    <row r="223" spans="1:23">
      <c r="A223" s="21" t="s">
        <v>83</v>
      </c>
      <c r="B223" s="43"/>
      <c r="C223" s="14"/>
      <c r="D223" s="14">
        <f>ROUND(_xlfn.T.INV(1-D222/2,120-(3+1)),2)</f>
        <v>1.98</v>
      </c>
      <c r="E223" s="14"/>
      <c r="F223" s="14"/>
      <c r="G223" s="14"/>
      <c r="H223" s="14"/>
      <c r="I223" s="14"/>
      <c r="J223" s="14"/>
      <c r="K223" s="45"/>
      <c r="L223" s="61"/>
      <c r="N223" s="43"/>
      <c r="O223" s="14"/>
      <c r="P223" s="14">
        <f>ROUND(_xlfn.T.INV(1-P222/2,120-(3+1)),2)</f>
        <v>1.66</v>
      </c>
      <c r="Q223" s="14"/>
      <c r="R223" s="14"/>
      <c r="S223" s="14"/>
      <c r="T223" s="14"/>
      <c r="U223" s="14"/>
      <c r="V223" s="14"/>
      <c r="W223" s="45"/>
    </row>
    <row r="224" spans="1:23">
      <c r="A224" s="61" t="s">
        <v>45</v>
      </c>
      <c r="B224" s="43"/>
      <c r="C224" s="14"/>
      <c r="D224" s="14"/>
      <c r="E224" s="14"/>
      <c r="F224" s="14"/>
      <c r="G224" s="67" t="s">
        <v>109</v>
      </c>
      <c r="H224" s="14">
        <f>SQRT(D225*D227)</f>
        <v>2.0160485342624801</v>
      </c>
      <c r="I224" s="14"/>
      <c r="J224" s="14"/>
      <c r="K224" s="45"/>
      <c r="L224" s="61"/>
      <c r="N224" s="43"/>
      <c r="O224" s="14"/>
      <c r="P224" s="14"/>
      <c r="Q224" s="14"/>
      <c r="R224" s="14"/>
      <c r="S224" s="76" t="s">
        <v>109</v>
      </c>
      <c r="T224" s="29">
        <f>H224</f>
        <v>2.0160485342624801</v>
      </c>
      <c r="U224" s="14"/>
      <c r="V224" s="14"/>
      <c r="W224" s="45"/>
    </row>
    <row r="225" spans="1:23">
      <c r="A225" s="21" t="s">
        <v>86</v>
      </c>
      <c r="B225" s="43"/>
      <c r="C225" s="14"/>
      <c r="D225" s="14">
        <f>D162</f>
        <v>422251.18532844825</v>
      </c>
      <c r="E225" s="14"/>
      <c r="F225" s="14"/>
      <c r="G225" s="14"/>
      <c r="H225" s="14"/>
      <c r="I225" s="14"/>
      <c r="J225" s="14"/>
      <c r="K225" s="45"/>
      <c r="L225" s="61"/>
      <c r="N225" s="43"/>
      <c r="O225" s="14"/>
      <c r="P225" s="14">
        <f>D225</f>
        <v>422251.18532844825</v>
      </c>
      <c r="Q225" s="14"/>
      <c r="R225" s="14"/>
      <c r="S225" s="14"/>
      <c r="T225" s="14"/>
      <c r="U225" s="14"/>
      <c r="V225" s="14"/>
      <c r="W225" s="45"/>
    </row>
    <row r="226" spans="1:23">
      <c r="A226" s="61"/>
      <c r="B226" s="43"/>
      <c r="C226" s="14"/>
      <c r="D226" s="14"/>
      <c r="E226" s="14"/>
      <c r="F226" s="14"/>
      <c r="G226" s="14"/>
      <c r="H226" s="14"/>
      <c r="I226" s="14"/>
      <c r="J226" s="14"/>
      <c r="K226" s="45"/>
      <c r="L226" s="61"/>
      <c r="N226" s="43"/>
      <c r="O226" s="14"/>
      <c r="P226" s="14"/>
      <c r="Q226" s="14"/>
      <c r="R226" s="14"/>
      <c r="S226" s="14"/>
      <c r="T226" s="14"/>
      <c r="U226" s="14"/>
      <c r="V226" s="14"/>
      <c r="W226" s="45"/>
    </row>
    <row r="227" spans="1:23">
      <c r="A227" s="61"/>
      <c r="B227" s="43"/>
      <c r="C227" s="14"/>
      <c r="D227" s="14">
        <f>R140</f>
        <v>9.6256726652889317E-6</v>
      </c>
      <c r="E227" s="14"/>
      <c r="F227" s="14"/>
      <c r="G227" s="14"/>
      <c r="H227" s="14"/>
      <c r="I227" s="14"/>
      <c r="J227" s="14"/>
      <c r="K227" s="45"/>
      <c r="L227" s="61"/>
      <c r="N227" s="43"/>
      <c r="O227" s="14"/>
      <c r="P227" s="14">
        <f>D227</f>
        <v>9.6256726652889317E-6</v>
      </c>
      <c r="Q227" s="14"/>
      <c r="R227" s="14"/>
      <c r="S227" s="14"/>
      <c r="T227" s="14"/>
      <c r="U227" s="14"/>
      <c r="V227" s="14"/>
      <c r="W227" s="45"/>
    </row>
    <row r="228" spans="1:23">
      <c r="A228" s="61"/>
      <c r="B228" s="43"/>
      <c r="C228" s="14"/>
      <c r="D228" s="14"/>
      <c r="E228" s="14"/>
      <c r="F228" s="29" t="s">
        <v>67</v>
      </c>
      <c r="G228" s="14">
        <f>H222-D229</f>
        <v>-9.7210872598781819</v>
      </c>
      <c r="H228" s="14"/>
      <c r="I228" s="14"/>
      <c r="J228" s="14"/>
      <c r="K228" s="45"/>
      <c r="L228" s="61"/>
      <c r="N228" s="43"/>
      <c r="O228" s="14"/>
      <c r="P228" s="14"/>
      <c r="Q228" s="14"/>
      <c r="R228" s="29" t="s">
        <v>67</v>
      </c>
      <c r="S228" s="14">
        <f>T222-P229</f>
        <v>-9.0759517289141876</v>
      </c>
      <c r="T228" s="14"/>
      <c r="U228" s="14"/>
      <c r="V228" s="14"/>
      <c r="W228" s="45"/>
    </row>
    <row r="229" spans="1:23" ht="13.5" thickBot="1">
      <c r="A229" s="61"/>
      <c r="B229" s="47"/>
      <c r="C229" s="48" t="s">
        <v>60</v>
      </c>
      <c r="D229" s="28">
        <f>D223*SQRT(D225*D227)</f>
        <v>3.9917760978397108</v>
      </c>
      <c r="E229" s="28"/>
      <c r="F229" s="48" t="s">
        <v>68</v>
      </c>
      <c r="G229" s="28">
        <f>H222+D229</f>
        <v>-1.7375350641987599</v>
      </c>
      <c r="H229" s="28"/>
      <c r="I229" s="28"/>
      <c r="J229" s="28"/>
      <c r="K229" s="49"/>
      <c r="L229" s="61"/>
      <c r="N229" s="47"/>
      <c r="O229" s="48" t="s">
        <v>60</v>
      </c>
      <c r="P229" s="28">
        <f>P223*SQRT(P225*P227)</f>
        <v>3.3466405668757169</v>
      </c>
      <c r="Q229" s="28"/>
      <c r="R229" s="48" t="s">
        <v>68</v>
      </c>
      <c r="S229" s="28">
        <f>T222+P229</f>
        <v>-2.3826705951627538</v>
      </c>
      <c r="T229" s="28"/>
      <c r="U229" s="28"/>
      <c r="V229" s="28"/>
      <c r="W229" s="49"/>
    </row>
    <row r="230" spans="1:23" ht="13.5" thickBot="1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N230" s="77"/>
      <c r="O230" s="77"/>
      <c r="P230" s="77"/>
      <c r="Q230" s="77"/>
      <c r="R230" s="77"/>
      <c r="S230" s="77"/>
      <c r="T230" s="77"/>
      <c r="U230" s="77"/>
      <c r="V230" s="77"/>
      <c r="W230" s="77"/>
    </row>
    <row r="231" spans="1:23">
      <c r="A231" s="21" t="s">
        <v>78</v>
      </c>
      <c r="B231" s="39"/>
      <c r="C231" s="40" t="s">
        <v>61</v>
      </c>
      <c r="D231" s="41">
        <v>0.95</v>
      </c>
      <c r="E231" s="41"/>
      <c r="F231" s="41"/>
      <c r="G231" s="41"/>
      <c r="H231" s="41"/>
      <c r="I231" s="41"/>
      <c r="J231" s="41"/>
      <c r="K231" s="42"/>
      <c r="L231" s="61"/>
      <c r="N231" s="39"/>
      <c r="O231" s="40" t="s">
        <v>61</v>
      </c>
      <c r="P231" s="41">
        <v>0.9</v>
      </c>
      <c r="Q231" s="41"/>
      <c r="R231" s="41"/>
      <c r="S231" s="41"/>
      <c r="T231" s="41"/>
      <c r="U231" s="41"/>
      <c r="V231" s="41"/>
      <c r="W231" s="42"/>
    </row>
    <row r="232" spans="1:23">
      <c r="A232" s="61" t="s">
        <v>82</v>
      </c>
      <c r="B232" s="43"/>
      <c r="C232" s="44" t="s">
        <v>62</v>
      </c>
      <c r="D232" s="14">
        <f>1-D231</f>
        <v>5.0000000000000044E-2</v>
      </c>
      <c r="E232" s="14"/>
      <c r="F232" s="14"/>
      <c r="G232" s="29" t="str">
        <f>A235&amp;"="</f>
        <v>β3=</v>
      </c>
      <c r="H232" s="14">
        <f>AH140</f>
        <v>1.5808952787812842</v>
      </c>
      <c r="I232" s="14"/>
      <c r="J232" s="14"/>
      <c r="K232" s="45"/>
      <c r="L232" s="61"/>
      <c r="N232" s="43"/>
      <c r="O232" s="44" t="s">
        <v>62</v>
      </c>
      <c r="P232" s="14">
        <f>1-P231</f>
        <v>9.9999999999999978E-2</v>
      </c>
      <c r="Q232" s="14"/>
      <c r="R232" s="14"/>
      <c r="S232" s="29" t="str">
        <f>G232</f>
        <v>β3=</v>
      </c>
      <c r="T232" s="29">
        <f>H232</f>
        <v>1.5808952787812842</v>
      </c>
      <c r="U232" s="14"/>
      <c r="V232" s="14"/>
      <c r="W232" s="45"/>
    </row>
    <row r="233" spans="1:23">
      <c r="A233" s="21" t="s">
        <v>83</v>
      </c>
      <c r="B233" s="43"/>
      <c r="C233" s="14"/>
      <c r="D233" s="14">
        <f>ROUND(_xlfn.T.INV(1-D232/2,120-(3+1)),2)</f>
        <v>1.98</v>
      </c>
      <c r="E233" s="14"/>
      <c r="F233" s="14"/>
      <c r="G233" s="14"/>
      <c r="H233" s="14"/>
      <c r="I233" s="14"/>
      <c r="J233" s="14"/>
      <c r="K233" s="45"/>
      <c r="L233" s="61"/>
      <c r="N233" s="43"/>
      <c r="O233" s="14"/>
      <c r="P233" s="14">
        <f>ROUND(_xlfn.T.INV(1-P232/2,120-(3+1)),2)</f>
        <v>1.66</v>
      </c>
      <c r="Q233" s="14"/>
      <c r="R233" s="14"/>
      <c r="S233" s="14"/>
      <c r="T233" s="14"/>
      <c r="U233" s="14"/>
      <c r="V233" s="14"/>
      <c r="W233" s="45"/>
    </row>
    <row r="234" spans="1:23">
      <c r="A234" s="61" t="s">
        <v>45</v>
      </c>
      <c r="B234" s="43"/>
      <c r="C234" s="14"/>
      <c r="D234" s="14"/>
      <c r="E234" s="14"/>
      <c r="F234" s="14"/>
      <c r="G234" s="67" t="s">
        <v>109</v>
      </c>
      <c r="H234" s="14">
        <f>SQRT(D235*D237)</f>
        <v>0.23552578246773143</v>
      </c>
      <c r="I234" s="14"/>
      <c r="J234" s="14"/>
      <c r="K234" s="45"/>
      <c r="L234" s="61"/>
      <c r="N234" s="43"/>
      <c r="O234" s="14"/>
      <c r="P234" s="14"/>
      <c r="Q234" s="14"/>
      <c r="R234" s="14"/>
      <c r="S234" s="76" t="s">
        <v>109</v>
      </c>
      <c r="T234" s="29">
        <f>H234</f>
        <v>0.23552578246773143</v>
      </c>
      <c r="U234" s="14"/>
      <c r="V234" s="14"/>
      <c r="W234" s="45"/>
    </row>
    <row r="235" spans="1:23">
      <c r="A235" s="21" t="s">
        <v>87</v>
      </c>
      <c r="B235" s="43"/>
      <c r="C235" s="14"/>
      <c r="D235" s="14">
        <f>D162</f>
        <v>422251.18532844825</v>
      </c>
      <c r="E235" s="14"/>
      <c r="F235" s="14"/>
      <c r="G235" s="14"/>
      <c r="H235" s="14"/>
      <c r="I235" s="14"/>
      <c r="J235" s="14"/>
      <c r="K235" s="45"/>
      <c r="L235" s="61"/>
      <c r="N235" s="43"/>
      <c r="O235" s="14"/>
      <c r="P235" s="14">
        <f>D235</f>
        <v>422251.18532844825</v>
      </c>
      <c r="Q235" s="14"/>
      <c r="R235" s="14"/>
      <c r="S235" s="14"/>
      <c r="T235" s="14"/>
      <c r="U235" s="14"/>
      <c r="V235" s="14"/>
      <c r="W235" s="45"/>
    </row>
    <row r="236" spans="1:23">
      <c r="A236" s="61"/>
      <c r="B236" s="43"/>
      <c r="C236" s="14"/>
      <c r="D236" s="14"/>
      <c r="E236" s="14"/>
      <c r="F236" s="14"/>
      <c r="G236" s="14"/>
      <c r="H236" s="14"/>
      <c r="I236" s="14"/>
      <c r="J236" s="14"/>
      <c r="K236" s="45"/>
      <c r="L236" s="61"/>
      <c r="N236" s="43"/>
      <c r="O236" s="14"/>
      <c r="P236" s="14"/>
      <c r="Q236" s="14"/>
      <c r="R236" s="14"/>
      <c r="S236" s="14"/>
      <c r="T236" s="14"/>
      <c r="U236" s="14"/>
      <c r="V236" s="14"/>
      <c r="W236" s="45"/>
    </row>
    <row r="237" spans="1:23">
      <c r="A237" s="61"/>
      <c r="B237" s="43"/>
      <c r="C237" s="14"/>
      <c r="D237" s="14">
        <f>S141</f>
        <v>1.3137297451015543E-7</v>
      </c>
      <c r="E237" s="14"/>
      <c r="F237" s="14"/>
      <c r="G237" s="14"/>
      <c r="H237" s="14"/>
      <c r="I237" s="14"/>
      <c r="J237" s="14"/>
      <c r="K237" s="45"/>
      <c r="L237" s="61"/>
      <c r="N237" s="43"/>
      <c r="O237" s="14"/>
      <c r="P237" s="14">
        <f>D237</f>
        <v>1.3137297451015543E-7</v>
      </c>
      <c r="Q237" s="14"/>
      <c r="R237" s="14"/>
      <c r="S237" s="14"/>
      <c r="T237" s="14"/>
      <c r="U237" s="14"/>
      <c r="V237" s="14"/>
      <c r="W237" s="45"/>
    </row>
    <row r="238" spans="1:23">
      <c r="A238" s="61"/>
      <c r="B238" s="43"/>
      <c r="C238" s="14"/>
      <c r="D238" s="14"/>
      <c r="E238" s="14"/>
      <c r="F238" s="29" t="s">
        <v>67</v>
      </c>
      <c r="G238" s="14">
        <f>H232-D239</f>
        <v>1.114554229495176</v>
      </c>
      <c r="H238" s="14"/>
      <c r="I238" s="14"/>
      <c r="J238" s="14"/>
      <c r="K238" s="45"/>
      <c r="L238" s="61"/>
      <c r="N238" s="43"/>
      <c r="O238" s="14"/>
      <c r="P238" s="14"/>
      <c r="Q238" s="14"/>
      <c r="R238" s="29" t="s">
        <v>67</v>
      </c>
      <c r="S238" s="14">
        <f>T232-P239</f>
        <v>1.18992247988485</v>
      </c>
      <c r="T238" s="14"/>
      <c r="U238" s="14"/>
      <c r="V238" s="14"/>
      <c r="W238" s="45"/>
    </row>
    <row r="239" spans="1:23" ht="13.5" thickBot="1">
      <c r="A239" s="61"/>
      <c r="B239" s="47"/>
      <c r="C239" s="48" t="s">
        <v>60</v>
      </c>
      <c r="D239" s="28">
        <f>D233*SQRT(D235*D237)</f>
        <v>0.4663410492861082</v>
      </c>
      <c r="E239" s="28"/>
      <c r="F239" s="48" t="s">
        <v>68</v>
      </c>
      <c r="G239" s="28">
        <f>H232+D239</f>
        <v>2.0472363280673926</v>
      </c>
      <c r="H239" s="28"/>
      <c r="I239" s="28"/>
      <c r="J239" s="28"/>
      <c r="K239" s="49"/>
      <c r="L239" s="61"/>
      <c r="N239" s="47"/>
      <c r="O239" s="48" t="s">
        <v>60</v>
      </c>
      <c r="P239" s="28">
        <f>P233*SQRT(P235*P237)</f>
        <v>0.39097279889643416</v>
      </c>
      <c r="Q239" s="28"/>
      <c r="R239" s="48" t="s">
        <v>68</v>
      </c>
      <c r="S239" s="28">
        <f>T232+P239</f>
        <v>1.9718680776777184</v>
      </c>
      <c r="T239" s="28"/>
      <c r="U239" s="28"/>
      <c r="V239" s="28"/>
      <c r="W239" s="49"/>
    </row>
    <row r="240" spans="1:23" ht="13.5" thickBot="1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N240" s="77"/>
      <c r="O240" s="77"/>
      <c r="P240" s="77"/>
      <c r="Q240" s="77"/>
      <c r="R240" s="77"/>
      <c r="S240" s="77"/>
      <c r="T240" s="77"/>
      <c r="U240" s="77"/>
      <c r="V240" s="77"/>
      <c r="W240" s="77"/>
    </row>
    <row r="241" spans="1:23">
      <c r="A241" s="21" t="s">
        <v>78</v>
      </c>
      <c r="B241" s="39"/>
      <c r="C241" s="40" t="s">
        <v>61</v>
      </c>
      <c r="D241" s="41">
        <v>0.95</v>
      </c>
      <c r="E241" s="41"/>
      <c r="F241" s="64" t="s">
        <v>95</v>
      </c>
      <c r="G241" s="41">
        <f>C4</f>
        <v>0.82</v>
      </c>
      <c r="H241" s="41"/>
      <c r="I241" s="41">
        <f>D162</f>
        <v>422251.18532844825</v>
      </c>
      <c r="J241" s="41"/>
      <c r="K241" s="42"/>
      <c r="N241" s="39"/>
      <c r="O241" s="40" t="s">
        <v>61</v>
      </c>
      <c r="P241" s="41">
        <v>0.9</v>
      </c>
      <c r="Q241" s="41"/>
      <c r="R241" s="64" t="s">
        <v>95</v>
      </c>
      <c r="S241" s="41">
        <f>G241</f>
        <v>0.82</v>
      </c>
      <c r="T241" s="41"/>
      <c r="U241" s="41">
        <f>I241</f>
        <v>422251.18532844825</v>
      </c>
      <c r="V241" s="41"/>
      <c r="W241" s="42"/>
    </row>
    <row r="242" spans="1:23">
      <c r="A242" s="21" t="s">
        <v>91</v>
      </c>
      <c r="B242" s="43"/>
      <c r="C242" s="44" t="s">
        <v>62</v>
      </c>
      <c r="D242" s="14">
        <f>1-D241</f>
        <v>5.0000000000000044E-2</v>
      </c>
      <c r="E242" s="14"/>
      <c r="F242" s="29" t="s">
        <v>96</v>
      </c>
      <c r="G242" s="14">
        <f>D4</f>
        <v>865</v>
      </c>
      <c r="H242" s="14"/>
      <c r="I242" s="14"/>
      <c r="J242" s="14"/>
      <c r="K242" s="45"/>
      <c r="N242" s="43"/>
      <c r="O242" s="44" t="s">
        <v>62</v>
      </c>
      <c r="P242" s="14">
        <f>1-P241</f>
        <v>9.9999999999999978E-2</v>
      </c>
      <c r="Q242" s="14"/>
      <c r="R242" s="29" t="s">
        <v>96</v>
      </c>
      <c r="S242" s="14">
        <f>G242</f>
        <v>865</v>
      </c>
      <c r="T242" s="14"/>
      <c r="U242" s="14"/>
      <c r="V242" s="14"/>
      <c r="W242" s="45"/>
    </row>
    <row r="243" spans="1:23">
      <c r="A243" s="21" t="s">
        <v>92</v>
      </c>
      <c r="B243" s="43"/>
      <c r="C243" s="14"/>
      <c r="D243" s="14">
        <f>ROUND(_xlfn.T.INV(1-D242/2,120-(3+1)),2)</f>
        <v>1.98</v>
      </c>
      <c r="E243" s="14"/>
      <c r="F243" s="29" t="s">
        <v>97</v>
      </c>
      <c r="G243" s="14">
        <f>E4</f>
        <v>6869</v>
      </c>
      <c r="H243" s="14"/>
      <c r="I243" s="14"/>
      <c r="J243" s="14"/>
      <c r="K243" s="45"/>
      <c r="N243" s="43"/>
      <c r="O243" s="14"/>
      <c r="P243" s="14">
        <f>ROUND(_xlfn.T.INV(1-P242/2,120-(3+1)),2)</f>
        <v>1.66</v>
      </c>
      <c r="Q243" s="14"/>
      <c r="R243" s="29" t="s">
        <v>97</v>
      </c>
      <c r="S243" s="14">
        <f>G243</f>
        <v>6869</v>
      </c>
      <c r="T243" s="14"/>
      <c r="U243" s="14"/>
      <c r="V243" s="14"/>
      <c r="W243" s="45"/>
    </row>
    <row r="244" spans="1:23">
      <c r="A244" s="21" t="s">
        <v>93</v>
      </c>
      <c r="B244" s="43"/>
      <c r="C244" s="14"/>
      <c r="D244" s="14"/>
      <c r="E244" s="14"/>
      <c r="F244" s="14"/>
      <c r="G244" s="14"/>
      <c r="H244" s="14"/>
      <c r="I244" s="14"/>
      <c r="J244" s="14">
        <f>D245</f>
        <v>1</v>
      </c>
      <c r="K244" s="45"/>
      <c r="N244" s="43"/>
      <c r="O244" s="14"/>
      <c r="P244" s="14"/>
      <c r="Q244" s="14"/>
      <c r="R244" s="14"/>
      <c r="S244" s="14"/>
      <c r="T244" s="14"/>
      <c r="U244" s="14"/>
      <c r="V244" s="14">
        <f>P245</f>
        <v>1</v>
      </c>
      <c r="W244" s="45"/>
    </row>
    <row r="245" spans="1:23">
      <c r="A245" s="21" t="s">
        <v>94</v>
      </c>
      <c r="B245" s="43"/>
      <c r="C245" s="14"/>
      <c r="D245" s="14">
        <v>1</v>
      </c>
      <c r="E245" s="14">
        <f>G241</f>
        <v>0.82</v>
      </c>
      <c r="F245" s="14">
        <f>G242</f>
        <v>865</v>
      </c>
      <c r="G245" s="14">
        <f>G243</f>
        <v>6869</v>
      </c>
      <c r="H245" s="14"/>
      <c r="I245" s="14"/>
      <c r="J245" s="14">
        <f>E245</f>
        <v>0.82</v>
      </c>
      <c r="K245" s="45"/>
      <c r="N245" s="43"/>
      <c r="O245" s="14"/>
      <c r="P245" s="14">
        <v>1</v>
      </c>
      <c r="Q245" s="14">
        <f>S241</f>
        <v>0.82</v>
      </c>
      <c r="R245" s="14">
        <f>S242</f>
        <v>865</v>
      </c>
      <c r="S245" s="14">
        <f>S243</f>
        <v>6869</v>
      </c>
      <c r="T245" s="14"/>
      <c r="U245" s="14"/>
      <c r="V245" s="14">
        <f>Q245</f>
        <v>0.82</v>
      </c>
      <c r="W245" s="45"/>
    </row>
    <row r="246" spans="1:23">
      <c r="B246" s="43"/>
      <c r="C246" s="14"/>
      <c r="D246" s="14"/>
      <c r="E246" s="14"/>
      <c r="F246" s="14"/>
      <c r="G246" s="14"/>
      <c r="H246" s="14"/>
      <c r="I246" s="14"/>
      <c r="J246" s="14">
        <f>F245</f>
        <v>865</v>
      </c>
      <c r="K246" s="45"/>
      <c r="N246" s="43"/>
      <c r="O246" s="14"/>
      <c r="P246" s="14"/>
      <c r="Q246" s="14"/>
      <c r="R246" s="14"/>
      <c r="S246" s="14"/>
      <c r="T246" s="14"/>
      <c r="U246" s="14"/>
      <c r="V246" s="14">
        <f>R245</f>
        <v>865</v>
      </c>
      <c r="W246" s="45"/>
    </row>
    <row r="247" spans="1:23">
      <c r="B247" s="43"/>
      <c r="C247" s="14"/>
      <c r="D247" s="14">
        <f>ROUND(MMULT(D245:G245,AH137:AH140),4)</f>
        <v>6148.9192999999996</v>
      </c>
      <c r="E247" s="14"/>
      <c r="F247" s="14"/>
      <c r="G247" s="14"/>
      <c r="H247" s="14"/>
      <c r="I247" s="14"/>
      <c r="J247" s="14">
        <f>G245</f>
        <v>6869</v>
      </c>
      <c r="K247" s="45"/>
      <c r="N247" s="43"/>
      <c r="O247" s="14"/>
      <c r="P247" s="14">
        <f>D247</f>
        <v>6148.9192999999996</v>
      </c>
      <c r="Q247" s="14"/>
      <c r="R247" s="14"/>
      <c r="S247" s="14"/>
      <c r="T247" s="14"/>
      <c r="U247" s="14"/>
      <c r="V247" s="14">
        <f>S245</f>
        <v>6869</v>
      </c>
      <c r="W247" s="45"/>
    </row>
    <row r="248" spans="1:23">
      <c r="B248" s="43"/>
      <c r="C248" s="14"/>
      <c r="D248" s="14"/>
      <c r="E248" s="14"/>
      <c r="F248" s="14"/>
      <c r="G248" s="14"/>
      <c r="H248" s="14"/>
      <c r="I248" s="14"/>
      <c r="J248" s="14"/>
      <c r="K248" s="45"/>
      <c r="N248" s="43"/>
      <c r="O248" s="14"/>
      <c r="P248" s="14"/>
      <c r="Q248" s="14"/>
      <c r="R248" s="14"/>
      <c r="S248" s="14"/>
      <c r="T248" s="14"/>
      <c r="U248" s="14"/>
      <c r="V248" s="14"/>
      <c r="W248" s="45"/>
    </row>
    <row r="249" spans="1:23">
      <c r="B249" s="43"/>
      <c r="C249" s="14"/>
      <c r="D249" s="14">
        <f>MMULT(MMULT(D245:G245,P138:S141),J244:J247)</f>
        <v>0.14423847402306045</v>
      </c>
      <c r="E249" s="14"/>
      <c r="F249" s="14"/>
      <c r="G249" s="14"/>
      <c r="H249" s="14"/>
      <c r="I249" s="14"/>
      <c r="J249" s="14"/>
      <c r="K249" s="45"/>
      <c r="N249" s="43"/>
      <c r="O249" s="14"/>
      <c r="P249" s="14">
        <f>D249</f>
        <v>0.14423847402306045</v>
      </c>
      <c r="Q249" s="14"/>
      <c r="R249" s="14"/>
      <c r="S249" s="14"/>
      <c r="T249" s="14"/>
      <c r="U249" s="14"/>
      <c r="V249" s="14"/>
      <c r="W249" s="45"/>
    </row>
    <row r="250" spans="1:23">
      <c r="B250" s="43"/>
      <c r="C250" s="14"/>
      <c r="D250" s="14"/>
      <c r="E250" s="14"/>
      <c r="F250" s="14"/>
      <c r="G250" s="14"/>
      <c r="H250" s="14"/>
      <c r="I250" s="14"/>
      <c r="J250" s="14"/>
      <c r="K250" s="45"/>
      <c r="N250" s="43"/>
      <c r="O250" s="14"/>
      <c r="P250" s="14"/>
      <c r="Q250" s="14"/>
      <c r="R250" s="14"/>
      <c r="S250" s="14"/>
      <c r="T250" s="14"/>
      <c r="U250" s="14"/>
      <c r="V250" s="14"/>
      <c r="W250" s="45"/>
    </row>
    <row r="251" spans="1:23">
      <c r="B251" s="43"/>
      <c r="C251" s="14"/>
      <c r="D251" s="14">
        <f>I241*D249</f>
        <v>60904.866626203868</v>
      </c>
      <c r="E251" s="14"/>
      <c r="F251" s="14"/>
      <c r="G251" s="14"/>
      <c r="H251" s="14"/>
      <c r="I251" s="14"/>
      <c r="J251" s="14"/>
      <c r="K251" s="45"/>
      <c r="N251" s="43"/>
      <c r="O251" s="14"/>
      <c r="P251" s="14">
        <f>U241*P249</f>
        <v>60904.866626203868</v>
      </c>
      <c r="Q251" s="14"/>
      <c r="R251" s="14"/>
      <c r="S251" s="14"/>
      <c r="T251" s="14"/>
      <c r="U251" s="14"/>
      <c r="V251" s="14"/>
      <c r="W251" s="45"/>
    </row>
    <row r="252" spans="1:23" ht="15.75">
      <c r="B252" s="43"/>
      <c r="C252" s="14"/>
      <c r="D252" s="14"/>
      <c r="E252" s="14"/>
      <c r="F252" s="29" t="s">
        <v>67</v>
      </c>
      <c r="G252" s="14">
        <f>D247-D253</f>
        <v>5660.2768999999998</v>
      </c>
      <c r="H252" s="14"/>
      <c r="I252" s="62" t="s">
        <v>98</v>
      </c>
      <c r="J252" s="65" t="str">
        <f>"]"&amp;G252&amp;";"&amp;G253&amp;"["</f>
        <v>]5660,2769;6637,5617[</v>
      </c>
      <c r="K252" s="45"/>
      <c r="N252" s="43"/>
      <c r="O252" s="14"/>
      <c r="P252" s="14"/>
      <c r="Q252" s="14"/>
      <c r="R252" s="29" t="s">
        <v>67</v>
      </c>
      <c r="S252" s="14">
        <f>P247-P253</f>
        <v>5739.2493999999997</v>
      </c>
      <c r="T252" s="14"/>
      <c r="U252" s="77" t="s">
        <v>139</v>
      </c>
      <c r="V252" s="65" t="str">
        <f>"]"&amp;S252&amp;";"&amp;S253&amp;"["</f>
        <v>]5739,2494;6558,5892[</v>
      </c>
      <c r="W252" s="45"/>
    </row>
    <row r="253" spans="1:23" ht="13.5" thickBot="1">
      <c r="B253" s="47"/>
      <c r="C253" s="48" t="s">
        <v>60</v>
      </c>
      <c r="D253" s="28">
        <f>ROUND(D243*SQRT(D251),4)</f>
        <v>488.64240000000001</v>
      </c>
      <c r="E253" s="28"/>
      <c r="F253" s="48" t="s">
        <v>68</v>
      </c>
      <c r="G253" s="28">
        <f>D247+D253</f>
        <v>6637.5616999999993</v>
      </c>
      <c r="H253" s="28"/>
      <c r="I253" s="28"/>
      <c r="J253" s="28"/>
      <c r="K253" s="49"/>
      <c r="N253" s="47"/>
      <c r="O253" s="48" t="s">
        <v>60</v>
      </c>
      <c r="P253" s="28">
        <f>ROUND(P243*SQRT(P251),4)</f>
        <v>409.66989999999998</v>
      </c>
      <c r="Q253" s="28"/>
      <c r="R253" s="48" t="s">
        <v>68</v>
      </c>
      <c r="S253" s="28">
        <f>P247+P253</f>
        <v>6558.5891999999994</v>
      </c>
      <c r="T253" s="28"/>
      <c r="U253" s="28"/>
      <c r="V253" s="28"/>
      <c r="W253" s="49"/>
    </row>
    <row r="254" spans="1:23" ht="13.5" thickBot="1">
      <c r="N254" s="77"/>
      <c r="O254" s="77"/>
      <c r="P254" s="77"/>
      <c r="Q254" s="77"/>
      <c r="R254" s="77"/>
      <c r="S254" s="77"/>
      <c r="T254" s="77"/>
      <c r="U254" s="77"/>
      <c r="V254" s="77"/>
      <c r="W254" s="77"/>
    </row>
    <row r="255" spans="1:23">
      <c r="A255" s="21" t="s">
        <v>78</v>
      </c>
      <c r="B255" s="39"/>
      <c r="C255" s="40" t="s">
        <v>61</v>
      </c>
      <c r="D255" s="41">
        <v>0.95</v>
      </c>
      <c r="E255" s="41"/>
      <c r="F255" s="64" t="s">
        <v>95</v>
      </c>
      <c r="G255" s="41">
        <f>C4</f>
        <v>0.82</v>
      </c>
      <c r="H255" s="41"/>
      <c r="I255" s="41">
        <f>D162</f>
        <v>422251.18532844825</v>
      </c>
      <c r="J255" s="41"/>
      <c r="K255" s="42"/>
      <c r="N255" s="39"/>
      <c r="O255" s="40" t="s">
        <v>61</v>
      </c>
      <c r="P255" s="41">
        <v>0.9</v>
      </c>
      <c r="Q255" s="41"/>
      <c r="R255" s="64" t="s">
        <v>95</v>
      </c>
      <c r="S255" s="41">
        <f>G255</f>
        <v>0.82</v>
      </c>
      <c r="T255" s="41"/>
      <c r="U255" s="41">
        <f>I255</f>
        <v>422251.18532844825</v>
      </c>
      <c r="V255" s="41"/>
      <c r="W255" s="42"/>
    </row>
    <row r="256" spans="1:23">
      <c r="A256" s="21" t="s">
        <v>99</v>
      </c>
      <c r="B256" s="43"/>
      <c r="C256" s="44" t="s">
        <v>62</v>
      </c>
      <c r="D256" s="14">
        <f>1-D255</f>
        <v>5.0000000000000044E-2</v>
      </c>
      <c r="E256" s="14"/>
      <c r="F256" s="29" t="s">
        <v>96</v>
      </c>
      <c r="G256" s="14">
        <f>D4</f>
        <v>865</v>
      </c>
      <c r="H256" s="14"/>
      <c r="I256" s="14"/>
      <c r="J256" s="14"/>
      <c r="K256" s="45"/>
      <c r="N256" s="43"/>
      <c r="O256" s="44" t="s">
        <v>62</v>
      </c>
      <c r="P256" s="14">
        <f>1-P255</f>
        <v>9.9999999999999978E-2</v>
      </c>
      <c r="Q256" s="14"/>
      <c r="R256" s="29" t="s">
        <v>96</v>
      </c>
      <c r="S256" s="14">
        <f>G256</f>
        <v>865</v>
      </c>
      <c r="T256" s="14"/>
      <c r="U256" s="14"/>
      <c r="V256" s="14"/>
      <c r="W256" s="45"/>
    </row>
    <row r="257" spans="1:24">
      <c r="A257" s="21" t="s">
        <v>100</v>
      </c>
      <c r="B257" s="43"/>
      <c r="C257" s="14"/>
      <c r="D257" s="14">
        <f>ROUND(_xlfn.T.INV(1-D256/2,120-(3+1)),2)</f>
        <v>1.98</v>
      </c>
      <c r="E257" s="14"/>
      <c r="F257" s="29" t="s">
        <v>97</v>
      </c>
      <c r="G257" s="14">
        <f>E4</f>
        <v>6869</v>
      </c>
      <c r="H257" s="14"/>
      <c r="I257" s="14"/>
      <c r="J257" s="14"/>
      <c r="K257" s="45"/>
      <c r="N257" s="43"/>
      <c r="O257" s="14"/>
      <c r="P257" s="14">
        <f>ROUND(_xlfn.T.INV(1-P256/2,120-(3+1)),2)</f>
        <v>1.66</v>
      </c>
      <c r="Q257" s="14"/>
      <c r="R257" s="29" t="s">
        <v>97</v>
      </c>
      <c r="S257" s="14">
        <f>G257</f>
        <v>6869</v>
      </c>
      <c r="T257" s="14"/>
      <c r="U257" s="14"/>
      <c r="V257" s="14"/>
      <c r="W257" s="45"/>
    </row>
    <row r="258" spans="1:24">
      <c r="A258" s="21" t="s">
        <v>101</v>
      </c>
      <c r="B258" s="43"/>
      <c r="C258" s="14"/>
      <c r="D258" s="14"/>
      <c r="E258" s="14"/>
      <c r="F258" s="14"/>
      <c r="G258" s="14"/>
      <c r="H258" s="14"/>
      <c r="I258" s="14"/>
      <c r="J258" s="14">
        <f>D259</f>
        <v>1</v>
      </c>
      <c r="K258" s="45"/>
      <c r="N258" s="43"/>
      <c r="O258" s="14"/>
      <c r="P258" s="14"/>
      <c r="Q258" s="14"/>
      <c r="R258" s="14"/>
      <c r="S258" s="14"/>
      <c r="T258" s="14"/>
      <c r="U258" s="14"/>
      <c r="V258" s="14">
        <f>P259</f>
        <v>1</v>
      </c>
      <c r="W258" s="45"/>
    </row>
    <row r="259" spans="1:24">
      <c r="A259" s="21" t="s">
        <v>102</v>
      </c>
      <c r="B259" s="43"/>
      <c r="C259" s="14"/>
      <c r="D259" s="14">
        <v>1</v>
      </c>
      <c r="E259" s="14">
        <f>G255</f>
        <v>0.82</v>
      </c>
      <c r="F259" s="14">
        <f>G256</f>
        <v>865</v>
      </c>
      <c r="G259" s="14">
        <f>G257</f>
        <v>6869</v>
      </c>
      <c r="H259" s="14"/>
      <c r="I259" s="14"/>
      <c r="J259" s="14">
        <f>E259</f>
        <v>0.82</v>
      </c>
      <c r="K259" s="45"/>
      <c r="N259" s="43"/>
      <c r="O259" s="14"/>
      <c r="P259" s="14">
        <v>1</v>
      </c>
      <c r="Q259" s="14">
        <f>S255</f>
        <v>0.82</v>
      </c>
      <c r="R259" s="14">
        <f>S256</f>
        <v>865</v>
      </c>
      <c r="S259" s="14">
        <f>S257</f>
        <v>6869</v>
      </c>
      <c r="T259" s="14"/>
      <c r="U259" s="14"/>
      <c r="V259" s="14">
        <f>Q259</f>
        <v>0.82</v>
      </c>
      <c r="W259" s="45"/>
    </row>
    <row r="260" spans="1:24">
      <c r="A260" s="21" t="s">
        <v>94</v>
      </c>
      <c r="B260" s="43"/>
      <c r="C260" s="14"/>
      <c r="D260" s="14"/>
      <c r="E260" s="14"/>
      <c r="F260" s="14"/>
      <c r="G260" s="14"/>
      <c r="H260" s="14"/>
      <c r="I260" s="14"/>
      <c r="J260" s="14">
        <f>F259</f>
        <v>865</v>
      </c>
      <c r="K260" s="45"/>
      <c r="N260" s="43"/>
      <c r="O260" s="14"/>
      <c r="P260" s="14"/>
      <c r="Q260" s="14"/>
      <c r="R260" s="14"/>
      <c r="S260" s="14"/>
      <c r="T260" s="14"/>
      <c r="U260" s="14"/>
      <c r="V260" s="14">
        <f>R259</f>
        <v>865</v>
      </c>
      <c r="W260" s="45"/>
    </row>
    <row r="261" spans="1:24">
      <c r="A261" s="63"/>
      <c r="B261" s="43"/>
      <c r="C261" s="14"/>
      <c r="D261" s="14">
        <f>ROUND(MMULT(D259:G259,AH137:AH140),4)</f>
        <v>6148.9192999999996</v>
      </c>
      <c r="E261" s="14"/>
      <c r="F261" s="14"/>
      <c r="G261" s="14"/>
      <c r="H261" s="14"/>
      <c r="I261" s="14"/>
      <c r="J261" s="14">
        <f>G259</f>
        <v>6869</v>
      </c>
      <c r="K261" s="45"/>
      <c r="N261" s="43"/>
      <c r="O261" s="14"/>
      <c r="P261" s="14">
        <f>D261</f>
        <v>6148.9192999999996</v>
      </c>
      <c r="Q261" s="14"/>
      <c r="R261" s="14"/>
      <c r="S261" s="14"/>
      <c r="T261" s="14"/>
      <c r="U261" s="14"/>
      <c r="V261" s="14">
        <f>S259</f>
        <v>6869</v>
      </c>
      <c r="W261" s="45"/>
    </row>
    <row r="262" spans="1:24">
      <c r="A262" s="63"/>
      <c r="B262" s="43"/>
      <c r="C262" s="14"/>
      <c r="D262" s="14"/>
      <c r="E262" s="14"/>
      <c r="F262" s="14"/>
      <c r="G262" s="14"/>
      <c r="H262" s="14"/>
      <c r="I262" s="14"/>
      <c r="J262" s="14"/>
      <c r="K262" s="45"/>
      <c r="N262" s="43"/>
      <c r="O262" s="14"/>
      <c r="P262" s="14"/>
      <c r="Q262" s="14"/>
      <c r="R262" s="14"/>
      <c r="S262" s="14"/>
      <c r="T262" s="14"/>
      <c r="U262" s="14"/>
      <c r="V262" s="14"/>
      <c r="W262" s="45"/>
    </row>
    <row r="263" spans="1:24">
      <c r="A263" s="63"/>
      <c r="B263" s="43"/>
      <c r="C263" s="14"/>
      <c r="D263" s="14">
        <f>MMULT(MMULT(D259:G259,P138:S141),J258:J261)</f>
        <v>0.14423847402306045</v>
      </c>
      <c r="E263" s="14"/>
      <c r="F263" s="14"/>
      <c r="G263" s="14"/>
      <c r="H263" s="14"/>
      <c r="I263" s="14"/>
      <c r="J263" s="14"/>
      <c r="K263" s="45"/>
      <c r="N263" s="43"/>
      <c r="O263" s="14"/>
      <c r="P263" s="14">
        <f>D263</f>
        <v>0.14423847402306045</v>
      </c>
      <c r="Q263" s="14"/>
      <c r="R263" s="14"/>
      <c r="S263" s="14"/>
      <c r="T263" s="14"/>
      <c r="U263" s="14"/>
      <c r="V263" s="14"/>
      <c r="W263" s="45"/>
    </row>
    <row r="264" spans="1:24">
      <c r="A264" s="63"/>
      <c r="B264" s="43"/>
      <c r="C264" s="14"/>
      <c r="D264" s="14"/>
      <c r="E264" s="14"/>
      <c r="F264" s="14"/>
      <c r="G264" s="14"/>
      <c r="H264" s="14"/>
      <c r="I264" s="14"/>
      <c r="J264" s="14"/>
      <c r="K264" s="45"/>
      <c r="N264" s="43"/>
      <c r="O264" s="14"/>
      <c r="P264" s="14"/>
      <c r="Q264" s="14"/>
      <c r="R264" s="14"/>
      <c r="S264" s="14"/>
      <c r="T264" s="14"/>
      <c r="U264" s="14"/>
      <c r="V264" s="14"/>
      <c r="W264" s="45"/>
    </row>
    <row r="265" spans="1:24">
      <c r="A265" s="63"/>
      <c r="B265" s="43"/>
      <c r="C265" s="14"/>
      <c r="D265" s="14">
        <f>I255*(1+D263)</f>
        <v>483156.05195465212</v>
      </c>
      <c r="E265" s="14"/>
      <c r="F265" s="14"/>
      <c r="G265" s="14"/>
      <c r="H265" s="14"/>
      <c r="I265" s="14"/>
      <c r="J265" s="14"/>
      <c r="K265" s="45"/>
      <c r="N265" s="43"/>
      <c r="O265" s="14"/>
      <c r="P265" s="14">
        <f>U255*(1+P263)</f>
        <v>483156.05195465212</v>
      </c>
      <c r="Q265" s="14"/>
      <c r="R265" s="14"/>
      <c r="S265" s="14"/>
      <c r="T265" s="14"/>
      <c r="U265" s="14"/>
      <c r="V265" s="14"/>
      <c r="W265" s="45"/>
    </row>
    <row r="266" spans="1:24" ht="15.75">
      <c r="A266" s="63"/>
      <c r="B266" s="43"/>
      <c r="C266" s="14"/>
      <c r="D266" s="14"/>
      <c r="E266" s="14"/>
      <c r="F266" s="29" t="s">
        <v>67</v>
      </c>
      <c r="G266" s="14">
        <f>D261-D267</f>
        <v>4772.632599999999</v>
      </c>
      <c r="H266" s="14"/>
      <c r="I266" s="63" t="s">
        <v>98</v>
      </c>
      <c r="J266" s="65" t="str">
        <f>"]"&amp;G266&amp;";"&amp;G267&amp;"["</f>
        <v>]4772,6326;7525,206[</v>
      </c>
      <c r="K266" s="45"/>
      <c r="N266" s="43"/>
      <c r="O266" s="14"/>
      <c r="P266" s="14"/>
      <c r="Q266" s="14"/>
      <c r="R266" s="29" t="s">
        <v>67</v>
      </c>
      <c r="S266" s="14">
        <f>P261-P267</f>
        <v>4995.0627999999997</v>
      </c>
      <c r="T266" s="14"/>
      <c r="U266" s="77" t="s">
        <v>139</v>
      </c>
      <c r="V266" s="65" t="str">
        <f>"]"&amp;S266&amp;";"&amp;S267&amp;"["</f>
        <v>]4995,0628;7302,7758[</v>
      </c>
      <c r="W266" s="45"/>
    </row>
    <row r="267" spans="1:24" ht="13.5" thickBot="1">
      <c r="A267" s="63"/>
      <c r="B267" s="47"/>
      <c r="C267" s="48" t="s">
        <v>60</v>
      </c>
      <c r="D267" s="28">
        <f>ROUND(D257*SQRT(D265),4)</f>
        <v>1376.2867000000001</v>
      </c>
      <c r="E267" s="28"/>
      <c r="F267" s="48" t="s">
        <v>68</v>
      </c>
      <c r="G267" s="28">
        <f>D261+D267</f>
        <v>7525.2060000000001</v>
      </c>
      <c r="H267" s="28"/>
      <c r="I267" s="28"/>
      <c r="J267" s="28"/>
      <c r="K267" s="49"/>
      <c r="N267" s="47"/>
      <c r="O267" s="48" t="s">
        <v>60</v>
      </c>
      <c r="P267" s="28">
        <f>ROUND(P257*SQRT(P265),4)</f>
        <v>1153.8565000000001</v>
      </c>
      <c r="Q267" s="28"/>
      <c r="R267" s="48" t="s">
        <v>68</v>
      </c>
      <c r="S267" s="28">
        <f>P261+P267</f>
        <v>7302.7757999999994</v>
      </c>
      <c r="T267" s="28"/>
      <c r="U267" s="28"/>
      <c r="V267" s="28"/>
      <c r="W267" s="49"/>
    </row>
    <row r="268" spans="1:24" ht="13.5" thickBot="1"/>
    <row r="269" spans="1:24">
      <c r="B269" s="39"/>
      <c r="C269" s="41"/>
      <c r="D269" s="41"/>
      <c r="E269" s="41"/>
      <c r="F269" s="41"/>
      <c r="G269" s="41"/>
      <c r="H269" s="41"/>
      <c r="I269" s="41"/>
      <c r="J269" s="41"/>
      <c r="K269" s="41"/>
      <c r="L269" s="42"/>
      <c r="N269" s="39"/>
      <c r="O269" s="41"/>
      <c r="P269" s="41"/>
      <c r="Q269" s="41"/>
      <c r="R269" s="41"/>
      <c r="S269" s="41"/>
      <c r="T269" s="41"/>
      <c r="U269" s="41"/>
      <c r="V269" s="41"/>
      <c r="W269" s="41"/>
      <c r="X269" s="42"/>
    </row>
    <row r="270" spans="1:24">
      <c r="A270" s="21" t="s">
        <v>103</v>
      </c>
      <c r="B270" s="43"/>
      <c r="C270" s="14"/>
      <c r="D270" s="14"/>
      <c r="E270" s="14"/>
      <c r="F270" s="14"/>
      <c r="G270" s="29" t="str">
        <f>A273&amp;"="</f>
        <v>β0=</v>
      </c>
      <c r="H270" s="14">
        <f>AH137</f>
        <v>-632.5110703331884</v>
      </c>
      <c r="I270" s="14"/>
      <c r="J270" s="14"/>
      <c r="K270" s="14"/>
      <c r="L270" s="45"/>
      <c r="N270" s="43"/>
      <c r="O270" s="14"/>
      <c r="P270" s="14"/>
      <c r="Q270" s="14"/>
      <c r="R270" s="14"/>
      <c r="S270" s="29" t="str">
        <f>G270</f>
        <v>β0=</v>
      </c>
      <c r="T270" s="29">
        <f>H270</f>
        <v>-632.5110703331884</v>
      </c>
      <c r="U270" s="14"/>
      <c r="V270" s="14"/>
      <c r="W270" s="14"/>
      <c r="X270" s="45"/>
    </row>
    <row r="271" spans="1:24">
      <c r="A271" s="21" t="s">
        <v>83</v>
      </c>
      <c r="B271" s="43"/>
      <c r="C271" s="14"/>
      <c r="D271" s="14"/>
      <c r="E271" s="14"/>
      <c r="F271" s="14"/>
      <c r="G271" s="14"/>
      <c r="H271" s="14"/>
      <c r="I271" s="14"/>
      <c r="J271" s="14"/>
      <c r="K271" s="14"/>
      <c r="L271" s="45"/>
      <c r="N271" s="43"/>
      <c r="O271" s="14"/>
      <c r="P271" s="14"/>
      <c r="Q271" s="14"/>
      <c r="R271" s="14"/>
      <c r="S271" s="14"/>
      <c r="T271" s="14"/>
      <c r="U271" s="14"/>
      <c r="V271" s="14"/>
      <c r="W271" s="14"/>
      <c r="X271" s="45"/>
    </row>
    <row r="272" spans="1:24">
      <c r="A272" s="21" t="s">
        <v>104</v>
      </c>
      <c r="B272" s="43"/>
      <c r="C272" s="14"/>
      <c r="D272" s="14"/>
      <c r="E272" s="14"/>
      <c r="F272" s="14"/>
      <c r="G272" s="14"/>
      <c r="H272" s="14">
        <f>P138</f>
        <v>1.6476850676046058</v>
      </c>
      <c r="I272" s="14"/>
      <c r="J272" s="14"/>
      <c r="K272" s="14"/>
      <c r="L272" s="45"/>
      <c r="N272" s="43"/>
      <c r="O272" s="14"/>
      <c r="P272" s="14"/>
      <c r="Q272" s="14"/>
      <c r="R272" s="14"/>
      <c r="S272" s="14"/>
      <c r="T272" s="29">
        <f>H272</f>
        <v>1.6476850676046058</v>
      </c>
      <c r="U272" s="14"/>
      <c r="V272" s="14"/>
      <c r="W272" s="14"/>
      <c r="X272" s="45"/>
    </row>
    <row r="273" spans="1:24">
      <c r="A273" s="21" t="s">
        <v>84</v>
      </c>
      <c r="B273" s="43"/>
      <c r="C273" s="14"/>
      <c r="D273" s="14"/>
      <c r="E273" s="14"/>
      <c r="F273" s="14"/>
      <c r="G273" s="14"/>
      <c r="H273" s="14"/>
      <c r="I273" s="14"/>
      <c r="J273" s="14"/>
      <c r="K273" s="14"/>
      <c r="L273" s="45"/>
      <c r="N273" s="43"/>
      <c r="O273" s="14"/>
      <c r="P273" s="14"/>
      <c r="Q273" s="14"/>
      <c r="R273" s="14"/>
      <c r="S273" s="14"/>
      <c r="T273" s="14"/>
      <c r="U273" s="14"/>
      <c r="V273" s="14"/>
      <c r="W273" s="14"/>
      <c r="X273" s="45"/>
    </row>
    <row r="274" spans="1:24">
      <c r="B274" s="43"/>
      <c r="C274" s="14"/>
      <c r="D274" s="14"/>
      <c r="E274" s="14"/>
      <c r="F274" s="14"/>
      <c r="G274" s="14"/>
      <c r="H274" s="14"/>
      <c r="I274" s="14"/>
      <c r="J274" s="14"/>
      <c r="K274" s="14"/>
      <c r="L274" s="45"/>
      <c r="N274" s="43"/>
      <c r="O274" s="14"/>
      <c r="P274" s="14"/>
      <c r="Q274" s="14"/>
      <c r="R274" s="14"/>
      <c r="S274" s="14"/>
      <c r="T274" s="14"/>
      <c r="U274" s="14"/>
      <c r="V274" s="14"/>
      <c r="W274" s="14"/>
      <c r="X274" s="45"/>
    </row>
    <row r="275" spans="1:24">
      <c r="B275" s="43"/>
      <c r="C275" s="14">
        <f>D162</f>
        <v>422251.18532844825</v>
      </c>
      <c r="D275" s="14"/>
      <c r="E275" s="14"/>
      <c r="F275" s="14"/>
      <c r="G275" s="14"/>
      <c r="H275" s="14"/>
      <c r="I275" s="14"/>
      <c r="J275" s="14"/>
      <c r="K275" s="14"/>
      <c r="L275" s="45"/>
      <c r="N275" s="43"/>
      <c r="O275" s="14">
        <f>C275</f>
        <v>422251.18532844825</v>
      </c>
      <c r="P275" s="14"/>
      <c r="Q275" s="14"/>
      <c r="R275" s="14"/>
      <c r="S275" s="14"/>
      <c r="T275" s="14"/>
      <c r="U275" s="14"/>
      <c r="V275" s="14"/>
      <c r="W275" s="14"/>
      <c r="X275" s="45"/>
    </row>
    <row r="276" spans="1:24">
      <c r="B276" s="43"/>
      <c r="C276" s="14"/>
      <c r="D276" s="14"/>
      <c r="E276" s="14"/>
      <c r="F276" s="14"/>
      <c r="G276" s="14"/>
      <c r="H276" s="14"/>
      <c r="I276" s="14"/>
      <c r="J276" s="14"/>
      <c r="K276" s="14"/>
      <c r="L276" s="45"/>
      <c r="N276" s="43"/>
      <c r="O276" s="14"/>
      <c r="P276" s="14"/>
      <c r="Q276" s="14"/>
      <c r="R276" s="14"/>
      <c r="S276" s="14"/>
      <c r="T276" s="14"/>
      <c r="U276" s="14"/>
      <c r="V276" s="14"/>
      <c r="W276" s="14"/>
      <c r="X276" s="45"/>
    </row>
    <row r="277" spans="1:24">
      <c r="B277" s="43"/>
      <c r="C277" s="44" t="s">
        <v>105</v>
      </c>
      <c r="D277" s="14">
        <v>0.05</v>
      </c>
      <c r="E277" s="14"/>
      <c r="F277" s="14"/>
      <c r="G277" s="29" t="s">
        <v>108</v>
      </c>
      <c r="H277" s="14" t="str">
        <f>"]-∞;-"&amp;ROUND(D279,4)&amp;"[ U ]"&amp;ROUND(D279,4)&amp;";+∞["</f>
        <v>]-∞;-1,98[ U ]1,98;+∞[</v>
      </c>
      <c r="I277" s="14"/>
      <c r="J277" s="14"/>
      <c r="K277" s="14"/>
      <c r="L277" s="45"/>
      <c r="N277" s="43"/>
      <c r="O277" s="44" t="s">
        <v>105</v>
      </c>
      <c r="P277" s="14">
        <v>0.01</v>
      </c>
      <c r="Q277" s="14"/>
      <c r="R277" s="14"/>
      <c r="S277" s="29" t="s">
        <v>108</v>
      </c>
      <c r="T277" s="14" t="str">
        <f>"]-∞;-"&amp;ROUND(P279,4)&amp;"[ U ]"&amp;ROUND(P279,4)&amp;";+∞["</f>
        <v>]-∞;-2,62[ U ]2,62;+∞[</v>
      </c>
      <c r="U277" s="14"/>
      <c r="V277" s="14"/>
      <c r="W277" s="14"/>
      <c r="X277" s="45"/>
    </row>
    <row r="278" spans="1:24">
      <c r="B278" s="43"/>
      <c r="C278" s="44"/>
      <c r="D278" s="14"/>
      <c r="E278" s="14"/>
      <c r="F278" s="14"/>
      <c r="G278" s="14"/>
      <c r="H278" s="14"/>
      <c r="I278" s="14"/>
      <c r="J278" s="14"/>
      <c r="K278" s="14"/>
      <c r="L278" s="45"/>
      <c r="N278" s="43"/>
      <c r="O278" s="44"/>
      <c r="P278" s="14"/>
      <c r="Q278" s="14"/>
      <c r="R278" s="14"/>
      <c r="S278" s="14"/>
      <c r="T278" s="14"/>
      <c r="U278" s="14"/>
      <c r="V278" s="14"/>
      <c r="W278" s="14"/>
      <c r="X278" s="45"/>
    </row>
    <row r="279" spans="1:24">
      <c r="B279" s="43"/>
      <c r="C279" s="14"/>
      <c r="D279" s="14">
        <f>ROUND(_xlfn.T.INV(1-D277/2,120-(3+1)),2)</f>
        <v>1.98</v>
      </c>
      <c r="E279" s="14"/>
      <c r="F279" s="14"/>
      <c r="G279" s="14"/>
      <c r="H279" s="14"/>
      <c r="I279" s="14"/>
      <c r="J279" s="14"/>
      <c r="K279" s="14"/>
      <c r="L279" s="45"/>
      <c r="N279" s="43"/>
      <c r="O279" s="14"/>
      <c r="P279" s="14">
        <f>ROUND(_xlfn.T.INV(1-P277/2,120-(3+1)),2)</f>
        <v>2.62</v>
      </c>
      <c r="Q279" s="14"/>
      <c r="R279" s="14"/>
      <c r="S279" s="14"/>
      <c r="T279" s="14"/>
      <c r="U279" s="14"/>
      <c r="V279" s="14"/>
      <c r="W279" s="14"/>
      <c r="X279" s="45"/>
    </row>
    <row r="280" spans="1:24">
      <c r="B280" s="43"/>
      <c r="C280" s="29"/>
      <c r="D280" s="14"/>
      <c r="E280" s="14"/>
      <c r="F280" s="14"/>
      <c r="G280" s="14"/>
      <c r="H280" s="14"/>
      <c r="I280" s="14"/>
      <c r="J280" s="14"/>
      <c r="K280" s="14"/>
      <c r="L280" s="45"/>
      <c r="N280" s="43"/>
      <c r="O280" s="29"/>
      <c r="P280" s="14"/>
      <c r="Q280" s="14"/>
      <c r="R280" s="14"/>
      <c r="S280" s="14"/>
      <c r="T280" s="14"/>
      <c r="U280" s="14"/>
      <c r="V280" s="14"/>
      <c r="W280" s="14"/>
      <c r="X280" s="45"/>
    </row>
    <row r="281" spans="1:24">
      <c r="B281" s="43"/>
      <c r="C281" s="14"/>
      <c r="D281" s="14"/>
      <c r="E281" s="14"/>
      <c r="F281" s="14"/>
      <c r="G281" s="14"/>
      <c r="H281" s="14"/>
      <c r="I281" s="14"/>
      <c r="J281" s="14"/>
      <c r="K281" s="14"/>
      <c r="L281" s="45"/>
      <c r="N281" s="43"/>
      <c r="O281" s="14"/>
      <c r="P281" s="14"/>
      <c r="Q281" s="14"/>
      <c r="R281" s="14"/>
      <c r="S281" s="14"/>
      <c r="T281" s="14"/>
      <c r="U281" s="14"/>
      <c r="V281" s="14"/>
      <c r="W281" s="14"/>
      <c r="X281" s="45"/>
    </row>
    <row r="282" spans="1:24">
      <c r="B282" s="43"/>
      <c r="C282" s="14"/>
      <c r="D282" s="14"/>
      <c r="E282" s="14"/>
      <c r="F282" s="14"/>
      <c r="G282" s="14"/>
      <c r="H282" s="14"/>
      <c r="I282" s="14"/>
      <c r="J282" s="14"/>
      <c r="K282" s="14"/>
      <c r="L282" s="45"/>
      <c r="N282" s="43"/>
      <c r="O282" s="14"/>
      <c r="P282" s="14"/>
      <c r="Q282" s="14"/>
      <c r="R282" s="14"/>
      <c r="S282" s="14"/>
      <c r="T282" s="14"/>
      <c r="U282" s="14"/>
      <c r="V282" s="14"/>
      <c r="W282" s="14"/>
      <c r="X282" s="45"/>
    </row>
    <row r="283" spans="1:24">
      <c r="B283" s="43"/>
      <c r="C283" s="29" t="s">
        <v>106</v>
      </c>
      <c r="D283" s="14">
        <f>ROUND(H270/SQRT(C275*H272),4)</f>
        <v>-0.75829999999999997</v>
      </c>
      <c r="E283" s="14"/>
      <c r="F283" s="14"/>
      <c r="G283" s="14"/>
      <c r="H283" s="14"/>
      <c r="I283" s="14"/>
      <c r="J283" s="14"/>
      <c r="K283" s="14"/>
      <c r="L283" s="45"/>
      <c r="N283" s="43"/>
      <c r="O283" s="29" t="s">
        <v>106</v>
      </c>
      <c r="P283" s="14">
        <f>ROUND(T270/SQRT(O275*T272),4)</f>
        <v>-0.75829999999999997</v>
      </c>
      <c r="Q283" s="14"/>
      <c r="R283" s="14"/>
      <c r="S283" s="14"/>
      <c r="T283" s="14"/>
      <c r="U283" s="14"/>
      <c r="V283" s="14"/>
      <c r="W283" s="14"/>
      <c r="X283" s="45"/>
    </row>
    <row r="284" spans="1:24">
      <c r="B284" s="43"/>
      <c r="C284" s="29" t="s">
        <v>107</v>
      </c>
      <c r="D284" s="14">
        <f>ABS(D283)</f>
        <v>0.75829999999999997</v>
      </c>
      <c r="E284" s="14"/>
      <c r="F284" s="14"/>
      <c r="G284" s="14"/>
      <c r="H284" s="14"/>
      <c r="I284" s="14"/>
      <c r="J284" s="14"/>
      <c r="K284" s="14"/>
      <c r="L284" s="45"/>
      <c r="N284" s="43"/>
      <c r="O284" s="29" t="s">
        <v>107</v>
      </c>
      <c r="P284" s="14">
        <f>ABS(P283)</f>
        <v>0.75829999999999997</v>
      </c>
      <c r="Q284" s="14"/>
      <c r="R284" s="14"/>
      <c r="S284" s="14"/>
      <c r="T284" s="14"/>
      <c r="U284" s="14"/>
      <c r="V284" s="14"/>
      <c r="W284" s="14"/>
      <c r="X284" s="45"/>
    </row>
    <row r="285" spans="1:24" ht="13.5" thickBot="1">
      <c r="B285" s="47" t="str">
        <f>IF(ABS(D283)&gt;ROUND(D279,4), "Como |"&amp;ROUND(D283,2)&amp;"| &gt; "&amp;ROUND(D279,4)&amp;" então rejeita-se H0, logo a um nível de significância de "&amp;D277*100&amp;"% há evidencia estatística suficiente para se concluir que "&amp;G270&amp;" é não nulo","Como |"&amp;ROUND(D283,2)&amp;"|  ≤ "&amp;ROUND(D279,4)&amp;" então não se rejeita H0, logo a um nível de significância de "&amp;D277*100&amp;"% há evidencia estatística suficiente para se concluir que "&amp;G270&amp;" é nulo")</f>
        <v>Como |-0,76|  ≤ 1,98 então não se rejeita H0, logo a um nível de significância de 5% há evidencia estatística suficiente para se concluir que β0= é nulo</v>
      </c>
      <c r="C285" s="28"/>
      <c r="D285" s="28"/>
      <c r="E285" s="28"/>
      <c r="F285" s="28"/>
      <c r="G285" s="28"/>
      <c r="H285" s="28"/>
      <c r="I285" s="28"/>
      <c r="J285" s="28"/>
      <c r="K285" s="49"/>
      <c r="L285" s="49"/>
      <c r="N285" s="47" t="str">
        <f>IF(ABS(P283)&gt;ROUND(P279,4), "Como |"&amp;ROUND(P283,2)&amp;"| &gt; "&amp;ROUND(P279,4)&amp;" então rejeita-se H0, logo a um nível de significância de "&amp;P277*100&amp;"% há evidencia estatística suficiente para se concluir que "&amp;S270&amp;" é não nulo","Como |"&amp;ROUND(P283,2)&amp;"|  ≤ "&amp;ROUND(P279,4)&amp;" então não se rejeita H0, logo a um nível de significância de "&amp;P277*100&amp;"% há evidencia estatística suficiente para se concluir que "&amp;S270&amp;" é nulo")</f>
        <v>Como |-0,76|  ≤ 2,62 então não se rejeita H0, logo a um nível de significância de 1% há evidencia estatística suficiente para se concluir que β0= é nulo</v>
      </c>
      <c r="O285" s="28"/>
      <c r="P285" s="28"/>
      <c r="Q285" s="28"/>
      <c r="R285" s="28"/>
      <c r="S285" s="28"/>
      <c r="T285" s="28"/>
      <c r="U285" s="28"/>
      <c r="V285" s="28"/>
      <c r="W285" s="49"/>
      <c r="X285" s="49"/>
    </row>
    <row r="286" spans="1:24" ht="13.5" thickBot="1"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</row>
    <row r="287" spans="1:24">
      <c r="A287" s="68"/>
      <c r="B287" s="39"/>
      <c r="C287" s="41"/>
      <c r="D287" s="41"/>
      <c r="E287" s="41"/>
      <c r="F287" s="41"/>
      <c r="G287" s="41"/>
      <c r="H287" s="41"/>
      <c r="I287" s="41"/>
      <c r="J287" s="41"/>
      <c r="K287" s="41"/>
      <c r="L287" s="42"/>
      <c r="N287" s="39"/>
      <c r="O287" s="41"/>
      <c r="P287" s="41"/>
      <c r="Q287" s="41"/>
      <c r="R287" s="41"/>
      <c r="S287" s="41"/>
      <c r="T287" s="41"/>
      <c r="U287" s="41"/>
      <c r="V287" s="41"/>
      <c r="W287" s="41"/>
      <c r="X287" s="42"/>
    </row>
    <row r="288" spans="1:24">
      <c r="A288" s="21" t="s">
        <v>103</v>
      </c>
      <c r="B288" s="43"/>
      <c r="C288" s="14"/>
      <c r="D288" s="14"/>
      <c r="E288" s="14"/>
      <c r="F288" s="14"/>
      <c r="G288" s="29" t="str">
        <f>A291&amp;"="</f>
        <v>β1=</v>
      </c>
      <c r="H288" s="14">
        <f>AH138</f>
        <v>1070.8717221753323</v>
      </c>
      <c r="I288" s="14"/>
      <c r="J288" s="14"/>
      <c r="K288" s="14"/>
      <c r="L288" s="45"/>
      <c r="N288" s="43"/>
      <c r="O288" s="14"/>
      <c r="P288" s="14"/>
      <c r="Q288" s="14"/>
      <c r="R288" s="14"/>
      <c r="S288" s="29" t="str">
        <f>G288</f>
        <v>β1=</v>
      </c>
      <c r="T288" s="29">
        <f>H288</f>
        <v>1070.8717221753323</v>
      </c>
      <c r="U288" s="14"/>
      <c r="V288" s="14"/>
      <c r="W288" s="14"/>
      <c r="X288" s="45"/>
    </row>
    <row r="289" spans="1:24">
      <c r="A289" s="21" t="s">
        <v>83</v>
      </c>
      <c r="B289" s="43"/>
      <c r="C289" s="14"/>
      <c r="D289" s="14"/>
      <c r="E289" s="14"/>
      <c r="F289" s="14"/>
      <c r="G289" s="14"/>
      <c r="H289" s="14"/>
      <c r="I289" s="14"/>
      <c r="J289" s="14"/>
      <c r="K289" s="14"/>
      <c r="L289" s="45"/>
      <c r="N289" s="43"/>
      <c r="O289" s="14"/>
      <c r="P289" s="14"/>
      <c r="Q289" s="14"/>
      <c r="R289" s="14"/>
      <c r="S289" s="14"/>
      <c r="T289" s="14"/>
      <c r="U289" s="14"/>
      <c r="V289" s="14"/>
      <c r="W289" s="14"/>
      <c r="X289" s="45"/>
    </row>
    <row r="290" spans="1:24">
      <c r="A290" s="21" t="s">
        <v>104</v>
      </c>
      <c r="B290" s="43"/>
      <c r="C290" s="14"/>
      <c r="D290" s="14"/>
      <c r="E290" s="14"/>
      <c r="F290" s="14"/>
      <c r="G290" s="14"/>
      <c r="H290" s="14">
        <f>Q139</f>
        <v>1.3214032039492378</v>
      </c>
      <c r="I290" s="14"/>
      <c r="J290" s="14"/>
      <c r="K290" s="14"/>
      <c r="L290" s="45"/>
      <c r="N290" s="43"/>
      <c r="O290" s="14"/>
      <c r="P290" s="14"/>
      <c r="Q290" s="14"/>
      <c r="R290" s="14"/>
      <c r="S290" s="14"/>
      <c r="T290" s="29">
        <f>H290</f>
        <v>1.3214032039492378</v>
      </c>
      <c r="U290" s="14"/>
      <c r="V290" s="14"/>
      <c r="W290" s="14"/>
      <c r="X290" s="45"/>
    </row>
    <row r="291" spans="1:24">
      <c r="A291" s="21" t="s">
        <v>85</v>
      </c>
      <c r="B291" s="43"/>
      <c r="C291" s="14"/>
      <c r="D291" s="14"/>
      <c r="E291" s="14"/>
      <c r="F291" s="14"/>
      <c r="G291" s="14"/>
      <c r="H291" s="14"/>
      <c r="I291" s="14"/>
      <c r="J291" s="14"/>
      <c r="K291" s="14"/>
      <c r="L291" s="45"/>
      <c r="N291" s="43"/>
      <c r="O291" s="14"/>
      <c r="P291" s="14"/>
      <c r="Q291" s="14"/>
      <c r="R291" s="14"/>
      <c r="S291" s="14"/>
      <c r="T291" s="14"/>
      <c r="U291" s="14"/>
      <c r="V291" s="14"/>
      <c r="W291" s="14"/>
      <c r="X291" s="45"/>
    </row>
    <row r="292" spans="1:24">
      <c r="A292" s="68"/>
      <c r="B292" s="43"/>
      <c r="C292" s="14"/>
      <c r="D292" s="14"/>
      <c r="E292" s="14"/>
      <c r="F292" s="14"/>
      <c r="G292" s="14"/>
      <c r="H292" s="14"/>
      <c r="I292" s="14"/>
      <c r="J292" s="14"/>
      <c r="K292" s="14"/>
      <c r="L292" s="45"/>
      <c r="N292" s="43"/>
      <c r="O292" s="14"/>
      <c r="P292" s="14"/>
      <c r="Q292" s="14"/>
      <c r="R292" s="14"/>
      <c r="S292" s="14"/>
      <c r="T292" s="14"/>
      <c r="U292" s="14"/>
      <c r="V292" s="14"/>
      <c r="W292" s="14"/>
      <c r="X292" s="45"/>
    </row>
    <row r="293" spans="1:24">
      <c r="A293" s="68"/>
      <c r="B293" s="43"/>
      <c r="C293" s="14">
        <f>D162</f>
        <v>422251.18532844825</v>
      </c>
      <c r="D293" s="14"/>
      <c r="E293" s="14"/>
      <c r="F293" s="14"/>
      <c r="G293" s="14"/>
      <c r="H293" s="14"/>
      <c r="I293" s="14"/>
      <c r="J293" s="14"/>
      <c r="K293" s="14"/>
      <c r="L293" s="45"/>
      <c r="N293" s="43"/>
      <c r="O293" s="14">
        <f>C293</f>
        <v>422251.18532844825</v>
      </c>
      <c r="P293" s="14"/>
      <c r="Q293" s="14"/>
      <c r="R293" s="14"/>
      <c r="S293" s="14"/>
      <c r="T293" s="14"/>
      <c r="U293" s="14"/>
      <c r="V293" s="14"/>
      <c r="W293" s="14"/>
      <c r="X293" s="45"/>
    </row>
    <row r="294" spans="1:24">
      <c r="A294" s="68"/>
      <c r="B294" s="43"/>
      <c r="C294" s="14"/>
      <c r="D294" s="14"/>
      <c r="E294" s="14"/>
      <c r="F294" s="14"/>
      <c r="G294" s="14"/>
      <c r="H294" s="14"/>
      <c r="I294" s="14"/>
      <c r="J294" s="14"/>
      <c r="K294" s="14"/>
      <c r="L294" s="45"/>
      <c r="N294" s="43"/>
      <c r="O294" s="14"/>
      <c r="P294" s="14"/>
      <c r="Q294" s="14"/>
      <c r="R294" s="14"/>
      <c r="S294" s="14"/>
      <c r="T294" s="14"/>
      <c r="U294" s="14"/>
      <c r="V294" s="14"/>
      <c r="W294" s="14"/>
      <c r="X294" s="45"/>
    </row>
    <row r="295" spans="1:24">
      <c r="A295" s="68"/>
      <c r="B295" s="43"/>
      <c r="C295" s="44" t="s">
        <v>105</v>
      </c>
      <c r="D295" s="14">
        <v>0.05</v>
      </c>
      <c r="E295" s="14"/>
      <c r="F295" s="14"/>
      <c r="G295" s="29" t="s">
        <v>108</v>
      </c>
      <c r="H295" s="14" t="str">
        <f>"]-∞;-"&amp;ROUND(D297,4)&amp;"[ U ]"&amp;ROUND(D297,4)&amp;";+∞["</f>
        <v>]-∞;-1,98[ U ]1,98;+∞[</v>
      </c>
      <c r="I295" s="14"/>
      <c r="J295" s="14"/>
      <c r="K295" s="14"/>
      <c r="L295" s="45"/>
      <c r="N295" s="43"/>
      <c r="O295" s="44" t="s">
        <v>105</v>
      </c>
      <c r="P295" s="14">
        <v>0.01</v>
      </c>
      <c r="Q295" s="14"/>
      <c r="R295" s="14"/>
      <c r="S295" s="29" t="s">
        <v>108</v>
      </c>
      <c r="T295" s="14" t="str">
        <f>"]-∞;-"&amp;ROUND(P297,4)&amp;"[ U ]"&amp;ROUND(P297,4)&amp;";+∞["</f>
        <v>]-∞;-2,62[ U ]2,62;+∞[</v>
      </c>
      <c r="U295" s="14"/>
      <c r="V295" s="14"/>
      <c r="W295" s="14"/>
      <c r="X295" s="45"/>
    </row>
    <row r="296" spans="1:24">
      <c r="A296" s="68"/>
      <c r="B296" s="43"/>
      <c r="C296" s="44"/>
      <c r="D296" s="14"/>
      <c r="E296" s="14"/>
      <c r="F296" s="14"/>
      <c r="G296" s="14"/>
      <c r="H296" s="14"/>
      <c r="I296" s="14"/>
      <c r="J296" s="14"/>
      <c r="K296" s="14"/>
      <c r="L296" s="45"/>
      <c r="N296" s="43"/>
      <c r="O296" s="44"/>
      <c r="P296" s="14"/>
      <c r="Q296" s="14"/>
      <c r="R296" s="14"/>
      <c r="S296" s="14"/>
      <c r="T296" s="14"/>
      <c r="U296" s="14"/>
      <c r="V296" s="14"/>
      <c r="W296" s="14"/>
      <c r="X296" s="45"/>
    </row>
    <row r="297" spans="1:24">
      <c r="A297" s="68"/>
      <c r="B297" s="43"/>
      <c r="C297" s="14"/>
      <c r="D297" s="14">
        <f>ROUND(_xlfn.T.INV(1-D295/2,120-(3+1)),2)</f>
        <v>1.98</v>
      </c>
      <c r="E297" s="14"/>
      <c r="F297" s="14"/>
      <c r="G297" s="14"/>
      <c r="H297" s="14"/>
      <c r="I297" s="14"/>
      <c r="J297" s="14"/>
      <c r="K297" s="14"/>
      <c r="L297" s="45"/>
      <c r="N297" s="43"/>
      <c r="O297" s="14"/>
      <c r="P297" s="14">
        <f>ROUND(_xlfn.T.INV(1-P295/2,120-(3+1)),2)</f>
        <v>2.62</v>
      </c>
      <c r="Q297" s="14"/>
      <c r="R297" s="14"/>
      <c r="S297" s="14"/>
      <c r="T297" s="14"/>
      <c r="U297" s="14"/>
      <c r="V297" s="14"/>
      <c r="W297" s="14"/>
      <c r="X297" s="45"/>
    </row>
    <row r="298" spans="1:24">
      <c r="A298" s="68"/>
      <c r="B298" s="43"/>
      <c r="C298" s="29"/>
      <c r="D298" s="14"/>
      <c r="E298" s="14"/>
      <c r="F298" s="14"/>
      <c r="G298" s="14"/>
      <c r="H298" s="14"/>
      <c r="I298" s="14"/>
      <c r="J298" s="14"/>
      <c r="K298" s="14"/>
      <c r="L298" s="45"/>
      <c r="N298" s="43"/>
      <c r="O298" s="29"/>
      <c r="P298" s="14"/>
      <c r="Q298" s="14"/>
      <c r="R298" s="14"/>
      <c r="S298" s="14"/>
      <c r="T298" s="14"/>
      <c r="U298" s="14"/>
      <c r="V298" s="14"/>
      <c r="W298" s="14"/>
      <c r="X298" s="45"/>
    </row>
    <row r="299" spans="1:24">
      <c r="A299" s="68"/>
      <c r="B299" s="43"/>
      <c r="C299" s="14"/>
      <c r="D299" s="14"/>
      <c r="E299" s="14"/>
      <c r="F299" s="14"/>
      <c r="G299" s="14"/>
      <c r="H299" s="14"/>
      <c r="I299" s="14"/>
      <c r="J299" s="14"/>
      <c r="K299" s="14"/>
      <c r="L299" s="45"/>
      <c r="N299" s="43"/>
      <c r="O299" s="14"/>
      <c r="P299" s="14"/>
      <c r="Q299" s="14"/>
      <c r="R299" s="14"/>
      <c r="S299" s="14"/>
      <c r="T299" s="14"/>
      <c r="U299" s="14"/>
      <c r="V299" s="14"/>
      <c r="W299" s="14"/>
      <c r="X299" s="45"/>
    </row>
    <row r="300" spans="1:24">
      <c r="A300" s="68"/>
      <c r="B300" s="43"/>
      <c r="C300" s="14"/>
      <c r="D300" s="14"/>
      <c r="E300" s="14"/>
      <c r="F300" s="14"/>
      <c r="G300" s="14"/>
      <c r="H300" s="14"/>
      <c r="I300" s="14"/>
      <c r="J300" s="14"/>
      <c r="K300" s="14"/>
      <c r="L300" s="45"/>
      <c r="N300" s="43"/>
      <c r="O300" s="14"/>
      <c r="P300" s="14"/>
      <c r="Q300" s="14"/>
      <c r="R300" s="14"/>
      <c r="S300" s="14"/>
      <c r="T300" s="14"/>
      <c r="U300" s="14"/>
      <c r="V300" s="14"/>
      <c r="W300" s="14"/>
      <c r="X300" s="45"/>
    </row>
    <row r="301" spans="1:24">
      <c r="A301" s="68"/>
      <c r="B301" s="43"/>
      <c r="C301" s="29" t="s">
        <v>106</v>
      </c>
      <c r="D301" s="14">
        <f>ROUND(H288/SQRT(C293*H290),4)</f>
        <v>1.4336</v>
      </c>
      <c r="E301" s="14"/>
      <c r="F301" s="14"/>
      <c r="G301" s="14"/>
      <c r="H301" s="14"/>
      <c r="I301" s="14"/>
      <c r="J301" s="14"/>
      <c r="K301" s="14"/>
      <c r="L301" s="45"/>
      <c r="N301" s="43"/>
      <c r="O301" s="29" t="s">
        <v>106</v>
      </c>
      <c r="P301" s="14">
        <f>ROUND(T288/SQRT(O293*T290),4)</f>
        <v>1.4336</v>
      </c>
      <c r="Q301" s="14"/>
      <c r="R301" s="14"/>
      <c r="S301" s="14"/>
      <c r="T301" s="14"/>
      <c r="U301" s="14"/>
      <c r="V301" s="14"/>
      <c r="W301" s="14"/>
      <c r="X301" s="45"/>
    </row>
    <row r="302" spans="1:24">
      <c r="A302" s="68"/>
      <c r="B302" s="43"/>
      <c r="C302" s="29" t="s">
        <v>107</v>
      </c>
      <c r="D302" s="14">
        <f>ABS(D301)</f>
        <v>1.4336</v>
      </c>
      <c r="E302" s="14"/>
      <c r="F302" s="14"/>
      <c r="G302" s="14"/>
      <c r="H302" s="14"/>
      <c r="I302" s="14"/>
      <c r="J302" s="14"/>
      <c r="K302" s="14"/>
      <c r="L302" s="45"/>
      <c r="N302" s="43"/>
      <c r="O302" s="29" t="s">
        <v>107</v>
      </c>
      <c r="P302" s="14">
        <f>ABS(P301)</f>
        <v>1.4336</v>
      </c>
      <c r="Q302" s="14"/>
      <c r="R302" s="14"/>
      <c r="S302" s="14"/>
      <c r="T302" s="14"/>
      <c r="U302" s="14"/>
      <c r="V302" s="14"/>
      <c r="W302" s="14"/>
      <c r="X302" s="45"/>
    </row>
    <row r="303" spans="1:24" ht="13.5" thickBot="1">
      <c r="A303" s="68"/>
      <c r="B303" s="47" t="str">
        <f>IF(ABS(D301)&gt;ROUND(D297,4), "Como |"&amp;ROUND(D301,2)&amp;"| &gt; "&amp;ROUND(D297,4)&amp;" então rejeita-se H0, logo a um nível de significância de "&amp;D295*100&amp;"% há evidencia estatística suficiente para se concluir que "&amp;G288&amp;" é não nulo","Como |"&amp;ROUND(D301,2)&amp;"|  ≤ "&amp;ROUND(D297,4)&amp;" então não se rejeita H0, logo a um nível de significância de "&amp;D295*100&amp;"% há evidencia estatística suficiente para se concluir que "&amp;G288&amp;" é nulo")</f>
        <v>Como |1,43|  ≤ 1,98 então não se rejeita H0, logo a um nível de significância de 5% há evidencia estatística suficiente para se concluir que β1= é nulo</v>
      </c>
      <c r="C303" s="28"/>
      <c r="D303" s="28"/>
      <c r="E303" s="28"/>
      <c r="F303" s="28"/>
      <c r="G303" s="28"/>
      <c r="H303" s="28"/>
      <c r="I303" s="28"/>
      <c r="J303" s="28"/>
      <c r="K303" s="49"/>
      <c r="L303" s="49"/>
      <c r="N303" s="47" t="str">
        <f>IF(ABS(P301)&gt;ROUND(P297,4), "Como |"&amp;ROUND(P301,2)&amp;"| &gt; "&amp;ROUND(P297,4)&amp;" então rejeita-se H0, logo a um nível de significância de "&amp;P295*100&amp;"% há evidencia estatística suficiente para se concluir que "&amp;S288&amp;" é não nulo","Como |"&amp;ROUND(P301,2)&amp;"|  ≤ "&amp;ROUND(P297,4)&amp;" então não se rejeita H0, logo a um nível de significância de "&amp;P295*100&amp;"% há evidencia estatística suficiente para se concluir que "&amp;S288&amp;" é nulo")</f>
        <v>Como |1,43|  ≤ 2,62 então não se rejeita H0, logo a um nível de significância de 1% há evidencia estatística suficiente para se concluir que β1= é nulo</v>
      </c>
      <c r="O303" s="28"/>
      <c r="P303" s="28"/>
      <c r="Q303" s="28"/>
      <c r="R303" s="28"/>
      <c r="S303" s="28"/>
      <c r="T303" s="28"/>
      <c r="U303" s="28"/>
      <c r="V303" s="28"/>
      <c r="W303" s="49"/>
      <c r="X303" s="49"/>
    </row>
    <row r="304" spans="1:24" ht="13.5" thickBot="1"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</row>
    <row r="305" spans="1:24">
      <c r="A305" s="68"/>
      <c r="B305" s="39"/>
      <c r="C305" s="41"/>
      <c r="D305" s="41"/>
      <c r="E305" s="41"/>
      <c r="F305" s="41"/>
      <c r="G305" s="41"/>
      <c r="H305" s="41"/>
      <c r="I305" s="41"/>
      <c r="J305" s="41"/>
      <c r="K305" s="41"/>
      <c r="L305" s="42"/>
      <c r="N305" s="39"/>
      <c r="O305" s="41"/>
      <c r="P305" s="41"/>
      <c r="Q305" s="41"/>
      <c r="R305" s="41"/>
      <c r="S305" s="41"/>
      <c r="T305" s="41"/>
      <c r="U305" s="41"/>
      <c r="V305" s="41"/>
      <c r="W305" s="41"/>
      <c r="X305" s="42"/>
    </row>
    <row r="306" spans="1:24">
      <c r="A306" s="21" t="s">
        <v>103</v>
      </c>
      <c r="B306" s="43"/>
      <c r="C306" s="14"/>
      <c r="D306" s="14"/>
      <c r="E306" s="14"/>
      <c r="F306" s="14"/>
      <c r="G306" s="29" t="str">
        <f>A309&amp;"="</f>
        <v>β2=</v>
      </c>
      <c r="H306" s="14">
        <f>AH139</f>
        <v>-5.7293111620384707</v>
      </c>
      <c r="I306" s="14"/>
      <c r="J306" s="14"/>
      <c r="K306" s="14"/>
      <c r="L306" s="45"/>
      <c r="N306" s="43"/>
      <c r="O306" s="14"/>
      <c r="P306" s="14"/>
      <c r="Q306" s="14"/>
      <c r="R306" s="14"/>
      <c r="S306" s="29" t="str">
        <f>G306</f>
        <v>β2=</v>
      </c>
      <c r="T306" s="29">
        <f>H306</f>
        <v>-5.7293111620384707</v>
      </c>
      <c r="U306" s="14"/>
      <c r="V306" s="14"/>
      <c r="W306" s="14"/>
      <c r="X306" s="45"/>
    </row>
    <row r="307" spans="1:24">
      <c r="A307" s="21" t="s">
        <v>83</v>
      </c>
      <c r="B307" s="43"/>
      <c r="C307" s="14"/>
      <c r="D307" s="14"/>
      <c r="E307" s="14"/>
      <c r="F307" s="14"/>
      <c r="G307" s="14"/>
      <c r="H307" s="14"/>
      <c r="I307" s="14"/>
      <c r="J307" s="14"/>
      <c r="K307" s="14"/>
      <c r="L307" s="45"/>
      <c r="N307" s="43"/>
      <c r="O307" s="14"/>
      <c r="P307" s="14"/>
      <c r="Q307" s="14"/>
      <c r="R307" s="14"/>
      <c r="S307" s="14"/>
      <c r="T307" s="29"/>
      <c r="U307" s="14"/>
      <c r="V307" s="14"/>
      <c r="W307" s="14"/>
      <c r="X307" s="45"/>
    </row>
    <row r="308" spans="1:24">
      <c r="A308" s="21" t="s">
        <v>104</v>
      </c>
      <c r="B308" s="43"/>
      <c r="C308" s="14"/>
      <c r="D308" s="14"/>
      <c r="E308" s="14"/>
      <c r="F308" s="14"/>
      <c r="G308" s="14"/>
      <c r="H308" s="14">
        <f>R140</f>
        <v>9.6256726652889317E-6</v>
      </c>
      <c r="I308" s="14"/>
      <c r="J308" s="14"/>
      <c r="K308" s="14"/>
      <c r="L308" s="45"/>
      <c r="N308" s="43"/>
      <c r="O308" s="14"/>
      <c r="P308" s="14"/>
      <c r="Q308" s="14"/>
      <c r="R308" s="14"/>
      <c r="S308" s="14"/>
      <c r="T308" s="29">
        <f>H308</f>
        <v>9.6256726652889317E-6</v>
      </c>
      <c r="U308" s="14"/>
      <c r="V308" s="14"/>
      <c r="W308" s="14"/>
      <c r="X308" s="45"/>
    </row>
    <row r="309" spans="1:24">
      <c r="A309" s="21" t="s">
        <v>86</v>
      </c>
      <c r="B309" s="43"/>
      <c r="C309" s="14"/>
      <c r="D309" s="14"/>
      <c r="E309" s="14"/>
      <c r="F309" s="14"/>
      <c r="G309" s="14"/>
      <c r="H309" s="14"/>
      <c r="I309" s="14"/>
      <c r="J309" s="14"/>
      <c r="K309" s="14"/>
      <c r="L309" s="45"/>
      <c r="N309" s="43"/>
      <c r="O309" s="14"/>
      <c r="P309" s="14"/>
      <c r="Q309" s="14"/>
      <c r="R309" s="14"/>
      <c r="S309" s="14"/>
      <c r="T309" s="14"/>
      <c r="U309" s="14"/>
      <c r="V309" s="14"/>
      <c r="W309" s="14"/>
      <c r="X309" s="45"/>
    </row>
    <row r="310" spans="1:24">
      <c r="A310" s="68"/>
      <c r="B310" s="43"/>
      <c r="C310" s="14"/>
      <c r="D310" s="14"/>
      <c r="E310" s="14"/>
      <c r="F310" s="14"/>
      <c r="G310" s="14"/>
      <c r="H310" s="14"/>
      <c r="I310" s="14"/>
      <c r="J310" s="14"/>
      <c r="K310" s="14"/>
      <c r="L310" s="45"/>
      <c r="N310" s="43"/>
      <c r="O310" s="14"/>
      <c r="P310" s="14"/>
      <c r="Q310" s="14"/>
      <c r="R310" s="14"/>
      <c r="S310" s="14"/>
      <c r="T310" s="14"/>
      <c r="U310" s="14"/>
      <c r="V310" s="14"/>
      <c r="W310" s="14"/>
      <c r="X310" s="45"/>
    </row>
    <row r="311" spans="1:24">
      <c r="A311" s="68"/>
      <c r="B311" s="43"/>
      <c r="C311" s="14">
        <f>D162</f>
        <v>422251.18532844825</v>
      </c>
      <c r="D311" s="14"/>
      <c r="E311" s="14"/>
      <c r="F311" s="14"/>
      <c r="G311" s="14"/>
      <c r="H311" s="14"/>
      <c r="I311" s="14"/>
      <c r="J311" s="14"/>
      <c r="K311" s="14"/>
      <c r="L311" s="45"/>
      <c r="N311" s="43"/>
      <c r="O311" s="14">
        <f>C311</f>
        <v>422251.18532844825</v>
      </c>
      <c r="P311" s="14"/>
      <c r="Q311" s="14"/>
      <c r="R311" s="14"/>
      <c r="S311" s="14"/>
      <c r="T311" s="14"/>
      <c r="U311" s="14"/>
      <c r="V311" s="14"/>
      <c r="W311" s="14"/>
      <c r="X311" s="45"/>
    </row>
    <row r="312" spans="1:24">
      <c r="A312" s="68"/>
      <c r="B312" s="43"/>
      <c r="C312" s="14"/>
      <c r="D312" s="14"/>
      <c r="E312" s="14"/>
      <c r="F312" s="14"/>
      <c r="G312" s="14"/>
      <c r="H312" s="14"/>
      <c r="I312" s="14"/>
      <c r="J312" s="14"/>
      <c r="K312" s="14"/>
      <c r="L312" s="45"/>
      <c r="N312" s="43"/>
      <c r="O312" s="14"/>
      <c r="P312" s="14"/>
      <c r="Q312" s="14"/>
      <c r="R312" s="14"/>
      <c r="S312" s="14"/>
      <c r="T312" s="14"/>
      <c r="U312" s="14"/>
      <c r="V312" s="14"/>
      <c r="W312" s="14"/>
      <c r="X312" s="45"/>
    </row>
    <row r="313" spans="1:24">
      <c r="A313" s="68"/>
      <c r="B313" s="43"/>
      <c r="C313" s="44" t="s">
        <v>105</v>
      </c>
      <c r="D313" s="14">
        <v>0.05</v>
      </c>
      <c r="E313" s="14"/>
      <c r="F313" s="14"/>
      <c r="G313" s="29" t="s">
        <v>108</v>
      </c>
      <c r="H313" s="14" t="str">
        <f>"]-∞;-"&amp;ROUND(D315,4)&amp;"[ U ]"&amp;ROUND(D315,4)&amp;";+∞["</f>
        <v>]-∞;-1,98[ U ]1,98;+∞[</v>
      </c>
      <c r="I313" s="14"/>
      <c r="J313" s="14"/>
      <c r="K313" s="14"/>
      <c r="L313" s="45"/>
      <c r="N313" s="43"/>
      <c r="O313" s="44" t="s">
        <v>105</v>
      </c>
      <c r="P313" s="14">
        <v>0.01</v>
      </c>
      <c r="Q313" s="14"/>
      <c r="R313" s="14"/>
      <c r="S313" s="29" t="s">
        <v>108</v>
      </c>
      <c r="T313" s="14" t="str">
        <f>"]-∞;-"&amp;ROUND(P315,4)&amp;"[ U ]"&amp;ROUND(P315,4)&amp;";+∞["</f>
        <v>]-∞;-2,62[ U ]2,62;+∞[</v>
      </c>
      <c r="U313" s="14"/>
      <c r="V313" s="14"/>
      <c r="W313" s="14"/>
      <c r="X313" s="45"/>
    </row>
    <row r="314" spans="1:24">
      <c r="A314" s="68"/>
      <c r="B314" s="43"/>
      <c r="C314" s="44"/>
      <c r="D314" s="14"/>
      <c r="E314" s="14"/>
      <c r="F314" s="14"/>
      <c r="G314" s="14"/>
      <c r="H314" s="14"/>
      <c r="I314" s="14"/>
      <c r="J314" s="14"/>
      <c r="K314" s="14"/>
      <c r="L314" s="45"/>
      <c r="N314" s="43"/>
      <c r="O314" s="44"/>
      <c r="P314" s="14"/>
      <c r="Q314" s="14"/>
      <c r="R314" s="14"/>
      <c r="S314" s="14"/>
      <c r="T314" s="14"/>
      <c r="U314" s="14"/>
      <c r="V314" s="14"/>
      <c r="W314" s="14"/>
      <c r="X314" s="45"/>
    </row>
    <row r="315" spans="1:24">
      <c r="A315" s="68"/>
      <c r="B315" s="43"/>
      <c r="C315" s="14"/>
      <c r="D315" s="14">
        <f>ROUND(_xlfn.T.INV(1-D313/2,120-(3+1)),2)</f>
        <v>1.98</v>
      </c>
      <c r="E315" s="14"/>
      <c r="F315" s="14"/>
      <c r="G315" s="14"/>
      <c r="H315" s="14"/>
      <c r="I315" s="14"/>
      <c r="J315" s="14"/>
      <c r="K315" s="14"/>
      <c r="L315" s="45"/>
      <c r="N315" s="43"/>
      <c r="O315" s="14"/>
      <c r="P315" s="14">
        <f>ROUND(_xlfn.T.INV(1-P313/2,120-(3+1)),2)</f>
        <v>2.62</v>
      </c>
      <c r="Q315" s="14"/>
      <c r="R315" s="14"/>
      <c r="S315" s="14"/>
      <c r="T315" s="14"/>
      <c r="U315" s="14"/>
      <c r="V315" s="14"/>
      <c r="W315" s="14"/>
      <c r="X315" s="45"/>
    </row>
    <row r="316" spans="1:24">
      <c r="A316" s="68"/>
      <c r="B316" s="43"/>
      <c r="C316" s="29"/>
      <c r="D316" s="14"/>
      <c r="E316" s="14"/>
      <c r="F316" s="14"/>
      <c r="G316" s="14"/>
      <c r="H316" s="14"/>
      <c r="I316" s="14"/>
      <c r="J316" s="14"/>
      <c r="K316" s="14"/>
      <c r="L316" s="45"/>
      <c r="N316" s="43"/>
      <c r="O316" s="29"/>
      <c r="P316" s="14"/>
      <c r="Q316" s="14"/>
      <c r="R316" s="14"/>
      <c r="S316" s="14"/>
      <c r="T316" s="14"/>
      <c r="U316" s="14"/>
      <c r="V316" s="14"/>
      <c r="W316" s="14"/>
      <c r="X316" s="45"/>
    </row>
    <row r="317" spans="1:24">
      <c r="A317" s="68"/>
      <c r="B317" s="43"/>
      <c r="C317" s="14"/>
      <c r="D317" s="14"/>
      <c r="E317" s="14"/>
      <c r="F317" s="14"/>
      <c r="G317" s="14"/>
      <c r="H317" s="14"/>
      <c r="I317" s="14"/>
      <c r="J317" s="14"/>
      <c r="K317" s="14"/>
      <c r="L317" s="45"/>
      <c r="N317" s="43"/>
      <c r="O317" s="14"/>
      <c r="P317" s="14"/>
      <c r="Q317" s="14"/>
      <c r="R317" s="14"/>
      <c r="S317" s="14"/>
      <c r="T317" s="14"/>
      <c r="U317" s="14"/>
      <c r="V317" s="14"/>
      <c r="W317" s="14"/>
      <c r="X317" s="45"/>
    </row>
    <row r="318" spans="1:24">
      <c r="A318" s="68"/>
      <c r="B318" s="43"/>
      <c r="C318" s="14"/>
      <c r="D318" s="14"/>
      <c r="E318" s="14"/>
      <c r="F318" s="14"/>
      <c r="G318" s="14"/>
      <c r="H318" s="14"/>
      <c r="I318" s="14"/>
      <c r="J318" s="14"/>
      <c r="K318" s="14"/>
      <c r="L318" s="45"/>
      <c r="N318" s="43"/>
      <c r="O318" s="14"/>
      <c r="P318" s="14"/>
      <c r="Q318" s="14"/>
      <c r="R318" s="14"/>
      <c r="S318" s="14"/>
      <c r="T318" s="14"/>
      <c r="U318" s="14"/>
      <c r="V318" s="14"/>
      <c r="W318" s="14"/>
      <c r="X318" s="45"/>
    </row>
    <row r="319" spans="1:24">
      <c r="A319" s="68"/>
      <c r="B319" s="43"/>
      <c r="C319" s="29" t="s">
        <v>106</v>
      </c>
      <c r="D319" s="14">
        <f>ROUND(H306/SQRT(C311*H308),4)</f>
        <v>-2.8418999999999999</v>
      </c>
      <c r="E319" s="14"/>
      <c r="F319" s="14"/>
      <c r="G319" s="14"/>
      <c r="H319" s="14"/>
      <c r="I319" s="14"/>
      <c r="J319" s="14"/>
      <c r="K319" s="14"/>
      <c r="L319" s="45"/>
      <c r="N319" s="43"/>
      <c r="O319" s="29" t="s">
        <v>106</v>
      </c>
      <c r="P319" s="14">
        <f>ROUND(T306/SQRT(O311*T308),4)</f>
        <v>-2.8418999999999999</v>
      </c>
      <c r="Q319" s="14"/>
      <c r="R319" s="14"/>
      <c r="S319" s="14"/>
      <c r="T319" s="14"/>
      <c r="U319" s="14"/>
      <c r="V319" s="14"/>
      <c r="W319" s="14"/>
      <c r="X319" s="45"/>
    </row>
    <row r="320" spans="1:24">
      <c r="A320" s="68"/>
      <c r="B320" s="43"/>
      <c r="C320" s="29" t="s">
        <v>107</v>
      </c>
      <c r="D320" s="14">
        <f>ABS(D319)</f>
        <v>2.8418999999999999</v>
      </c>
      <c r="E320" s="14"/>
      <c r="F320" s="14"/>
      <c r="G320" s="14"/>
      <c r="H320" s="14"/>
      <c r="I320" s="14"/>
      <c r="J320" s="14"/>
      <c r="K320" s="14"/>
      <c r="L320" s="45"/>
      <c r="N320" s="43"/>
      <c r="O320" s="29" t="s">
        <v>107</v>
      </c>
      <c r="P320" s="14">
        <f>ABS(P319)</f>
        <v>2.8418999999999999</v>
      </c>
      <c r="Q320" s="14"/>
      <c r="R320" s="14"/>
      <c r="S320" s="14"/>
      <c r="T320" s="14"/>
      <c r="U320" s="14"/>
      <c r="V320" s="14"/>
      <c r="W320" s="14"/>
      <c r="X320" s="45"/>
    </row>
    <row r="321" spans="1:24" ht="13.5" thickBot="1">
      <c r="A321" s="68"/>
      <c r="B321" s="47" t="str">
        <f>IF(ABS(D319)&gt;ROUND(D315,4), "Como |"&amp;ROUND(D319,2)&amp;"| &gt; "&amp;ROUND(D315,4)&amp;" então rejeita-se H0, logo a um nível de significância de "&amp;D313*100&amp;"% há evidencia estatística suficiente para se concluir que "&amp;G306&amp;" é não nulo","Como |"&amp;ROUND(D319,2)&amp;"|  ≤ "&amp;ROUND(D315,4)&amp;" então não se rejeita H0, logo a um nível de significância de "&amp;D313*100&amp;"% há evidencia estatística suficiente para se concluir que "&amp;G306&amp;" é nulo")</f>
        <v>Como |-2,84| &gt; 1,98 então rejeita-se H0, logo a um nível de significância de 5% há evidencia estatística suficiente para se concluir que β2= é não nulo</v>
      </c>
      <c r="C321" s="28"/>
      <c r="D321" s="28"/>
      <c r="E321" s="28"/>
      <c r="F321" s="28"/>
      <c r="G321" s="28"/>
      <c r="H321" s="28"/>
      <c r="I321" s="28"/>
      <c r="J321" s="28"/>
      <c r="K321" s="49"/>
      <c r="L321" s="49"/>
      <c r="N321" s="47" t="str">
        <f>IF(ABS(P319)&gt;ROUND(P315,4), "Como |"&amp;ROUND(P319,2)&amp;"| &gt; "&amp;ROUND(P315,4)&amp;" então rejeita-se H0, logo a um nível de significância de "&amp;P313*100&amp;"% há evidencia estatística suficiente para se concluir que "&amp;S306&amp;" é não nulo","Como |"&amp;ROUND(P319,2)&amp;"|  ≤ "&amp;ROUND(P315,4)&amp;" então não se rejeita H0, logo a um nível de significância de "&amp;P313*100&amp;"% há evidencia estatística suficiente para se concluir que "&amp;S306&amp;" é nulo")</f>
        <v>Como |-2,84| &gt; 2,62 então rejeita-se H0, logo a um nível de significância de 1% há evidencia estatística suficiente para se concluir que β2= é não nulo</v>
      </c>
      <c r="O321" s="28"/>
      <c r="P321" s="28"/>
      <c r="Q321" s="28"/>
      <c r="R321" s="28"/>
      <c r="S321" s="28"/>
      <c r="T321" s="28"/>
      <c r="U321" s="28"/>
      <c r="V321" s="28"/>
      <c r="W321" s="49"/>
      <c r="X321" s="49"/>
    </row>
    <row r="322" spans="1:24" ht="13.5" thickBot="1"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</row>
    <row r="323" spans="1:24">
      <c r="A323" s="68"/>
      <c r="B323" s="39"/>
      <c r="C323" s="41"/>
      <c r="D323" s="41"/>
      <c r="E323" s="41"/>
      <c r="F323" s="41"/>
      <c r="G323" s="41"/>
      <c r="H323" s="41"/>
      <c r="I323" s="41"/>
      <c r="J323" s="41"/>
      <c r="K323" s="41"/>
      <c r="L323" s="42"/>
      <c r="N323" s="39"/>
      <c r="O323" s="41"/>
      <c r="P323" s="41"/>
      <c r="Q323" s="41"/>
      <c r="R323" s="41"/>
      <c r="S323" s="41"/>
      <c r="T323" s="41"/>
      <c r="U323" s="41"/>
      <c r="V323" s="41"/>
      <c r="W323" s="41"/>
      <c r="X323" s="42"/>
    </row>
    <row r="324" spans="1:24">
      <c r="A324" s="21" t="s">
        <v>103</v>
      </c>
      <c r="B324" s="43"/>
      <c r="C324" s="14"/>
      <c r="D324" s="14"/>
      <c r="E324" s="14"/>
      <c r="F324" s="14"/>
      <c r="G324" s="29" t="str">
        <f>A327&amp;"="</f>
        <v>β3=</v>
      </c>
      <c r="H324" s="14">
        <f>AH140</f>
        <v>1.5808952787812842</v>
      </c>
      <c r="I324" s="14"/>
      <c r="J324" s="14"/>
      <c r="K324" s="14"/>
      <c r="L324" s="45"/>
      <c r="N324" s="43"/>
      <c r="O324" s="14"/>
      <c r="P324" s="14"/>
      <c r="Q324" s="14"/>
      <c r="R324" s="14"/>
      <c r="S324" s="29" t="str">
        <f>G324</f>
        <v>β3=</v>
      </c>
      <c r="T324" s="29">
        <f>H324</f>
        <v>1.5808952787812842</v>
      </c>
      <c r="U324" s="14"/>
      <c r="V324" s="14"/>
      <c r="W324" s="14"/>
      <c r="X324" s="45"/>
    </row>
    <row r="325" spans="1:24">
      <c r="A325" s="21" t="s">
        <v>83</v>
      </c>
      <c r="B325" s="43"/>
      <c r="C325" s="14"/>
      <c r="D325" s="14"/>
      <c r="E325" s="14"/>
      <c r="F325" s="14"/>
      <c r="G325" s="14"/>
      <c r="H325" s="14"/>
      <c r="I325" s="14"/>
      <c r="J325" s="14"/>
      <c r="K325" s="14"/>
      <c r="L325" s="45"/>
      <c r="N325" s="43"/>
      <c r="O325" s="14"/>
      <c r="P325" s="14"/>
      <c r="Q325" s="14"/>
      <c r="R325" s="14"/>
      <c r="S325" s="14"/>
      <c r="T325" s="14"/>
      <c r="U325" s="14"/>
      <c r="V325" s="14"/>
      <c r="W325" s="14"/>
      <c r="X325" s="45"/>
    </row>
    <row r="326" spans="1:24">
      <c r="A326" s="21" t="s">
        <v>104</v>
      </c>
      <c r="B326" s="43"/>
      <c r="C326" s="14"/>
      <c r="D326" s="14"/>
      <c r="E326" s="14"/>
      <c r="F326" s="14"/>
      <c r="G326" s="14"/>
      <c r="H326" s="14">
        <f>S141</f>
        <v>1.3137297451015543E-7</v>
      </c>
      <c r="I326" s="14"/>
      <c r="J326" s="14"/>
      <c r="K326" s="14"/>
      <c r="L326" s="45"/>
      <c r="N326" s="43"/>
      <c r="O326" s="14"/>
      <c r="P326" s="14"/>
      <c r="Q326" s="14"/>
      <c r="R326" s="14"/>
      <c r="S326" s="14"/>
      <c r="T326" s="29">
        <f>H326</f>
        <v>1.3137297451015543E-7</v>
      </c>
      <c r="U326" s="14"/>
      <c r="V326" s="14"/>
      <c r="W326" s="14"/>
      <c r="X326" s="45"/>
    </row>
    <row r="327" spans="1:24">
      <c r="A327" s="21" t="s">
        <v>87</v>
      </c>
      <c r="B327" s="43"/>
      <c r="C327" s="14"/>
      <c r="D327" s="14"/>
      <c r="E327" s="14"/>
      <c r="F327" s="14"/>
      <c r="G327" s="14"/>
      <c r="H327" s="14"/>
      <c r="I327" s="14"/>
      <c r="J327" s="14"/>
      <c r="K327" s="14"/>
      <c r="L327" s="45"/>
      <c r="N327" s="43"/>
      <c r="O327" s="14"/>
      <c r="P327" s="14"/>
      <c r="Q327" s="14"/>
      <c r="R327" s="14"/>
      <c r="S327" s="14"/>
      <c r="T327" s="14"/>
      <c r="U327" s="14"/>
      <c r="V327" s="14"/>
      <c r="W327" s="14"/>
      <c r="X327" s="45"/>
    </row>
    <row r="328" spans="1:24">
      <c r="A328" s="68"/>
      <c r="B328" s="43"/>
      <c r="C328" s="14"/>
      <c r="D328" s="14"/>
      <c r="E328" s="14"/>
      <c r="F328" s="14"/>
      <c r="G328" s="14"/>
      <c r="H328" s="14"/>
      <c r="I328" s="14"/>
      <c r="J328" s="14"/>
      <c r="K328" s="14"/>
      <c r="L328" s="45"/>
      <c r="N328" s="43"/>
      <c r="O328" s="14"/>
      <c r="P328" s="14"/>
      <c r="Q328" s="14"/>
      <c r="R328" s="14"/>
      <c r="S328" s="14"/>
      <c r="T328" s="14"/>
      <c r="U328" s="14"/>
      <c r="V328" s="14"/>
      <c r="W328" s="14"/>
      <c r="X328" s="45"/>
    </row>
    <row r="329" spans="1:24">
      <c r="A329" s="68"/>
      <c r="B329" s="43"/>
      <c r="C329" s="14">
        <f>D162</f>
        <v>422251.18532844825</v>
      </c>
      <c r="D329" s="14"/>
      <c r="E329" s="14"/>
      <c r="F329" s="14"/>
      <c r="G329" s="14"/>
      <c r="H329" s="14"/>
      <c r="I329" s="14"/>
      <c r="J329" s="14"/>
      <c r="K329" s="14"/>
      <c r="L329" s="45"/>
      <c r="N329" s="43"/>
      <c r="O329" s="14">
        <f>C329</f>
        <v>422251.18532844825</v>
      </c>
      <c r="P329" s="14"/>
      <c r="Q329" s="14"/>
      <c r="R329" s="14"/>
      <c r="S329" s="14"/>
      <c r="T329" s="14"/>
      <c r="U329" s="14"/>
      <c r="V329" s="14"/>
      <c r="W329" s="14"/>
      <c r="X329" s="45"/>
    </row>
    <row r="330" spans="1:24">
      <c r="A330" s="68"/>
      <c r="B330" s="43"/>
      <c r="C330" s="14"/>
      <c r="D330" s="14"/>
      <c r="E330" s="14"/>
      <c r="F330" s="14"/>
      <c r="G330" s="14"/>
      <c r="H330" s="14"/>
      <c r="I330" s="14"/>
      <c r="J330" s="14"/>
      <c r="K330" s="14"/>
      <c r="L330" s="45"/>
      <c r="N330" s="43"/>
      <c r="O330" s="14"/>
      <c r="P330" s="14"/>
      <c r="Q330" s="14"/>
      <c r="R330" s="14"/>
      <c r="S330" s="14"/>
      <c r="T330" s="14"/>
      <c r="U330" s="14"/>
      <c r="V330" s="14"/>
      <c r="W330" s="14"/>
      <c r="X330" s="45"/>
    </row>
    <row r="331" spans="1:24">
      <c r="A331" s="68"/>
      <c r="B331" s="43"/>
      <c r="C331" s="44" t="s">
        <v>105</v>
      </c>
      <c r="D331" s="14">
        <v>0.05</v>
      </c>
      <c r="E331" s="14"/>
      <c r="F331" s="14"/>
      <c r="G331" s="29" t="s">
        <v>108</v>
      </c>
      <c r="H331" s="14" t="str">
        <f>"]-∞;-"&amp;ROUND(D333,4)&amp;"[ U ]"&amp;ROUND(D333,4)&amp;";+∞["</f>
        <v>]-∞;-1,98[ U ]1,98;+∞[</v>
      </c>
      <c r="I331" s="14"/>
      <c r="J331" s="14"/>
      <c r="K331" s="14"/>
      <c r="L331" s="45"/>
      <c r="N331" s="43"/>
      <c r="O331" s="44" t="s">
        <v>105</v>
      </c>
      <c r="P331" s="14">
        <v>0.01</v>
      </c>
      <c r="Q331" s="14"/>
      <c r="R331" s="14"/>
      <c r="S331" s="29" t="s">
        <v>108</v>
      </c>
      <c r="T331" s="14" t="str">
        <f>"]-∞;-"&amp;ROUND(P333,4)&amp;"[ U ]"&amp;ROUND(P333,4)&amp;";+∞["</f>
        <v>]-∞;-2,62[ U ]2,62;+∞[</v>
      </c>
      <c r="U331" s="14"/>
      <c r="V331" s="14"/>
      <c r="W331" s="14"/>
      <c r="X331" s="45"/>
    </row>
    <row r="332" spans="1:24">
      <c r="A332" s="68"/>
      <c r="B332" s="43"/>
      <c r="C332" s="44"/>
      <c r="D332" s="14"/>
      <c r="E332" s="14"/>
      <c r="F332" s="14"/>
      <c r="G332" s="14"/>
      <c r="H332" s="14"/>
      <c r="I332" s="14"/>
      <c r="J332" s="14"/>
      <c r="K332" s="14"/>
      <c r="L332" s="45"/>
      <c r="N332" s="43"/>
      <c r="O332" s="44"/>
      <c r="P332" s="14"/>
      <c r="Q332" s="14"/>
      <c r="R332" s="14"/>
      <c r="S332" s="14"/>
      <c r="T332" s="14"/>
      <c r="U332" s="14"/>
      <c r="V332" s="14"/>
      <c r="W332" s="14"/>
      <c r="X332" s="45"/>
    </row>
    <row r="333" spans="1:24">
      <c r="A333" s="68"/>
      <c r="B333" s="43"/>
      <c r="C333" s="14"/>
      <c r="D333" s="14">
        <f>ROUND(_xlfn.T.INV(1-D331/2,120-(3+1)),2)</f>
        <v>1.98</v>
      </c>
      <c r="E333" s="14"/>
      <c r="F333" s="14"/>
      <c r="G333" s="14"/>
      <c r="H333" s="14"/>
      <c r="I333" s="14"/>
      <c r="J333" s="14"/>
      <c r="K333" s="14"/>
      <c r="L333" s="45"/>
      <c r="N333" s="43"/>
      <c r="O333" s="14"/>
      <c r="P333" s="14">
        <f>ROUND(_xlfn.T.INV(1-P331/2,120-(3+1)),2)</f>
        <v>2.62</v>
      </c>
      <c r="Q333" s="14"/>
      <c r="R333" s="14"/>
      <c r="S333" s="14"/>
      <c r="T333" s="14"/>
      <c r="U333" s="14"/>
      <c r="V333" s="14"/>
      <c r="W333" s="14"/>
      <c r="X333" s="45"/>
    </row>
    <row r="334" spans="1:24">
      <c r="A334" s="68"/>
      <c r="B334" s="43"/>
      <c r="C334" s="29"/>
      <c r="D334" s="14"/>
      <c r="E334" s="14"/>
      <c r="F334" s="14"/>
      <c r="G334" s="14"/>
      <c r="H334" s="14"/>
      <c r="I334" s="14"/>
      <c r="J334" s="14"/>
      <c r="K334" s="14"/>
      <c r="L334" s="45"/>
      <c r="N334" s="43"/>
      <c r="O334" s="29"/>
      <c r="P334" s="14"/>
      <c r="Q334" s="14"/>
      <c r="R334" s="14"/>
      <c r="S334" s="14"/>
      <c r="T334" s="14"/>
      <c r="U334" s="14"/>
      <c r="V334" s="14"/>
      <c r="W334" s="14"/>
      <c r="X334" s="45"/>
    </row>
    <row r="335" spans="1:24">
      <c r="A335" s="68"/>
      <c r="B335" s="43"/>
      <c r="C335" s="14"/>
      <c r="D335" s="14"/>
      <c r="E335" s="14"/>
      <c r="F335" s="14"/>
      <c r="G335" s="14"/>
      <c r="H335" s="14"/>
      <c r="I335" s="14"/>
      <c r="J335" s="14"/>
      <c r="K335" s="14"/>
      <c r="L335" s="45"/>
      <c r="N335" s="43"/>
      <c r="O335" s="14"/>
      <c r="P335" s="14"/>
      <c r="Q335" s="14"/>
      <c r="R335" s="14"/>
      <c r="S335" s="14"/>
      <c r="T335" s="14"/>
      <c r="U335" s="14"/>
      <c r="V335" s="14"/>
      <c r="W335" s="14"/>
      <c r="X335" s="45"/>
    </row>
    <row r="336" spans="1:24">
      <c r="A336" s="68"/>
      <c r="B336" s="43"/>
      <c r="C336" s="14"/>
      <c r="D336" s="14"/>
      <c r="E336" s="14"/>
      <c r="F336" s="14"/>
      <c r="G336" s="14"/>
      <c r="H336" s="14"/>
      <c r="I336" s="14"/>
      <c r="J336" s="14"/>
      <c r="K336" s="14"/>
      <c r="L336" s="45"/>
      <c r="N336" s="43"/>
      <c r="O336" s="14"/>
      <c r="P336" s="14"/>
      <c r="Q336" s="14"/>
      <c r="R336" s="14"/>
      <c r="S336" s="14"/>
      <c r="T336" s="14"/>
      <c r="U336" s="14"/>
      <c r="V336" s="14"/>
      <c r="W336" s="14"/>
      <c r="X336" s="45"/>
    </row>
    <row r="337" spans="1:24">
      <c r="A337" s="68"/>
      <c r="B337" s="43"/>
      <c r="C337" s="29" t="s">
        <v>106</v>
      </c>
      <c r="D337" s="14">
        <f>ROUND(H324/SQRT(C329*H326),4)</f>
        <v>6.7122000000000002</v>
      </c>
      <c r="E337" s="14"/>
      <c r="F337" s="14"/>
      <c r="G337" s="14"/>
      <c r="H337" s="14"/>
      <c r="I337" s="14"/>
      <c r="J337" s="14"/>
      <c r="K337" s="14"/>
      <c r="L337" s="45"/>
      <c r="N337" s="43"/>
      <c r="O337" s="29" t="s">
        <v>106</v>
      </c>
      <c r="P337" s="14">
        <f>ROUND(T324/SQRT(O329*T326),4)</f>
        <v>6.7122000000000002</v>
      </c>
      <c r="Q337" s="14"/>
      <c r="R337" s="14"/>
      <c r="S337" s="14"/>
      <c r="T337" s="14"/>
      <c r="U337" s="14"/>
      <c r="V337" s="14"/>
      <c r="W337" s="14"/>
      <c r="X337" s="45"/>
    </row>
    <row r="338" spans="1:24">
      <c r="A338" s="68"/>
      <c r="B338" s="43"/>
      <c r="C338" s="29" t="s">
        <v>107</v>
      </c>
      <c r="D338" s="14">
        <f>ABS(D337)</f>
        <v>6.7122000000000002</v>
      </c>
      <c r="E338" s="14"/>
      <c r="F338" s="14"/>
      <c r="G338" s="14"/>
      <c r="H338" s="14"/>
      <c r="I338" s="14"/>
      <c r="J338" s="14"/>
      <c r="K338" s="14"/>
      <c r="L338" s="45"/>
      <c r="N338" s="43"/>
      <c r="O338" s="29" t="s">
        <v>107</v>
      </c>
      <c r="P338" s="14">
        <f>ABS(P337)</f>
        <v>6.7122000000000002</v>
      </c>
      <c r="Q338" s="14"/>
      <c r="R338" s="14"/>
      <c r="S338" s="14"/>
      <c r="T338" s="14"/>
      <c r="U338" s="14"/>
      <c r="V338" s="14"/>
      <c r="W338" s="14"/>
      <c r="X338" s="45"/>
    </row>
    <row r="339" spans="1:24" ht="13.5" thickBot="1">
      <c r="A339" s="68"/>
      <c r="B339" s="47" t="str">
        <f>IF(ABS(D337)&gt;ROUND(D333,4), "Como |"&amp;ROUND(D337,2)&amp;"| &gt; "&amp;ROUND(D333,4)&amp;" então rejeita-se H0, logo a um nível de significância de "&amp;D331*100&amp;"% há evidencia estatística suficiente para se concluir que "&amp;G324&amp;" é não nulo","Como |"&amp;ROUND(D337,2)&amp;"|  ≤ "&amp;ROUND(D333,4)&amp;" então não se rejeita H0, logo a um nível de significância de "&amp;D331*100&amp;"% há evidencia estatística suficiente para se concluir que "&amp;G324&amp;" é nulo")</f>
        <v>Como |6,71| &gt; 1,98 então rejeita-se H0, logo a um nível de significância de 5% há evidencia estatística suficiente para se concluir que β3= é não nulo</v>
      </c>
      <c r="C339" s="28"/>
      <c r="D339" s="28"/>
      <c r="E339" s="28"/>
      <c r="F339" s="28"/>
      <c r="G339" s="28"/>
      <c r="H339" s="28"/>
      <c r="I339" s="28"/>
      <c r="J339" s="28"/>
      <c r="K339" s="49"/>
      <c r="L339" s="49"/>
      <c r="N339" s="47" t="str">
        <f>IF(ABS(P337)&gt;ROUND(P333,4), "Como |"&amp;ROUND(P337,2)&amp;"| &gt; "&amp;ROUND(P333,4)&amp;" então rejeita-se H0, logo a um nível de significância de "&amp;P331*100&amp;"% há evidencia estatística suficiente para se concluir que "&amp;S324&amp;" é não nulo","Como |"&amp;ROUND(P337,2)&amp;"|  ≤ "&amp;ROUND(P333,4)&amp;" então não se rejeita H0, logo a um nível de significância de "&amp;P331*100&amp;"% há evidencia estatística suficiente para se concluir que "&amp;S324&amp;" é nulo")</f>
        <v>Como |6,71| &gt; 2,62 então rejeita-se H0, logo a um nível de significância de 1% há evidencia estatística suficiente para se concluir que β3= é não nulo</v>
      </c>
      <c r="O339" s="28"/>
      <c r="P339" s="28"/>
      <c r="Q339" s="28"/>
      <c r="R339" s="28"/>
      <c r="S339" s="28"/>
      <c r="T339" s="28"/>
      <c r="U339" s="28"/>
      <c r="V339" s="28"/>
      <c r="W339" s="49"/>
      <c r="X339" s="49"/>
    </row>
  </sheetData>
  <mergeCells count="1">
    <mergeCell ref="B147:O14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65FB3-BD25-49DE-BF5C-98324316D01F}">
  <dimension ref="A2:EJ339"/>
  <sheetViews>
    <sheetView topLeftCell="A197" zoomScale="68" zoomScaleNormal="68" workbookViewId="0">
      <selection activeCell="L208" sqref="L208"/>
    </sheetView>
  </sheetViews>
  <sheetFormatPr defaultRowHeight="12.75"/>
  <cols>
    <col min="1" max="1" width="9.140625" style="68"/>
    <col min="2" max="2" width="11.85546875" style="68" customWidth="1"/>
    <col min="3" max="3" width="13.85546875" style="68" customWidth="1"/>
    <col min="4" max="4" width="13.7109375" style="68" customWidth="1"/>
    <col min="5" max="5" width="12.42578125" style="68" customWidth="1"/>
    <col min="6" max="6" width="11.5703125" style="68" bestFit="1" customWidth="1"/>
    <col min="7" max="9" width="12.5703125" style="68" bestFit="1" customWidth="1"/>
    <col min="10" max="10" width="11.5703125" style="68" bestFit="1" customWidth="1"/>
    <col min="11" max="13" width="9.140625" style="68"/>
    <col min="14" max="14" width="12.42578125" style="68" bestFit="1" customWidth="1"/>
    <col min="15" max="15" width="12.28515625" style="68" bestFit="1" customWidth="1"/>
    <col min="16" max="16" width="13.140625" style="68" bestFit="1" customWidth="1"/>
    <col min="17" max="17" width="12.42578125" style="68" bestFit="1" customWidth="1"/>
    <col min="18" max="24" width="9.140625" style="68"/>
    <col min="25" max="25" width="10.5703125" style="68" bestFit="1" customWidth="1"/>
    <col min="26" max="33" width="9.140625" style="68"/>
    <col min="34" max="34" width="13.140625" style="68" bestFit="1" customWidth="1"/>
    <col min="35" max="16384" width="9.140625" style="68"/>
  </cols>
  <sheetData>
    <row r="2" spans="2:16">
      <c r="B2" s="2" t="s">
        <v>10</v>
      </c>
      <c r="C2" s="2" t="s">
        <v>33</v>
      </c>
      <c r="D2" s="2" t="s">
        <v>34</v>
      </c>
      <c r="E2" s="2" t="s">
        <v>35</v>
      </c>
      <c r="F2" s="4"/>
    </row>
    <row r="3" spans="2:16">
      <c r="B3" s="4" t="s">
        <v>2</v>
      </c>
      <c r="C3" s="4" t="s">
        <v>3</v>
      </c>
      <c r="D3" s="4" t="s">
        <v>4</v>
      </c>
      <c r="E3" s="4" t="s">
        <v>5</v>
      </c>
      <c r="F3" s="4"/>
    </row>
    <row r="4" spans="2:16">
      <c r="B4" s="4">
        <v>275</v>
      </c>
      <c r="C4" s="4">
        <v>0.82</v>
      </c>
      <c r="D4" s="4">
        <v>865</v>
      </c>
      <c r="E4" s="4">
        <v>6869</v>
      </c>
      <c r="F4" s="4">
        <f>ROUND($AH$137,4)+ROUND($AH$138,4)*C4+ROUND($AH$139,4)*D4+ROUND($AH$140,4)*E4</f>
        <v>251.64829400000002</v>
      </c>
    </row>
    <row r="5" spans="2:16">
      <c r="B5" s="4">
        <v>260</v>
      </c>
      <c r="C5" s="4">
        <v>0.76</v>
      </c>
      <c r="D5" s="4">
        <v>852</v>
      </c>
      <c r="E5" s="4">
        <v>6775</v>
      </c>
      <c r="F5" s="4">
        <f t="shared" ref="F5:F68" si="0">ROUND($AH$137,4)+ROUND($AH$138,4)*C5+ROUND($AH$139,4)*D5+ROUND($AH$140,4)*E5</f>
        <v>248.17379200000005</v>
      </c>
    </row>
    <row r="6" spans="2:16">
      <c r="B6" s="4">
        <v>240</v>
      </c>
      <c r="C6" s="4">
        <v>0.71</v>
      </c>
      <c r="D6" s="4">
        <v>877</v>
      </c>
      <c r="E6" s="4">
        <v>6684</v>
      </c>
      <c r="F6" s="4">
        <f t="shared" si="0"/>
        <v>237.44610699999998</v>
      </c>
    </row>
    <row r="7" spans="2:16">
      <c r="B7" s="4">
        <v>225</v>
      </c>
      <c r="C7" s="4">
        <v>0.67</v>
      </c>
      <c r="D7" s="4">
        <v>863</v>
      </c>
      <c r="E7" s="4">
        <v>6496</v>
      </c>
      <c r="F7" s="4">
        <f t="shared" si="0"/>
        <v>228.45883900000004</v>
      </c>
    </row>
    <row r="8" spans="2:16">
      <c r="B8" s="4">
        <v>258</v>
      </c>
      <c r="C8" s="4">
        <v>0.64</v>
      </c>
      <c r="D8" s="4">
        <v>904</v>
      </c>
      <c r="E8" s="4">
        <v>6412</v>
      </c>
      <c r="F8" s="4">
        <f t="shared" si="0"/>
        <v>215.09438800000001</v>
      </c>
    </row>
    <row r="9" spans="2:16">
      <c r="B9" s="4">
        <v>214</v>
      </c>
      <c r="C9" s="4">
        <v>0.62</v>
      </c>
      <c r="D9" s="4">
        <v>891</v>
      </c>
      <c r="E9" s="4">
        <v>6158</v>
      </c>
      <c r="F9" s="4">
        <f t="shared" si="0"/>
        <v>201.92555400000001</v>
      </c>
    </row>
    <row r="10" spans="2:16">
      <c r="B10" s="4">
        <v>204</v>
      </c>
      <c r="C10" s="4">
        <v>0.59</v>
      </c>
      <c r="D10" s="4">
        <v>865</v>
      </c>
      <c r="E10" s="4">
        <v>6248</v>
      </c>
      <c r="F10" s="4">
        <f t="shared" si="0"/>
        <v>212.465103</v>
      </c>
    </row>
    <row r="11" spans="2:16">
      <c r="B11" s="4">
        <v>196</v>
      </c>
      <c r="C11" s="4">
        <v>0.56000000000000005</v>
      </c>
      <c r="D11" s="4">
        <v>877</v>
      </c>
      <c r="E11" s="4">
        <v>6344</v>
      </c>
      <c r="F11" s="4">
        <f t="shared" si="0"/>
        <v>215.89585200000002</v>
      </c>
      <c r="M11" s="68">
        <v>1</v>
      </c>
      <c r="N11" s="68">
        <f>C4</f>
        <v>0.82</v>
      </c>
      <c r="O11" s="68">
        <f t="shared" ref="O11:P11" si="1">D4</f>
        <v>865</v>
      </c>
      <c r="P11" s="68">
        <f t="shared" si="1"/>
        <v>6869</v>
      </c>
    </row>
    <row r="12" spans="2:16">
      <c r="B12" s="4">
        <v>203</v>
      </c>
      <c r="C12" s="4">
        <v>0.53</v>
      </c>
      <c r="D12" s="4">
        <v>862</v>
      </c>
      <c r="E12" s="4">
        <v>6070</v>
      </c>
      <c r="F12" s="4">
        <f t="shared" si="0"/>
        <v>201.84820100000002</v>
      </c>
      <c r="M12" s="68">
        <v>1</v>
      </c>
      <c r="N12" s="68">
        <f t="shared" ref="N12:P27" si="2">C5</f>
        <v>0.76</v>
      </c>
      <c r="O12" s="68">
        <f t="shared" si="2"/>
        <v>852</v>
      </c>
      <c r="P12" s="68">
        <f t="shared" si="2"/>
        <v>6775</v>
      </c>
    </row>
    <row r="13" spans="2:16">
      <c r="B13" s="4">
        <v>161</v>
      </c>
      <c r="C13" s="4">
        <v>0.51</v>
      </c>
      <c r="D13" s="4">
        <v>853</v>
      </c>
      <c r="E13" s="4">
        <v>5829</v>
      </c>
      <c r="F13" s="4">
        <f t="shared" si="0"/>
        <v>188.69296700000001</v>
      </c>
      <c r="M13" s="68">
        <v>1</v>
      </c>
      <c r="N13" s="68">
        <f t="shared" si="2"/>
        <v>0.71</v>
      </c>
      <c r="O13" s="68">
        <f t="shared" si="2"/>
        <v>877</v>
      </c>
      <c r="P13" s="68">
        <f t="shared" si="2"/>
        <v>6684</v>
      </c>
    </row>
    <row r="14" spans="2:16">
      <c r="B14" s="4">
        <v>167</v>
      </c>
      <c r="C14" s="4">
        <v>0.49</v>
      </c>
      <c r="D14" s="4">
        <v>836</v>
      </c>
      <c r="E14" s="4">
        <v>5570</v>
      </c>
      <c r="F14" s="4">
        <f t="shared" si="0"/>
        <v>176.00333300000003</v>
      </c>
      <c r="M14" s="68">
        <v>1</v>
      </c>
      <c r="N14" s="68">
        <f t="shared" si="2"/>
        <v>0.67</v>
      </c>
      <c r="O14" s="68">
        <f t="shared" si="2"/>
        <v>863</v>
      </c>
      <c r="P14" s="68">
        <f t="shared" si="2"/>
        <v>6496</v>
      </c>
    </row>
    <row r="15" spans="2:16">
      <c r="B15" s="4">
        <v>149</v>
      </c>
      <c r="C15" s="4">
        <v>0.48</v>
      </c>
      <c r="D15" s="4">
        <v>846</v>
      </c>
      <c r="E15" s="4">
        <v>5230</v>
      </c>
      <c r="F15" s="4">
        <f t="shared" si="0"/>
        <v>153.05091600000003</v>
      </c>
      <c r="M15" s="68">
        <v>1</v>
      </c>
      <c r="N15" s="68">
        <f t="shared" si="2"/>
        <v>0.64</v>
      </c>
      <c r="O15" s="68">
        <f t="shared" si="2"/>
        <v>904</v>
      </c>
      <c r="P15" s="68">
        <f t="shared" si="2"/>
        <v>6412</v>
      </c>
    </row>
    <row r="16" spans="2:16">
      <c r="B16" s="4">
        <v>149</v>
      </c>
      <c r="C16" s="4">
        <v>0.48</v>
      </c>
      <c r="D16" s="4">
        <v>803</v>
      </c>
      <c r="E16" s="4">
        <v>4850</v>
      </c>
      <c r="F16" s="4">
        <f t="shared" si="0"/>
        <v>138.10531599999999</v>
      </c>
      <c r="M16" s="68">
        <v>1</v>
      </c>
      <c r="N16" s="68">
        <f t="shared" si="2"/>
        <v>0.62</v>
      </c>
      <c r="O16" s="68">
        <f t="shared" si="2"/>
        <v>891</v>
      </c>
      <c r="P16" s="68">
        <f t="shared" si="2"/>
        <v>6158</v>
      </c>
    </row>
    <row r="17" spans="2:16">
      <c r="B17" s="4">
        <v>138</v>
      </c>
      <c r="C17" s="4">
        <v>0.48</v>
      </c>
      <c r="D17" s="4">
        <v>795</v>
      </c>
      <c r="E17" s="4">
        <v>4826</v>
      </c>
      <c r="F17" s="4">
        <f t="shared" si="0"/>
        <v>138.20131600000005</v>
      </c>
      <c r="M17" s="68">
        <v>1</v>
      </c>
      <c r="N17" s="68">
        <f t="shared" si="2"/>
        <v>0.59</v>
      </c>
      <c r="O17" s="68">
        <f t="shared" si="2"/>
        <v>865</v>
      </c>
      <c r="P17" s="68">
        <f t="shared" si="2"/>
        <v>6248</v>
      </c>
    </row>
    <row r="18" spans="2:16">
      <c r="B18" s="4">
        <v>90</v>
      </c>
      <c r="C18" s="4">
        <v>0.48</v>
      </c>
      <c r="D18" s="4">
        <v>784</v>
      </c>
      <c r="E18" s="4">
        <v>4832</v>
      </c>
      <c r="F18" s="4">
        <f t="shared" si="0"/>
        <v>140.73571600000002</v>
      </c>
      <c r="M18" s="68">
        <v>1</v>
      </c>
      <c r="N18" s="68">
        <f t="shared" si="2"/>
        <v>0.56000000000000005</v>
      </c>
      <c r="O18" s="68">
        <f t="shared" si="2"/>
        <v>877</v>
      </c>
      <c r="P18" s="68">
        <f t="shared" si="2"/>
        <v>6344</v>
      </c>
    </row>
    <row r="19" spans="2:16">
      <c r="B19" s="4">
        <v>111</v>
      </c>
      <c r="C19" s="4">
        <v>0.47</v>
      </c>
      <c r="D19" s="4">
        <v>752</v>
      </c>
      <c r="E19" s="4">
        <v>4482</v>
      </c>
      <c r="F19" s="4">
        <f t="shared" si="0"/>
        <v>125.43289899999999</v>
      </c>
      <c r="M19" s="68">
        <v>1</v>
      </c>
      <c r="N19" s="68">
        <f t="shared" si="2"/>
        <v>0.53</v>
      </c>
      <c r="O19" s="68">
        <f t="shared" si="2"/>
        <v>862</v>
      </c>
      <c r="P19" s="68">
        <f t="shared" si="2"/>
        <v>6070</v>
      </c>
    </row>
    <row r="20" spans="2:16">
      <c r="B20" s="4">
        <v>127</v>
      </c>
      <c r="C20" s="4">
        <v>0.47</v>
      </c>
      <c r="D20" s="4">
        <v>719</v>
      </c>
      <c r="E20" s="4">
        <v>4137</v>
      </c>
      <c r="F20" s="4">
        <f t="shared" si="0"/>
        <v>110.675299</v>
      </c>
      <c r="M20" s="68">
        <v>1</v>
      </c>
      <c r="N20" s="68">
        <f t="shared" si="2"/>
        <v>0.51</v>
      </c>
      <c r="O20" s="68">
        <f t="shared" si="2"/>
        <v>853</v>
      </c>
      <c r="P20" s="68">
        <f t="shared" si="2"/>
        <v>5829</v>
      </c>
    </row>
    <row r="21" spans="2:16">
      <c r="B21" s="4">
        <v>105</v>
      </c>
      <c r="C21" s="4">
        <v>0.47</v>
      </c>
      <c r="D21" s="4">
        <v>688</v>
      </c>
      <c r="E21" s="4">
        <v>3819</v>
      </c>
      <c r="F21" s="4">
        <f t="shared" si="0"/>
        <v>97.187298999999996</v>
      </c>
      <c r="M21" s="68">
        <v>1</v>
      </c>
      <c r="N21" s="68">
        <f t="shared" si="2"/>
        <v>0.49</v>
      </c>
      <c r="O21" s="68">
        <f t="shared" si="2"/>
        <v>836</v>
      </c>
      <c r="P21" s="68">
        <f t="shared" si="2"/>
        <v>5570</v>
      </c>
    </row>
    <row r="22" spans="2:16">
      <c r="B22" s="4">
        <v>67</v>
      </c>
      <c r="C22" s="4">
        <v>0.48</v>
      </c>
      <c r="D22" s="4">
        <v>669</v>
      </c>
      <c r="E22" s="4">
        <v>3584</v>
      </c>
      <c r="F22" s="4">
        <f t="shared" si="0"/>
        <v>86.490916000000027</v>
      </c>
      <c r="M22" s="68">
        <v>1</v>
      </c>
      <c r="N22" s="68">
        <f t="shared" si="2"/>
        <v>0.48</v>
      </c>
      <c r="O22" s="68">
        <f t="shared" si="2"/>
        <v>846</v>
      </c>
      <c r="P22" s="68">
        <f t="shared" si="2"/>
        <v>5230</v>
      </c>
    </row>
    <row r="23" spans="2:16">
      <c r="B23" s="4">
        <v>76</v>
      </c>
      <c r="C23" s="4">
        <v>0.48</v>
      </c>
      <c r="D23" s="4">
        <v>656</v>
      </c>
      <c r="E23" s="4">
        <v>3284</v>
      </c>
      <c r="F23" s="4">
        <f t="shared" si="0"/>
        <v>70.569316000000015</v>
      </c>
      <c r="M23" s="68">
        <v>1</v>
      </c>
      <c r="N23" s="68">
        <f t="shared" si="2"/>
        <v>0.48</v>
      </c>
      <c r="O23" s="68">
        <f t="shared" si="2"/>
        <v>803</v>
      </c>
      <c r="P23" s="68">
        <f t="shared" si="2"/>
        <v>4850</v>
      </c>
    </row>
    <row r="24" spans="2:16">
      <c r="B24" s="4">
        <v>65</v>
      </c>
      <c r="C24" s="4">
        <v>0.49</v>
      </c>
      <c r="D24" s="4">
        <v>638</v>
      </c>
      <c r="E24" s="4">
        <v>3316</v>
      </c>
      <c r="F24" s="4">
        <f t="shared" si="0"/>
        <v>76.123333000000002</v>
      </c>
      <c r="M24" s="68">
        <v>1</v>
      </c>
      <c r="N24" s="68">
        <f t="shared" si="2"/>
        <v>0.48</v>
      </c>
      <c r="O24" s="68">
        <f t="shared" si="2"/>
        <v>795</v>
      </c>
      <c r="P24" s="68">
        <f t="shared" si="2"/>
        <v>4826</v>
      </c>
    </row>
    <row r="25" spans="2:16">
      <c r="B25" s="4">
        <v>61</v>
      </c>
      <c r="C25" s="4">
        <v>0.49</v>
      </c>
      <c r="D25" s="4">
        <v>627</v>
      </c>
      <c r="E25" s="4">
        <v>3322</v>
      </c>
      <c r="F25" s="4">
        <f t="shared" si="0"/>
        <v>78.657732999999993</v>
      </c>
      <c r="M25" s="68">
        <v>1</v>
      </c>
      <c r="N25" s="68">
        <f t="shared" si="2"/>
        <v>0.48</v>
      </c>
      <c r="O25" s="68">
        <f t="shared" si="2"/>
        <v>784</v>
      </c>
      <c r="P25" s="68">
        <f t="shared" si="2"/>
        <v>4832</v>
      </c>
    </row>
    <row r="26" spans="2:16">
      <c r="B26" s="4">
        <v>63</v>
      </c>
      <c r="C26" s="4">
        <v>0.49</v>
      </c>
      <c r="D26" s="4">
        <v>597</v>
      </c>
      <c r="E26" s="4">
        <v>3012</v>
      </c>
      <c r="F26" s="4">
        <f t="shared" si="0"/>
        <v>65.465733</v>
      </c>
      <c r="M26" s="68">
        <v>1</v>
      </c>
      <c r="N26" s="68">
        <f t="shared" si="2"/>
        <v>0.47</v>
      </c>
      <c r="O26" s="68">
        <f t="shared" si="2"/>
        <v>752</v>
      </c>
      <c r="P26" s="68">
        <f t="shared" si="2"/>
        <v>4482</v>
      </c>
    </row>
    <row r="27" spans="2:16">
      <c r="B27" s="4">
        <v>50</v>
      </c>
      <c r="C27" s="4">
        <v>0.5</v>
      </c>
      <c r="D27" s="4">
        <v>567</v>
      </c>
      <c r="E27" s="4">
        <v>2767</v>
      </c>
      <c r="F27" s="4">
        <f t="shared" si="0"/>
        <v>56.318150000000003</v>
      </c>
      <c r="M27" s="68">
        <v>1</v>
      </c>
      <c r="N27" s="68">
        <f t="shared" si="2"/>
        <v>0.47</v>
      </c>
      <c r="O27" s="68">
        <f t="shared" si="2"/>
        <v>719</v>
      </c>
      <c r="P27" s="68">
        <f t="shared" si="2"/>
        <v>4137</v>
      </c>
    </row>
    <row r="28" spans="2:16">
      <c r="B28" s="4">
        <v>49</v>
      </c>
      <c r="C28" s="4">
        <v>0.5</v>
      </c>
      <c r="D28" s="4">
        <v>536</v>
      </c>
      <c r="E28" s="4">
        <v>2613</v>
      </c>
      <c r="F28" s="4">
        <f t="shared" si="0"/>
        <v>52.932549999999992</v>
      </c>
      <c r="M28" s="68">
        <v>1</v>
      </c>
      <c r="N28" s="68">
        <f t="shared" ref="N28:P43" si="3">C21</f>
        <v>0.47</v>
      </c>
      <c r="O28" s="68">
        <f t="shared" si="3"/>
        <v>688</v>
      </c>
      <c r="P28" s="68">
        <f t="shared" si="3"/>
        <v>3819</v>
      </c>
    </row>
    <row r="29" spans="2:16">
      <c r="B29" s="4">
        <v>58</v>
      </c>
      <c r="C29" s="4">
        <v>0.51</v>
      </c>
      <c r="D29" s="4">
        <v>522</v>
      </c>
      <c r="E29" s="4">
        <v>2404</v>
      </c>
      <c r="F29" s="4">
        <f t="shared" si="0"/>
        <v>42.853766999999991</v>
      </c>
      <c r="M29" s="68">
        <v>1</v>
      </c>
      <c r="N29" s="68">
        <f t="shared" si="3"/>
        <v>0.48</v>
      </c>
      <c r="O29" s="68">
        <f t="shared" si="3"/>
        <v>669</v>
      </c>
      <c r="P29" s="68">
        <f t="shared" si="3"/>
        <v>3584</v>
      </c>
    </row>
    <row r="30" spans="2:16">
      <c r="B30" s="4">
        <v>33</v>
      </c>
      <c r="C30" s="4">
        <v>0.53</v>
      </c>
      <c r="D30" s="4">
        <v>492</v>
      </c>
      <c r="E30" s="4">
        <v>2180</v>
      </c>
      <c r="F30" s="4">
        <f t="shared" si="0"/>
        <v>35.04020100000001</v>
      </c>
      <c r="M30" s="68">
        <v>1</v>
      </c>
      <c r="N30" s="68">
        <f t="shared" si="3"/>
        <v>0.48</v>
      </c>
      <c r="O30" s="68">
        <f t="shared" si="3"/>
        <v>656</v>
      </c>
      <c r="P30" s="68">
        <f t="shared" si="3"/>
        <v>3284</v>
      </c>
    </row>
    <row r="31" spans="2:16">
      <c r="B31" s="4">
        <v>41</v>
      </c>
      <c r="C31" s="4">
        <v>0.54</v>
      </c>
      <c r="D31" s="4">
        <v>484</v>
      </c>
      <c r="E31" s="4">
        <v>2165</v>
      </c>
      <c r="F31" s="4">
        <f t="shared" si="0"/>
        <v>35.731018000000006</v>
      </c>
      <c r="M31" s="68">
        <v>1</v>
      </c>
      <c r="N31" s="68">
        <f t="shared" si="3"/>
        <v>0.49</v>
      </c>
      <c r="O31" s="68">
        <f t="shared" si="3"/>
        <v>638</v>
      </c>
      <c r="P31" s="68">
        <f t="shared" si="3"/>
        <v>3316</v>
      </c>
    </row>
    <row r="32" spans="2:16">
      <c r="B32" s="4">
        <v>34</v>
      </c>
      <c r="C32" s="4">
        <v>0.56000000000000005</v>
      </c>
      <c r="D32" s="4">
        <v>469</v>
      </c>
      <c r="E32" s="4">
        <v>2167</v>
      </c>
      <c r="F32" s="4">
        <f t="shared" si="0"/>
        <v>38.887051999999997</v>
      </c>
      <c r="M32" s="68">
        <v>1</v>
      </c>
      <c r="N32" s="68">
        <f t="shared" si="3"/>
        <v>0.49</v>
      </c>
      <c r="O32" s="68">
        <f t="shared" si="3"/>
        <v>627</v>
      </c>
      <c r="P32" s="68">
        <f t="shared" si="3"/>
        <v>3322</v>
      </c>
    </row>
    <row r="33" spans="2:16">
      <c r="B33" s="4">
        <v>38</v>
      </c>
      <c r="C33" s="4">
        <v>0.56999999999999995</v>
      </c>
      <c r="D33" s="4">
        <v>446</v>
      </c>
      <c r="E33" s="4">
        <v>1997</v>
      </c>
      <c r="F33" s="4">
        <f t="shared" si="0"/>
        <v>32.981869000000003</v>
      </c>
      <c r="M33" s="68">
        <v>1</v>
      </c>
      <c r="N33" s="68">
        <f t="shared" si="3"/>
        <v>0.49</v>
      </c>
      <c r="O33" s="68">
        <f t="shared" si="3"/>
        <v>597</v>
      </c>
      <c r="P33" s="68">
        <f t="shared" si="3"/>
        <v>3012</v>
      </c>
    </row>
    <row r="34" spans="2:16">
      <c r="B34" s="4">
        <v>41</v>
      </c>
      <c r="C34" s="4">
        <v>0.59</v>
      </c>
      <c r="D34" s="4">
        <v>415</v>
      </c>
      <c r="E34" s="4">
        <v>1827</v>
      </c>
      <c r="F34" s="4">
        <f t="shared" si="0"/>
        <v>28.691502999999997</v>
      </c>
      <c r="M34" s="68">
        <v>1</v>
      </c>
      <c r="N34" s="68">
        <f t="shared" si="3"/>
        <v>0.5</v>
      </c>
      <c r="O34" s="68">
        <f t="shared" si="3"/>
        <v>567</v>
      </c>
      <c r="P34" s="68">
        <f t="shared" si="3"/>
        <v>2767</v>
      </c>
    </row>
    <row r="35" spans="2:16">
      <c r="B35" s="4">
        <v>28</v>
      </c>
      <c r="C35" s="4">
        <v>0.61</v>
      </c>
      <c r="D35" s="4">
        <v>399</v>
      </c>
      <c r="E35" s="4">
        <v>1708</v>
      </c>
      <c r="F35" s="4">
        <f t="shared" si="0"/>
        <v>24.590737000000004</v>
      </c>
      <c r="M35" s="68">
        <v>1</v>
      </c>
      <c r="N35" s="68">
        <f t="shared" si="3"/>
        <v>0.5</v>
      </c>
      <c r="O35" s="68">
        <f t="shared" si="3"/>
        <v>536</v>
      </c>
      <c r="P35" s="68">
        <f t="shared" si="3"/>
        <v>2613</v>
      </c>
    </row>
    <row r="36" spans="2:16">
      <c r="B36" s="4">
        <v>28</v>
      </c>
      <c r="C36" s="4">
        <v>0.64</v>
      </c>
      <c r="D36" s="4">
        <v>383</v>
      </c>
      <c r="E36" s="4">
        <v>1583</v>
      </c>
      <c r="F36" s="4">
        <f t="shared" si="0"/>
        <v>20.160787999999997</v>
      </c>
      <c r="M36" s="68">
        <v>1</v>
      </c>
      <c r="N36" s="68">
        <f t="shared" si="3"/>
        <v>0.51</v>
      </c>
      <c r="O36" s="68">
        <f t="shared" si="3"/>
        <v>522</v>
      </c>
      <c r="P36" s="68">
        <f t="shared" si="3"/>
        <v>2404</v>
      </c>
    </row>
    <row r="37" spans="2:16">
      <c r="B37" s="4">
        <v>26</v>
      </c>
      <c r="C37" s="4">
        <v>0.66</v>
      </c>
      <c r="D37" s="4">
        <v>363</v>
      </c>
      <c r="E37" s="4">
        <v>1416</v>
      </c>
      <c r="F37" s="4">
        <f t="shared" si="0"/>
        <v>13.890422000000001</v>
      </c>
      <c r="M37" s="68">
        <v>1</v>
      </c>
      <c r="N37" s="68">
        <f t="shared" si="3"/>
        <v>0.53</v>
      </c>
      <c r="O37" s="68">
        <f t="shared" si="3"/>
        <v>492</v>
      </c>
      <c r="P37" s="68">
        <f t="shared" si="3"/>
        <v>2180</v>
      </c>
    </row>
    <row r="38" spans="2:16">
      <c r="B38" s="4">
        <v>28</v>
      </c>
      <c r="C38" s="4">
        <v>0.67</v>
      </c>
      <c r="D38" s="4">
        <v>354</v>
      </c>
      <c r="E38" s="4">
        <v>1414</v>
      </c>
      <c r="F38" s="4">
        <f t="shared" si="0"/>
        <v>15.578839000000002</v>
      </c>
      <c r="M38" s="68">
        <v>1</v>
      </c>
      <c r="N38" s="68">
        <f t="shared" si="3"/>
        <v>0.54</v>
      </c>
      <c r="O38" s="68">
        <f t="shared" si="3"/>
        <v>484</v>
      </c>
      <c r="P38" s="68">
        <f t="shared" si="3"/>
        <v>2165</v>
      </c>
    </row>
    <row r="39" spans="2:16">
      <c r="B39" s="4">
        <v>25</v>
      </c>
      <c r="C39" s="4">
        <v>0.67</v>
      </c>
      <c r="D39" s="4">
        <v>342</v>
      </c>
      <c r="E39" s="4">
        <v>1403</v>
      </c>
      <c r="F39" s="4">
        <f t="shared" si="0"/>
        <v>17.262839</v>
      </c>
      <c r="M39" s="68">
        <v>1</v>
      </c>
      <c r="N39" s="68">
        <f t="shared" si="3"/>
        <v>0.56000000000000005</v>
      </c>
      <c r="O39" s="68">
        <f t="shared" si="3"/>
        <v>469</v>
      </c>
      <c r="P39" s="68">
        <f t="shared" si="3"/>
        <v>2167</v>
      </c>
    </row>
    <row r="40" spans="2:16">
      <c r="B40" s="4">
        <v>30</v>
      </c>
      <c r="C40" s="4">
        <v>0.67</v>
      </c>
      <c r="D40" s="4">
        <v>312</v>
      </c>
      <c r="E40" s="4">
        <v>1278</v>
      </c>
      <c r="F40" s="4">
        <f t="shared" si="0"/>
        <v>15.466839</v>
      </c>
      <c r="M40" s="68">
        <v>1</v>
      </c>
      <c r="N40" s="68">
        <f t="shared" si="3"/>
        <v>0.56999999999999995</v>
      </c>
      <c r="O40" s="68">
        <f t="shared" si="3"/>
        <v>446</v>
      </c>
      <c r="P40" s="68">
        <f t="shared" si="3"/>
        <v>1997</v>
      </c>
    </row>
    <row r="41" spans="2:16">
      <c r="B41" s="4">
        <v>22</v>
      </c>
      <c r="C41" s="4">
        <v>0.65</v>
      </c>
      <c r="D41" s="4">
        <v>283</v>
      </c>
      <c r="E41" s="4">
        <v>1201</v>
      </c>
      <c r="F41" s="4">
        <f t="shared" si="0"/>
        <v>16.350004999999996</v>
      </c>
      <c r="M41" s="68">
        <v>1</v>
      </c>
      <c r="N41" s="68">
        <f t="shared" si="3"/>
        <v>0.59</v>
      </c>
      <c r="O41" s="68">
        <f t="shared" si="3"/>
        <v>415</v>
      </c>
      <c r="P41" s="68">
        <f t="shared" si="3"/>
        <v>1827</v>
      </c>
    </row>
    <row r="42" spans="2:16">
      <c r="B42" s="4">
        <v>18</v>
      </c>
      <c r="C42" s="4">
        <v>0.65</v>
      </c>
      <c r="D42" s="4">
        <v>273</v>
      </c>
      <c r="E42" s="4">
        <v>1102</v>
      </c>
      <c r="F42" s="4">
        <f t="shared" si="0"/>
        <v>12.219605000000001</v>
      </c>
      <c r="M42" s="68">
        <v>1</v>
      </c>
      <c r="N42" s="68">
        <f t="shared" si="3"/>
        <v>0.61</v>
      </c>
      <c r="O42" s="68">
        <f t="shared" si="3"/>
        <v>399</v>
      </c>
      <c r="P42" s="68">
        <f t="shared" si="3"/>
        <v>1708</v>
      </c>
    </row>
    <row r="43" spans="2:16">
      <c r="B43" s="4">
        <v>15</v>
      </c>
      <c r="C43" s="4">
        <v>0.66</v>
      </c>
      <c r="D43" s="4">
        <v>266</v>
      </c>
      <c r="E43" s="4">
        <v>1046</v>
      </c>
      <c r="F43" s="4">
        <f t="shared" si="0"/>
        <v>10.188021999999997</v>
      </c>
      <c r="M43" s="68">
        <v>1</v>
      </c>
      <c r="N43" s="68">
        <f t="shared" si="3"/>
        <v>0.64</v>
      </c>
      <c r="O43" s="68">
        <f t="shared" si="3"/>
        <v>383</v>
      </c>
      <c r="P43" s="68">
        <f t="shared" si="3"/>
        <v>1583</v>
      </c>
    </row>
    <row r="44" spans="2:16">
      <c r="B44" s="4">
        <v>19</v>
      </c>
      <c r="C44" s="4">
        <v>0.68</v>
      </c>
      <c r="D44" s="4">
        <v>253</v>
      </c>
      <c r="E44" s="4">
        <v>980</v>
      </c>
      <c r="F44" s="4">
        <f t="shared" si="0"/>
        <v>8.7616560000000021</v>
      </c>
      <c r="M44" s="68">
        <v>1</v>
      </c>
      <c r="N44" s="68">
        <f t="shared" ref="N44:P59" si="4">C37</f>
        <v>0.66</v>
      </c>
      <c r="O44" s="68">
        <f t="shared" si="4"/>
        <v>363</v>
      </c>
      <c r="P44" s="68">
        <f t="shared" si="4"/>
        <v>1416</v>
      </c>
    </row>
    <row r="45" spans="2:16">
      <c r="B45" s="4">
        <v>15</v>
      </c>
      <c r="C45" s="4">
        <v>0.69</v>
      </c>
      <c r="D45" s="4">
        <v>242</v>
      </c>
      <c r="E45" s="4">
        <v>976</v>
      </c>
      <c r="F45" s="4">
        <f t="shared" si="0"/>
        <v>10.720472999999998</v>
      </c>
      <c r="M45" s="68">
        <v>1</v>
      </c>
      <c r="N45" s="68">
        <f t="shared" si="4"/>
        <v>0.67</v>
      </c>
      <c r="O45" s="68">
        <f t="shared" si="4"/>
        <v>354</v>
      </c>
      <c r="P45" s="68">
        <f t="shared" si="4"/>
        <v>1414</v>
      </c>
    </row>
    <row r="46" spans="2:16">
      <c r="B46" s="4">
        <v>10</v>
      </c>
      <c r="C46" s="4">
        <v>0.7</v>
      </c>
      <c r="D46" s="4">
        <v>231</v>
      </c>
      <c r="E46" s="4">
        <v>996</v>
      </c>
      <c r="F46" s="4">
        <f t="shared" si="0"/>
        <v>14.157690000000002</v>
      </c>
      <c r="M46" s="68">
        <v>1</v>
      </c>
      <c r="N46" s="68">
        <f t="shared" si="4"/>
        <v>0.67</v>
      </c>
      <c r="O46" s="68">
        <f t="shared" si="4"/>
        <v>342</v>
      </c>
      <c r="P46" s="68">
        <f t="shared" si="4"/>
        <v>1403</v>
      </c>
    </row>
    <row r="47" spans="2:16">
      <c r="B47" s="4">
        <v>13</v>
      </c>
      <c r="C47" s="4">
        <v>0.71</v>
      </c>
      <c r="D47" s="4">
        <v>213</v>
      </c>
      <c r="E47" s="4">
        <v>955</v>
      </c>
      <c r="F47" s="4">
        <f t="shared" si="0"/>
        <v>15.214907000000004</v>
      </c>
      <c r="M47" s="68">
        <v>1</v>
      </c>
      <c r="N47" s="68">
        <f t="shared" si="4"/>
        <v>0.67</v>
      </c>
      <c r="O47" s="68">
        <f t="shared" si="4"/>
        <v>312</v>
      </c>
      <c r="P47" s="68">
        <f t="shared" si="4"/>
        <v>1278</v>
      </c>
    </row>
    <row r="48" spans="2:16">
      <c r="B48" s="4">
        <v>15</v>
      </c>
      <c r="C48" s="4">
        <v>0.72</v>
      </c>
      <c r="D48" s="4">
        <v>205</v>
      </c>
      <c r="E48" s="4">
        <v>856</v>
      </c>
      <c r="F48" s="4">
        <f t="shared" si="0"/>
        <v>10.731324000000001</v>
      </c>
      <c r="M48" s="68">
        <v>1</v>
      </c>
      <c r="N48" s="68">
        <f t="shared" si="4"/>
        <v>0.65</v>
      </c>
      <c r="O48" s="68">
        <f t="shared" si="4"/>
        <v>283</v>
      </c>
      <c r="P48" s="68">
        <f t="shared" si="4"/>
        <v>1201</v>
      </c>
    </row>
    <row r="49" spans="2:140">
      <c r="B49" s="4">
        <v>21</v>
      </c>
      <c r="C49" s="4">
        <v>0.74</v>
      </c>
      <c r="D49" s="4">
        <v>187</v>
      </c>
      <c r="E49" s="4">
        <v>828</v>
      </c>
      <c r="F49" s="4">
        <f t="shared" si="0"/>
        <v>12.629758000000002</v>
      </c>
      <c r="M49" s="68">
        <v>1</v>
      </c>
      <c r="N49" s="68">
        <f t="shared" si="4"/>
        <v>0.65</v>
      </c>
      <c r="O49" s="68">
        <f t="shared" si="4"/>
        <v>273</v>
      </c>
      <c r="P49" s="68">
        <f t="shared" si="4"/>
        <v>1102</v>
      </c>
    </row>
    <row r="50" spans="2:140">
      <c r="B50" s="4">
        <v>11</v>
      </c>
      <c r="C50" s="4">
        <v>0.76</v>
      </c>
      <c r="D50" s="4">
        <v>182</v>
      </c>
      <c r="E50" s="4">
        <v>789</v>
      </c>
      <c r="F50" s="4">
        <f t="shared" si="0"/>
        <v>11.292192</v>
      </c>
      <c r="M50" s="68">
        <v>1</v>
      </c>
      <c r="N50" s="68">
        <f t="shared" si="4"/>
        <v>0.66</v>
      </c>
      <c r="O50" s="68">
        <f t="shared" si="4"/>
        <v>266</v>
      </c>
      <c r="P50" s="68">
        <f t="shared" si="4"/>
        <v>1046</v>
      </c>
    </row>
    <row r="51" spans="2:140">
      <c r="B51" s="4">
        <v>8</v>
      </c>
      <c r="C51" s="4">
        <v>0.77</v>
      </c>
      <c r="D51" s="4">
        <v>170</v>
      </c>
      <c r="E51" s="4">
        <v>744</v>
      </c>
      <c r="F51" s="4">
        <f t="shared" si="0"/>
        <v>10.922209000000002</v>
      </c>
      <c r="M51" s="68">
        <v>1</v>
      </c>
      <c r="N51" s="68">
        <f t="shared" si="4"/>
        <v>0.68</v>
      </c>
      <c r="O51" s="68">
        <f t="shared" si="4"/>
        <v>253</v>
      </c>
      <c r="P51" s="68">
        <f t="shared" si="4"/>
        <v>980</v>
      </c>
    </row>
    <row r="52" spans="2:140">
      <c r="B52" s="4">
        <v>6</v>
      </c>
      <c r="C52" s="4">
        <v>0.79</v>
      </c>
      <c r="D52" s="4">
        <v>170</v>
      </c>
      <c r="E52" s="4">
        <v>765</v>
      </c>
      <c r="F52" s="4">
        <f t="shared" si="0"/>
        <v>12.296642999999996</v>
      </c>
      <c r="M52" s="68">
        <v>1</v>
      </c>
      <c r="N52" s="68">
        <f t="shared" si="4"/>
        <v>0.69</v>
      </c>
      <c r="O52" s="68">
        <f t="shared" si="4"/>
        <v>242</v>
      </c>
      <c r="P52" s="68">
        <f t="shared" si="4"/>
        <v>976</v>
      </c>
    </row>
    <row r="53" spans="2:140">
      <c r="B53" s="4">
        <v>16</v>
      </c>
      <c r="C53" s="4">
        <v>0.8</v>
      </c>
      <c r="D53" s="4">
        <v>165</v>
      </c>
      <c r="E53" s="4">
        <v>771</v>
      </c>
      <c r="F53" s="4">
        <f t="shared" si="0"/>
        <v>13.690660000000001</v>
      </c>
      <c r="M53" s="68">
        <v>1</v>
      </c>
      <c r="N53" s="68">
        <f t="shared" si="4"/>
        <v>0.7</v>
      </c>
      <c r="O53" s="68">
        <f t="shared" si="4"/>
        <v>231</v>
      </c>
      <c r="P53" s="68">
        <f t="shared" si="4"/>
        <v>996</v>
      </c>
    </row>
    <row r="54" spans="2:140">
      <c r="B54" s="4">
        <v>10</v>
      </c>
      <c r="C54" s="4">
        <v>0.81</v>
      </c>
      <c r="D54" s="4">
        <v>159</v>
      </c>
      <c r="E54" s="4">
        <v>743</v>
      </c>
      <c r="F54" s="4">
        <f t="shared" si="0"/>
        <v>13.187077000000002</v>
      </c>
      <c r="M54" s="68">
        <v>1</v>
      </c>
      <c r="N54" s="68">
        <f t="shared" si="4"/>
        <v>0.71</v>
      </c>
      <c r="O54" s="68">
        <f t="shared" si="4"/>
        <v>213</v>
      </c>
      <c r="P54" s="68">
        <f t="shared" si="4"/>
        <v>955</v>
      </c>
    </row>
    <row r="55" spans="2:140">
      <c r="B55" s="4">
        <v>11</v>
      </c>
      <c r="C55" s="4">
        <v>0.82</v>
      </c>
      <c r="D55" s="4">
        <v>155</v>
      </c>
      <c r="E55" s="4">
        <v>712</v>
      </c>
      <c r="F55" s="4">
        <f t="shared" si="0"/>
        <v>12.105094000000001</v>
      </c>
      <c r="M55" s="68">
        <v>1</v>
      </c>
      <c r="N55" s="68">
        <f t="shared" si="4"/>
        <v>0.72</v>
      </c>
      <c r="O55" s="68">
        <f t="shared" si="4"/>
        <v>205</v>
      </c>
      <c r="P55" s="68">
        <f t="shared" si="4"/>
        <v>856</v>
      </c>
    </row>
    <row r="56" spans="2:140">
      <c r="B56" s="4">
        <v>9</v>
      </c>
      <c r="C56" s="4">
        <v>0.83</v>
      </c>
      <c r="D56" s="4">
        <v>154</v>
      </c>
      <c r="E56" s="4">
        <v>695</v>
      </c>
      <c r="F56" s="4">
        <f t="shared" si="0"/>
        <v>11.295111000000002</v>
      </c>
      <c r="M56" s="68">
        <v>1</v>
      </c>
      <c r="N56" s="68">
        <f t="shared" si="4"/>
        <v>0.74</v>
      </c>
      <c r="O56" s="68">
        <f t="shared" si="4"/>
        <v>187</v>
      </c>
      <c r="P56" s="68">
        <f t="shared" si="4"/>
        <v>828</v>
      </c>
      <c r="U56" s="68">
        <f t="array" ref="U56:EJ59">TRANSPOSE(M11:P130)</f>
        <v>1</v>
      </c>
      <c r="V56" s="68">
        <v>1</v>
      </c>
      <c r="W56" s="68">
        <v>1</v>
      </c>
      <c r="X56" s="68">
        <v>1</v>
      </c>
      <c r="Y56" s="68">
        <v>1</v>
      </c>
      <c r="Z56" s="68">
        <v>1</v>
      </c>
      <c r="AA56" s="68">
        <v>1</v>
      </c>
      <c r="AB56" s="68">
        <v>1</v>
      </c>
      <c r="AC56" s="68">
        <v>1</v>
      </c>
      <c r="AD56" s="68">
        <v>1</v>
      </c>
      <c r="AE56" s="68">
        <v>1</v>
      </c>
      <c r="AF56" s="68">
        <v>1</v>
      </c>
      <c r="AG56" s="68">
        <v>1</v>
      </c>
      <c r="AH56" s="68">
        <v>1</v>
      </c>
      <c r="AI56" s="68">
        <v>1</v>
      </c>
      <c r="AJ56" s="68">
        <v>1</v>
      </c>
      <c r="AK56" s="68">
        <v>1</v>
      </c>
      <c r="AL56" s="68">
        <v>1</v>
      </c>
      <c r="AM56" s="68">
        <v>1</v>
      </c>
      <c r="AN56" s="68">
        <v>1</v>
      </c>
      <c r="AO56" s="68">
        <v>1</v>
      </c>
      <c r="AP56" s="68">
        <v>1</v>
      </c>
      <c r="AQ56" s="68">
        <v>1</v>
      </c>
      <c r="AR56" s="68">
        <v>1</v>
      </c>
      <c r="AS56" s="68">
        <v>1</v>
      </c>
      <c r="AT56" s="68">
        <v>1</v>
      </c>
      <c r="AU56" s="68">
        <v>1</v>
      </c>
      <c r="AV56" s="68">
        <v>1</v>
      </c>
      <c r="AW56" s="68">
        <v>1</v>
      </c>
      <c r="AX56" s="68">
        <v>1</v>
      </c>
      <c r="AY56" s="68">
        <v>1</v>
      </c>
      <c r="AZ56" s="68">
        <v>1</v>
      </c>
      <c r="BA56" s="68">
        <v>1</v>
      </c>
      <c r="BB56" s="68">
        <v>1</v>
      </c>
      <c r="BC56" s="68">
        <v>1</v>
      </c>
      <c r="BD56" s="68">
        <v>1</v>
      </c>
      <c r="BE56" s="68">
        <v>1</v>
      </c>
      <c r="BF56" s="68">
        <v>1</v>
      </c>
      <c r="BG56" s="68">
        <v>1</v>
      </c>
      <c r="BH56" s="68">
        <v>1</v>
      </c>
      <c r="BI56" s="68">
        <v>1</v>
      </c>
      <c r="BJ56" s="68">
        <v>1</v>
      </c>
      <c r="BK56" s="68">
        <v>1</v>
      </c>
      <c r="BL56" s="68">
        <v>1</v>
      </c>
      <c r="BM56" s="68">
        <v>1</v>
      </c>
      <c r="BN56" s="68">
        <v>1</v>
      </c>
      <c r="BO56" s="68">
        <v>1</v>
      </c>
      <c r="BP56" s="68">
        <v>1</v>
      </c>
      <c r="BQ56" s="68">
        <v>1</v>
      </c>
      <c r="BR56" s="68">
        <v>1</v>
      </c>
      <c r="BS56" s="68">
        <v>1</v>
      </c>
      <c r="BT56" s="68">
        <v>1</v>
      </c>
      <c r="BU56" s="68">
        <v>1</v>
      </c>
      <c r="BV56" s="68">
        <v>1</v>
      </c>
      <c r="BW56" s="68">
        <v>1</v>
      </c>
      <c r="BX56" s="68">
        <v>1</v>
      </c>
      <c r="BY56" s="68">
        <v>1</v>
      </c>
      <c r="BZ56" s="68">
        <v>1</v>
      </c>
      <c r="CA56" s="68">
        <v>1</v>
      </c>
      <c r="CB56" s="68">
        <v>1</v>
      </c>
      <c r="CC56" s="68">
        <v>1</v>
      </c>
      <c r="CD56" s="68">
        <v>1</v>
      </c>
      <c r="CE56" s="68">
        <v>1</v>
      </c>
      <c r="CF56" s="68">
        <v>1</v>
      </c>
      <c r="CG56" s="68">
        <v>1</v>
      </c>
      <c r="CH56" s="68">
        <v>1</v>
      </c>
      <c r="CI56" s="68">
        <v>1</v>
      </c>
      <c r="CJ56" s="68">
        <v>1</v>
      </c>
      <c r="CK56" s="68">
        <v>1</v>
      </c>
      <c r="CL56" s="68">
        <v>1</v>
      </c>
      <c r="CM56" s="68">
        <v>1</v>
      </c>
      <c r="CN56" s="68">
        <v>1</v>
      </c>
      <c r="CO56" s="68">
        <v>1</v>
      </c>
      <c r="CP56" s="68">
        <v>1</v>
      </c>
      <c r="CQ56" s="68">
        <v>1</v>
      </c>
      <c r="CR56" s="68">
        <v>1</v>
      </c>
      <c r="CS56" s="68">
        <v>1</v>
      </c>
      <c r="CT56" s="68">
        <v>1</v>
      </c>
      <c r="CU56" s="68">
        <v>1</v>
      </c>
      <c r="CV56" s="68">
        <v>1</v>
      </c>
      <c r="CW56" s="68">
        <v>1</v>
      </c>
      <c r="CX56" s="68">
        <v>1</v>
      </c>
      <c r="CY56" s="68">
        <v>1</v>
      </c>
      <c r="CZ56" s="68">
        <v>1</v>
      </c>
      <c r="DA56" s="68">
        <v>1</v>
      </c>
      <c r="DB56" s="68">
        <v>1</v>
      </c>
      <c r="DC56" s="68">
        <v>1</v>
      </c>
      <c r="DD56" s="68">
        <v>1</v>
      </c>
      <c r="DE56" s="68">
        <v>1</v>
      </c>
      <c r="DF56" s="68">
        <v>1</v>
      </c>
      <c r="DG56" s="68">
        <v>1</v>
      </c>
      <c r="DH56" s="68">
        <v>1</v>
      </c>
      <c r="DI56" s="68">
        <v>1</v>
      </c>
      <c r="DJ56" s="68">
        <v>1</v>
      </c>
      <c r="DK56" s="68">
        <v>1</v>
      </c>
      <c r="DL56" s="68">
        <v>1</v>
      </c>
      <c r="DM56" s="68">
        <v>1</v>
      </c>
      <c r="DN56" s="68">
        <v>1</v>
      </c>
      <c r="DO56" s="68">
        <v>1</v>
      </c>
      <c r="DP56" s="68">
        <v>1</v>
      </c>
      <c r="DQ56" s="68">
        <v>1</v>
      </c>
      <c r="DR56" s="68">
        <v>1</v>
      </c>
      <c r="DS56" s="68">
        <v>1</v>
      </c>
      <c r="DT56" s="68">
        <v>1</v>
      </c>
      <c r="DU56" s="68">
        <v>1</v>
      </c>
      <c r="DV56" s="68">
        <v>1</v>
      </c>
      <c r="DW56" s="68">
        <v>1</v>
      </c>
      <c r="DX56" s="68">
        <v>1</v>
      </c>
      <c r="DY56" s="68">
        <v>1</v>
      </c>
      <c r="DZ56" s="68">
        <v>1</v>
      </c>
      <c r="EA56" s="68">
        <v>1</v>
      </c>
      <c r="EB56" s="68">
        <v>1</v>
      </c>
      <c r="EC56" s="68">
        <v>1</v>
      </c>
      <c r="ED56" s="68">
        <v>1</v>
      </c>
      <c r="EE56" s="68">
        <v>1</v>
      </c>
      <c r="EF56" s="68">
        <v>1</v>
      </c>
      <c r="EG56" s="68">
        <v>1</v>
      </c>
      <c r="EH56" s="68">
        <v>1</v>
      </c>
      <c r="EI56" s="68">
        <v>1</v>
      </c>
      <c r="EJ56" s="68">
        <v>1</v>
      </c>
    </row>
    <row r="57" spans="2:140">
      <c r="B57" s="4">
        <v>5</v>
      </c>
      <c r="C57" s="4">
        <v>0.84</v>
      </c>
      <c r="D57" s="4">
        <v>155</v>
      </c>
      <c r="E57" s="4">
        <v>669</v>
      </c>
      <c r="F57" s="4">
        <f t="shared" si="0"/>
        <v>9.5371279999999992</v>
      </c>
      <c r="M57" s="68">
        <v>1</v>
      </c>
      <c r="N57" s="68">
        <f t="shared" si="4"/>
        <v>0.76</v>
      </c>
      <c r="O57" s="68">
        <f t="shared" si="4"/>
        <v>182</v>
      </c>
      <c r="P57" s="68">
        <f t="shared" si="4"/>
        <v>789</v>
      </c>
      <c r="U57" s="68">
        <v>0.82</v>
      </c>
      <c r="V57" s="68">
        <v>0.76</v>
      </c>
      <c r="W57" s="68">
        <v>0.71</v>
      </c>
      <c r="X57" s="68">
        <v>0.67</v>
      </c>
      <c r="Y57" s="68">
        <v>0.64</v>
      </c>
      <c r="Z57" s="68">
        <v>0.62</v>
      </c>
      <c r="AA57" s="68">
        <v>0.59</v>
      </c>
      <c r="AB57" s="68">
        <v>0.56000000000000005</v>
      </c>
      <c r="AC57" s="68">
        <v>0.53</v>
      </c>
      <c r="AD57" s="68">
        <v>0.51</v>
      </c>
      <c r="AE57" s="68">
        <v>0.49</v>
      </c>
      <c r="AF57" s="68">
        <v>0.48</v>
      </c>
      <c r="AG57" s="68">
        <v>0.48</v>
      </c>
      <c r="AH57" s="68">
        <v>0.48</v>
      </c>
      <c r="AI57" s="68">
        <v>0.48</v>
      </c>
      <c r="AJ57" s="68">
        <v>0.47</v>
      </c>
      <c r="AK57" s="68">
        <v>0.47</v>
      </c>
      <c r="AL57" s="68">
        <v>0.47</v>
      </c>
      <c r="AM57" s="68">
        <v>0.48</v>
      </c>
      <c r="AN57" s="68">
        <v>0.48</v>
      </c>
      <c r="AO57" s="68">
        <v>0.49</v>
      </c>
      <c r="AP57" s="68">
        <v>0.49</v>
      </c>
      <c r="AQ57" s="68">
        <v>0.49</v>
      </c>
      <c r="AR57" s="68">
        <v>0.5</v>
      </c>
      <c r="AS57" s="68">
        <v>0.5</v>
      </c>
      <c r="AT57" s="68">
        <v>0.51</v>
      </c>
      <c r="AU57" s="68">
        <v>0.53</v>
      </c>
      <c r="AV57" s="68">
        <v>0.54</v>
      </c>
      <c r="AW57" s="68">
        <v>0.56000000000000005</v>
      </c>
      <c r="AX57" s="68">
        <v>0.56999999999999995</v>
      </c>
      <c r="AY57" s="68">
        <v>0.59</v>
      </c>
      <c r="AZ57" s="68">
        <v>0.61</v>
      </c>
      <c r="BA57" s="68">
        <v>0.64</v>
      </c>
      <c r="BB57" s="68">
        <v>0.66</v>
      </c>
      <c r="BC57" s="68">
        <v>0.67</v>
      </c>
      <c r="BD57" s="68">
        <v>0.67</v>
      </c>
      <c r="BE57" s="68">
        <v>0.67</v>
      </c>
      <c r="BF57" s="68">
        <v>0.65</v>
      </c>
      <c r="BG57" s="68">
        <v>0.65</v>
      </c>
      <c r="BH57" s="68">
        <v>0.66</v>
      </c>
      <c r="BI57" s="68">
        <v>0.68</v>
      </c>
      <c r="BJ57" s="68">
        <v>0.69</v>
      </c>
      <c r="BK57" s="68">
        <v>0.7</v>
      </c>
      <c r="BL57" s="68">
        <v>0.71</v>
      </c>
      <c r="BM57" s="68">
        <v>0.72</v>
      </c>
      <c r="BN57" s="68">
        <v>0.74</v>
      </c>
      <c r="BO57" s="68">
        <v>0.76</v>
      </c>
      <c r="BP57" s="68">
        <v>0.77</v>
      </c>
      <c r="BQ57" s="68">
        <v>0.79</v>
      </c>
      <c r="BR57" s="68">
        <v>0.8</v>
      </c>
      <c r="BS57" s="68">
        <v>0.81</v>
      </c>
      <c r="BT57" s="68">
        <v>0.82</v>
      </c>
      <c r="BU57" s="68">
        <v>0.83</v>
      </c>
      <c r="BV57" s="68">
        <v>0.84</v>
      </c>
      <c r="BW57" s="68">
        <v>0.86</v>
      </c>
      <c r="BX57" s="68">
        <v>0.89</v>
      </c>
      <c r="BY57" s="68">
        <v>0.92</v>
      </c>
      <c r="BZ57" s="68">
        <v>0.94</v>
      </c>
      <c r="CA57" s="68">
        <v>0.97</v>
      </c>
      <c r="CB57" s="68">
        <v>0.98</v>
      </c>
      <c r="CC57" s="68">
        <v>0.98</v>
      </c>
      <c r="CD57" s="68">
        <v>0.97</v>
      </c>
      <c r="CE57" s="68">
        <v>1</v>
      </c>
      <c r="CF57" s="68">
        <v>1.06</v>
      </c>
      <c r="CG57" s="68">
        <v>1.1399999999999999</v>
      </c>
      <c r="CH57" s="68">
        <v>1.1399999999999999</v>
      </c>
      <c r="CI57" s="68">
        <v>1.1299999999999999</v>
      </c>
      <c r="CJ57" s="68">
        <v>1.1200000000000001</v>
      </c>
      <c r="CK57" s="68">
        <v>1.1000000000000001</v>
      </c>
      <c r="CL57" s="68">
        <v>1.07</v>
      </c>
      <c r="CM57" s="68">
        <v>1.04</v>
      </c>
      <c r="CN57" s="68">
        <v>1.01</v>
      </c>
      <c r="CO57" s="68">
        <v>1.01</v>
      </c>
      <c r="CP57" s="68">
        <v>1</v>
      </c>
      <c r="CQ57" s="68">
        <v>1</v>
      </c>
      <c r="CR57" s="68">
        <v>1</v>
      </c>
      <c r="CS57" s="68">
        <v>0.99</v>
      </c>
      <c r="CT57" s="68">
        <v>0.98</v>
      </c>
      <c r="CU57" s="68">
        <v>0.97</v>
      </c>
      <c r="CV57" s="68">
        <v>0.97</v>
      </c>
      <c r="CW57" s="68">
        <v>0.97</v>
      </c>
      <c r="CX57" s="68">
        <v>0.96</v>
      </c>
      <c r="CY57" s="68">
        <v>0.96</v>
      </c>
      <c r="CZ57" s="68">
        <v>0.94</v>
      </c>
      <c r="DA57" s="68">
        <v>0.92</v>
      </c>
      <c r="DB57" s="68">
        <v>0.91</v>
      </c>
      <c r="DC57" s="68">
        <v>0.9</v>
      </c>
      <c r="DD57" s="68">
        <v>0.89</v>
      </c>
      <c r="DE57" s="68">
        <v>0.88</v>
      </c>
      <c r="DF57" s="68">
        <v>0.87</v>
      </c>
      <c r="DG57" s="68">
        <v>0.86</v>
      </c>
      <c r="DH57" s="68">
        <v>0.86</v>
      </c>
      <c r="DI57" s="68">
        <v>0.85</v>
      </c>
      <c r="DJ57" s="68">
        <v>0.85</v>
      </c>
      <c r="DK57" s="68">
        <v>0.87</v>
      </c>
      <c r="DL57" s="68">
        <v>0.89</v>
      </c>
      <c r="DM57" s="68">
        <v>0.91</v>
      </c>
      <c r="DN57" s="68">
        <v>0.93</v>
      </c>
      <c r="DO57" s="68">
        <v>0.95</v>
      </c>
      <c r="DP57" s="68">
        <v>0.97</v>
      </c>
      <c r="DQ57" s="68">
        <v>1</v>
      </c>
      <c r="DR57" s="68">
        <v>1.02</v>
      </c>
      <c r="DS57" s="68">
        <v>1.04</v>
      </c>
      <c r="DT57" s="68">
        <v>1.05</v>
      </c>
      <c r="DU57" s="68">
        <v>1.06</v>
      </c>
      <c r="DV57" s="68">
        <v>1.07</v>
      </c>
      <c r="DW57" s="68">
        <v>1.08</v>
      </c>
      <c r="DX57" s="68">
        <v>1.0900000000000001</v>
      </c>
      <c r="DY57" s="68">
        <v>1.1000000000000001</v>
      </c>
      <c r="DZ57" s="68">
        <v>1.1200000000000001</v>
      </c>
      <c r="EA57" s="68">
        <v>1.1200000000000001</v>
      </c>
      <c r="EB57" s="68">
        <v>1.1200000000000001</v>
      </c>
      <c r="EC57" s="68">
        <v>1.1100000000000001</v>
      </c>
      <c r="ED57" s="68">
        <v>1.1200000000000001</v>
      </c>
      <c r="EE57" s="68">
        <v>1.1299999999999999</v>
      </c>
      <c r="EF57" s="68">
        <v>1.1399999999999999</v>
      </c>
      <c r="EG57" s="68">
        <v>1.1599999999999999</v>
      </c>
      <c r="EH57" s="68">
        <v>1.1599999999999999</v>
      </c>
      <c r="EI57" s="68">
        <v>1.1599999999999999</v>
      </c>
      <c r="EJ57" s="68">
        <v>1.1599999999999999</v>
      </c>
    </row>
    <row r="58" spans="2:140">
      <c r="B58" s="4">
        <v>8</v>
      </c>
      <c r="C58" s="4">
        <v>0.86</v>
      </c>
      <c r="D58" s="4">
        <v>148</v>
      </c>
      <c r="E58" s="4">
        <v>618</v>
      </c>
      <c r="F58" s="4">
        <f t="shared" si="0"/>
        <v>7.8539620000000028</v>
      </c>
      <c r="M58" s="68">
        <v>1</v>
      </c>
      <c r="N58" s="68">
        <f t="shared" si="4"/>
        <v>0.77</v>
      </c>
      <c r="O58" s="68">
        <f t="shared" si="4"/>
        <v>170</v>
      </c>
      <c r="P58" s="68">
        <f t="shared" si="4"/>
        <v>744</v>
      </c>
      <c r="U58" s="68">
        <v>865</v>
      </c>
      <c r="V58" s="68">
        <v>852</v>
      </c>
      <c r="W58" s="68">
        <v>877</v>
      </c>
      <c r="X58" s="68">
        <v>863</v>
      </c>
      <c r="Y58" s="68">
        <v>904</v>
      </c>
      <c r="Z58" s="68">
        <v>891</v>
      </c>
      <c r="AA58" s="68">
        <v>865</v>
      </c>
      <c r="AB58" s="68">
        <v>877</v>
      </c>
      <c r="AC58" s="68">
        <v>862</v>
      </c>
      <c r="AD58" s="68">
        <v>853</v>
      </c>
      <c r="AE58" s="68">
        <v>836</v>
      </c>
      <c r="AF58" s="68">
        <v>846</v>
      </c>
      <c r="AG58" s="68">
        <v>803</v>
      </c>
      <c r="AH58" s="68">
        <v>795</v>
      </c>
      <c r="AI58" s="68">
        <v>784</v>
      </c>
      <c r="AJ58" s="68">
        <v>752</v>
      </c>
      <c r="AK58" s="68">
        <v>719</v>
      </c>
      <c r="AL58" s="68">
        <v>688</v>
      </c>
      <c r="AM58" s="68">
        <v>669</v>
      </c>
      <c r="AN58" s="68">
        <v>656</v>
      </c>
      <c r="AO58" s="68">
        <v>638</v>
      </c>
      <c r="AP58" s="68">
        <v>627</v>
      </c>
      <c r="AQ58" s="68">
        <v>597</v>
      </c>
      <c r="AR58" s="68">
        <v>567</v>
      </c>
      <c r="AS58" s="68">
        <v>536</v>
      </c>
      <c r="AT58" s="68">
        <v>522</v>
      </c>
      <c r="AU58" s="68">
        <v>492</v>
      </c>
      <c r="AV58" s="68">
        <v>484</v>
      </c>
      <c r="AW58" s="68">
        <v>469</v>
      </c>
      <c r="AX58" s="68">
        <v>446</v>
      </c>
      <c r="AY58" s="68">
        <v>415</v>
      </c>
      <c r="AZ58" s="68">
        <v>399</v>
      </c>
      <c r="BA58" s="68">
        <v>383</v>
      </c>
      <c r="BB58" s="68">
        <v>363</v>
      </c>
      <c r="BC58" s="68">
        <v>354</v>
      </c>
      <c r="BD58" s="68">
        <v>342</v>
      </c>
      <c r="BE58" s="68">
        <v>312</v>
      </c>
      <c r="BF58" s="68">
        <v>283</v>
      </c>
      <c r="BG58" s="68">
        <v>273</v>
      </c>
      <c r="BH58" s="68">
        <v>266</v>
      </c>
      <c r="BI58" s="68">
        <v>253</v>
      </c>
      <c r="BJ58" s="68">
        <v>242</v>
      </c>
      <c r="BK58" s="68">
        <v>231</v>
      </c>
      <c r="BL58" s="68">
        <v>213</v>
      </c>
      <c r="BM58" s="68">
        <v>205</v>
      </c>
      <c r="BN58" s="68">
        <v>187</v>
      </c>
      <c r="BO58" s="68">
        <v>182</v>
      </c>
      <c r="BP58" s="68">
        <v>170</v>
      </c>
      <c r="BQ58" s="68">
        <v>170</v>
      </c>
      <c r="BR58" s="68">
        <v>165</v>
      </c>
      <c r="BS58" s="68">
        <v>159</v>
      </c>
      <c r="BT58" s="68">
        <v>155</v>
      </c>
      <c r="BU58" s="68">
        <v>154</v>
      </c>
      <c r="BV58" s="68">
        <v>155</v>
      </c>
      <c r="BW58" s="68">
        <v>148</v>
      </c>
      <c r="BX58" s="68">
        <v>142</v>
      </c>
      <c r="BY58" s="68">
        <v>136</v>
      </c>
      <c r="BZ58" s="68">
        <v>129</v>
      </c>
      <c r="CA58" s="68">
        <v>127</v>
      </c>
      <c r="CB58" s="68">
        <v>129</v>
      </c>
      <c r="CC58" s="68">
        <v>131</v>
      </c>
      <c r="CD58" s="68">
        <v>126</v>
      </c>
      <c r="CE58" s="68">
        <v>117</v>
      </c>
      <c r="CF58" s="68">
        <v>112</v>
      </c>
      <c r="CG58" s="68">
        <v>113</v>
      </c>
      <c r="CH58" s="68">
        <v>116</v>
      </c>
      <c r="CI58" s="68">
        <v>122</v>
      </c>
      <c r="CJ58" s="68">
        <v>128</v>
      </c>
      <c r="CK58" s="68">
        <v>119</v>
      </c>
      <c r="CL58" s="68">
        <v>113</v>
      </c>
      <c r="CM58" s="68">
        <v>119</v>
      </c>
      <c r="CN58" s="68">
        <v>118</v>
      </c>
      <c r="CO58" s="68">
        <v>116</v>
      </c>
      <c r="CP58" s="68">
        <v>109</v>
      </c>
      <c r="CQ58" s="68">
        <v>101</v>
      </c>
      <c r="CR58" s="68">
        <v>103</v>
      </c>
      <c r="CS58" s="68">
        <v>109</v>
      </c>
      <c r="CT58" s="68">
        <v>112</v>
      </c>
      <c r="CU58" s="68">
        <v>113</v>
      </c>
      <c r="CV58" s="68">
        <v>110</v>
      </c>
      <c r="CW58" s="68">
        <v>104</v>
      </c>
      <c r="CX58" s="68">
        <v>98</v>
      </c>
      <c r="CY58" s="68">
        <v>98</v>
      </c>
      <c r="CZ58" s="68">
        <v>98</v>
      </c>
      <c r="DA58" s="68">
        <v>91</v>
      </c>
      <c r="DB58" s="68">
        <v>86</v>
      </c>
      <c r="DC58" s="68">
        <v>88</v>
      </c>
      <c r="DD58" s="68">
        <v>89</v>
      </c>
      <c r="DE58" s="68">
        <v>89</v>
      </c>
      <c r="DF58" s="68">
        <v>84</v>
      </c>
      <c r="DG58" s="68">
        <v>85</v>
      </c>
      <c r="DH58" s="68">
        <v>90</v>
      </c>
      <c r="DI58" s="68">
        <v>87</v>
      </c>
      <c r="DJ58" s="68">
        <v>83</v>
      </c>
      <c r="DK58" s="68">
        <v>77</v>
      </c>
      <c r="DL58" s="68">
        <v>75</v>
      </c>
      <c r="DM58" s="68">
        <v>74</v>
      </c>
      <c r="DN58" s="68">
        <v>74</v>
      </c>
      <c r="DO58" s="68">
        <v>73</v>
      </c>
      <c r="DP58" s="68">
        <v>71</v>
      </c>
      <c r="DQ58" s="68">
        <v>71</v>
      </c>
      <c r="DR58" s="68">
        <v>70</v>
      </c>
      <c r="DS58" s="68">
        <v>72</v>
      </c>
      <c r="DT58" s="68">
        <v>71</v>
      </c>
      <c r="DU58" s="68">
        <v>76</v>
      </c>
      <c r="DV58" s="68">
        <v>72</v>
      </c>
      <c r="DW58" s="68">
        <v>66</v>
      </c>
      <c r="DX58" s="68">
        <v>56</v>
      </c>
      <c r="DY58" s="68">
        <v>58</v>
      </c>
      <c r="DZ58" s="68">
        <v>55</v>
      </c>
      <c r="EA58" s="68">
        <v>59</v>
      </c>
      <c r="EB58" s="68">
        <v>58</v>
      </c>
      <c r="EC58" s="68">
        <v>57</v>
      </c>
      <c r="ED58" s="68">
        <v>52</v>
      </c>
      <c r="EE58" s="68">
        <v>53</v>
      </c>
      <c r="EF58" s="68">
        <v>53</v>
      </c>
      <c r="EG58" s="68">
        <v>52</v>
      </c>
      <c r="EH58" s="68">
        <v>49</v>
      </c>
      <c r="EI58" s="68">
        <v>54</v>
      </c>
      <c r="EJ58" s="68">
        <v>52</v>
      </c>
    </row>
    <row r="59" spans="2:140">
      <c r="B59" s="4">
        <v>10</v>
      </c>
      <c r="C59" s="4">
        <v>0.89</v>
      </c>
      <c r="D59" s="4">
        <v>142</v>
      </c>
      <c r="E59" s="4">
        <v>633</v>
      </c>
      <c r="F59" s="4">
        <f t="shared" si="0"/>
        <v>10.080013000000005</v>
      </c>
      <c r="M59" s="68">
        <v>1</v>
      </c>
      <c r="N59" s="68">
        <f t="shared" si="4"/>
        <v>0.79</v>
      </c>
      <c r="O59" s="68">
        <f t="shared" si="4"/>
        <v>170</v>
      </c>
      <c r="P59" s="68">
        <f t="shared" si="4"/>
        <v>765</v>
      </c>
      <c r="U59" s="68">
        <v>6869</v>
      </c>
      <c r="V59" s="68">
        <v>6775</v>
      </c>
      <c r="W59" s="68">
        <v>6684</v>
      </c>
      <c r="X59" s="68">
        <v>6496</v>
      </c>
      <c r="Y59" s="68">
        <v>6412</v>
      </c>
      <c r="Z59" s="68">
        <v>6158</v>
      </c>
      <c r="AA59" s="68">
        <v>6248</v>
      </c>
      <c r="AB59" s="68">
        <v>6344</v>
      </c>
      <c r="AC59" s="68">
        <v>6070</v>
      </c>
      <c r="AD59" s="68">
        <v>5829</v>
      </c>
      <c r="AE59" s="68">
        <v>5570</v>
      </c>
      <c r="AF59" s="68">
        <v>5230</v>
      </c>
      <c r="AG59" s="68">
        <v>4850</v>
      </c>
      <c r="AH59" s="68">
        <v>4826</v>
      </c>
      <c r="AI59" s="68">
        <v>4832</v>
      </c>
      <c r="AJ59" s="68">
        <v>4482</v>
      </c>
      <c r="AK59" s="68">
        <v>4137</v>
      </c>
      <c r="AL59" s="68">
        <v>3819</v>
      </c>
      <c r="AM59" s="68">
        <v>3584</v>
      </c>
      <c r="AN59" s="68">
        <v>3284</v>
      </c>
      <c r="AO59" s="68">
        <v>3316</v>
      </c>
      <c r="AP59" s="68">
        <v>3322</v>
      </c>
      <c r="AQ59" s="68">
        <v>3012</v>
      </c>
      <c r="AR59" s="68">
        <v>2767</v>
      </c>
      <c r="AS59" s="68">
        <v>2613</v>
      </c>
      <c r="AT59" s="68">
        <v>2404</v>
      </c>
      <c r="AU59" s="68">
        <v>2180</v>
      </c>
      <c r="AV59" s="68">
        <v>2165</v>
      </c>
      <c r="AW59" s="68">
        <v>2167</v>
      </c>
      <c r="AX59" s="68">
        <v>1997</v>
      </c>
      <c r="AY59" s="68">
        <v>1827</v>
      </c>
      <c r="AZ59" s="68">
        <v>1708</v>
      </c>
      <c r="BA59" s="68">
        <v>1583</v>
      </c>
      <c r="BB59" s="68">
        <v>1416</v>
      </c>
      <c r="BC59" s="68">
        <v>1414</v>
      </c>
      <c r="BD59" s="68">
        <v>1403</v>
      </c>
      <c r="BE59" s="68">
        <v>1278</v>
      </c>
      <c r="BF59" s="68">
        <v>1201</v>
      </c>
      <c r="BG59" s="68">
        <v>1102</v>
      </c>
      <c r="BH59" s="68">
        <v>1046</v>
      </c>
      <c r="BI59" s="68">
        <v>980</v>
      </c>
      <c r="BJ59" s="68">
        <v>976</v>
      </c>
      <c r="BK59" s="68">
        <v>996</v>
      </c>
      <c r="BL59" s="68">
        <v>955</v>
      </c>
      <c r="BM59" s="68">
        <v>856</v>
      </c>
      <c r="BN59" s="68">
        <v>828</v>
      </c>
      <c r="BO59" s="68">
        <v>789</v>
      </c>
      <c r="BP59" s="68">
        <v>744</v>
      </c>
      <c r="BQ59" s="68">
        <v>765</v>
      </c>
      <c r="BR59" s="68">
        <v>771</v>
      </c>
      <c r="BS59" s="68">
        <v>743</v>
      </c>
      <c r="BT59" s="68">
        <v>712</v>
      </c>
      <c r="BU59" s="68">
        <v>695</v>
      </c>
      <c r="BV59" s="68">
        <v>669</v>
      </c>
      <c r="BW59" s="68">
        <v>618</v>
      </c>
      <c r="BX59" s="68">
        <v>633</v>
      </c>
      <c r="BY59" s="68">
        <v>623</v>
      </c>
      <c r="BZ59" s="68">
        <v>584</v>
      </c>
      <c r="CA59" s="68">
        <v>558</v>
      </c>
      <c r="CB59" s="68">
        <v>538</v>
      </c>
      <c r="CC59" s="68">
        <v>513</v>
      </c>
      <c r="CD59" s="68">
        <v>512</v>
      </c>
      <c r="CE59" s="68">
        <v>517</v>
      </c>
      <c r="CF59" s="68">
        <v>536</v>
      </c>
      <c r="CG59" s="68">
        <v>504</v>
      </c>
      <c r="CH59" s="68">
        <v>488</v>
      </c>
      <c r="CI59" s="68">
        <v>495</v>
      </c>
      <c r="CJ59" s="68">
        <v>486</v>
      </c>
      <c r="CK59" s="68">
        <v>466</v>
      </c>
      <c r="CL59" s="68">
        <v>466</v>
      </c>
      <c r="CM59" s="68">
        <v>479</v>
      </c>
      <c r="CN59" s="68">
        <v>459</v>
      </c>
      <c r="CO59" s="68">
        <v>447</v>
      </c>
      <c r="CP59" s="68">
        <v>423</v>
      </c>
      <c r="CQ59" s="68">
        <v>429</v>
      </c>
      <c r="CR59" s="68">
        <v>415</v>
      </c>
      <c r="CS59" s="68">
        <v>428</v>
      </c>
      <c r="CT59" s="68">
        <v>454</v>
      </c>
      <c r="CU59" s="68">
        <v>429</v>
      </c>
      <c r="CV59" s="68">
        <v>397</v>
      </c>
      <c r="CW59" s="68">
        <v>395</v>
      </c>
      <c r="CX59" s="68">
        <v>384</v>
      </c>
      <c r="CY59" s="68">
        <v>342</v>
      </c>
      <c r="CZ59" s="68">
        <v>348</v>
      </c>
      <c r="DA59" s="68">
        <v>365</v>
      </c>
      <c r="DB59" s="68">
        <v>346</v>
      </c>
      <c r="DC59" s="68">
        <v>332</v>
      </c>
      <c r="DD59" s="68">
        <v>324</v>
      </c>
      <c r="DE59" s="68">
        <v>324</v>
      </c>
      <c r="DF59" s="68">
        <v>302</v>
      </c>
      <c r="DG59" s="68">
        <v>311</v>
      </c>
      <c r="DH59" s="68">
        <v>322</v>
      </c>
      <c r="DI59" s="68">
        <v>296</v>
      </c>
      <c r="DJ59" s="68">
        <v>297</v>
      </c>
      <c r="DK59" s="68">
        <v>283</v>
      </c>
      <c r="DL59" s="68">
        <v>280</v>
      </c>
      <c r="DM59" s="68">
        <v>260</v>
      </c>
      <c r="DN59" s="68">
        <v>268</v>
      </c>
      <c r="DO59" s="68">
        <v>277</v>
      </c>
      <c r="DP59" s="68">
        <v>257</v>
      </c>
      <c r="DQ59" s="68">
        <v>248</v>
      </c>
      <c r="DR59" s="68">
        <v>244</v>
      </c>
      <c r="DS59" s="68">
        <v>236</v>
      </c>
      <c r="DT59" s="68">
        <v>223</v>
      </c>
      <c r="DU59" s="68">
        <v>245</v>
      </c>
      <c r="DV59" s="68">
        <v>246</v>
      </c>
      <c r="DW59" s="68">
        <v>233</v>
      </c>
      <c r="DX59" s="68">
        <v>211</v>
      </c>
      <c r="DY59" s="68">
        <v>208</v>
      </c>
      <c r="DZ59" s="68">
        <v>207</v>
      </c>
      <c r="EA59" s="68">
        <v>210</v>
      </c>
      <c r="EB59" s="68">
        <v>220</v>
      </c>
      <c r="EC59" s="68">
        <v>239</v>
      </c>
      <c r="ED59" s="68">
        <v>237</v>
      </c>
      <c r="EE59" s="68">
        <v>233</v>
      </c>
      <c r="EF59" s="68">
        <v>233</v>
      </c>
      <c r="EG59" s="68">
        <v>246</v>
      </c>
      <c r="EH59" s="68">
        <v>244</v>
      </c>
      <c r="EI59" s="68">
        <v>271</v>
      </c>
      <c r="EJ59" s="68">
        <v>283</v>
      </c>
    </row>
    <row r="60" spans="2:140">
      <c r="B60" s="4">
        <v>6</v>
      </c>
      <c r="C60" s="4">
        <v>0.92</v>
      </c>
      <c r="D60" s="4">
        <v>136</v>
      </c>
      <c r="E60" s="4">
        <v>623</v>
      </c>
      <c r="F60" s="4">
        <f t="shared" si="0"/>
        <v>10.766064</v>
      </c>
      <c r="M60" s="68">
        <v>1</v>
      </c>
      <c r="N60" s="68">
        <f t="shared" ref="N60:P75" si="5">C53</f>
        <v>0.8</v>
      </c>
      <c r="O60" s="68">
        <f t="shared" si="5"/>
        <v>165</v>
      </c>
      <c r="P60" s="68">
        <f t="shared" si="5"/>
        <v>771</v>
      </c>
    </row>
    <row r="61" spans="2:140">
      <c r="B61" s="4">
        <v>2</v>
      </c>
      <c r="C61" s="4">
        <v>0.94</v>
      </c>
      <c r="D61" s="4">
        <v>129</v>
      </c>
      <c r="E61" s="4">
        <v>584</v>
      </c>
      <c r="F61" s="4">
        <f t="shared" si="0"/>
        <v>9.822098000000004</v>
      </c>
      <c r="M61" s="68">
        <v>1</v>
      </c>
      <c r="N61" s="68">
        <f t="shared" si="5"/>
        <v>0.81</v>
      </c>
      <c r="O61" s="68">
        <f t="shared" si="5"/>
        <v>159</v>
      </c>
      <c r="P61" s="68">
        <f t="shared" si="5"/>
        <v>743</v>
      </c>
    </row>
    <row r="62" spans="2:140">
      <c r="B62" s="4">
        <v>3</v>
      </c>
      <c r="C62" s="4">
        <v>0.97</v>
      </c>
      <c r="D62" s="4">
        <v>127</v>
      </c>
      <c r="E62" s="4">
        <v>558</v>
      </c>
      <c r="F62" s="4">
        <f t="shared" si="0"/>
        <v>8.7353489999999958</v>
      </c>
      <c r="M62" s="68">
        <v>1</v>
      </c>
      <c r="N62" s="68">
        <f t="shared" si="5"/>
        <v>0.82</v>
      </c>
      <c r="O62" s="68">
        <f t="shared" si="5"/>
        <v>155</v>
      </c>
      <c r="P62" s="68">
        <f t="shared" si="5"/>
        <v>712</v>
      </c>
    </row>
    <row r="63" spans="2:140">
      <c r="B63" s="4">
        <v>11</v>
      </c>
      <c r="C63" s="4">
        <v>0.98</v>
      </c>
      <c r="D63" s="4">
        <v>129</v>
      </c>
      <c r="E63" s="4">
        <v>538</v>
      </c>
      <c r="F63" s="4">
        <f t="shared" si="0"/>
        <v>7.1501659999999987</v>
      </c>
      <c r="M63" s="68">
        <v>1</v>
      </c>
      <c r="N63" s="68">
        <f t="shared" si="5"/>
        <v>0.83</v>
      </c>
      <c r="O63" s="68">
        <f t="shared" si="5"/>
        <v>154</v>
      </c>
      <c r="P63" s="68">
        <f t="shared" si="5"/>
        <v>695</v>
      </c>
    </row>
    <row r="64" spans="2:140">
      <c r="B64" s="4">
        <v>9</v>
      </c>
      <c r="C64" s="4">
        <v>0.98</v>
      </c>
      <c r="D64" s="4">
        <v>131</v>
      </c>
      <c r="E64" s="4">
        <v>513</v>
      </c>
      <c r="F64" s="4">
        <f t="shared" si="0"/>
        <v>5.2165660000000003</v>
      </c>
      <c r="M64" s="68">
        <v>1</v>
      </c>
      <c r="N64" s="68">
        <f t="shared" si="5"/>
        <v>0.84</v>
      </c>
      <c r="O64" s="68">
        <f t="shared" si="5"/>
        <v>155</v>
      </c>
      <c r="P64" s="68">
        <f t="shared" si="5"/>
        <v>669</v>
      </c>
    </row>
    <row r="65" spans="2:140">
      <c r="B65" s="4">
        <v>7</v>
      </c>
      <c r="C65" s="4">
        <v>0.97</v>
      </c>
      <c r="D65" s="4">
        <v>126</v>
      </c>
      <c r="E65" s="4">
        <v>512</v>
      </c>
      <c r="F65" s="4">
        <f t="shared" si="0"/>
        <v>6.0985489999999984</v>
      </c>
      <c r="M65" s="68">
        <v>1</v>
      </c>
      <c r="N65" s="68">
        <f t="shared" si="5"/>
        <v>0.86</v>
      </c>
      <c r="O65" s="68">
        <f t="shared" si="5"/>
        <v>148</v>
      </c>
      <c r="P65" s="68">
        <f t="shared" si="5"/>
        <v>618</v>
      </c>
    </row>
    <row r="66" spans="2:140">
      <c r="B66" s="4">
        <v>4</v>
      </c>
      <c r="C66" s="4">
        <v>1</v>
      </c>
      <c r="D66" s="4">
        <v>117</v>
      </c>
      <c r="E66" s="4">
        <v>517</v>
      </c>
      <c r="F66" s="4">
        <f t="shared" si="0"/>
        <v>8.2989999999999995</v>
      </c>
      <c r="M66" s="68">
        <v>1</v>
      </c>
      <c r="N66" s="68">
        <f t="shared" si="5"/>
        <v>0.89</v>
      </c>
      <c r="O66" s="68">
        <f t="shared" si="5"/>
        <v>142</v>
      </c>
      <c r="P66" s="68">
        <f t="shared" si="5"/>
        <v>633</v>
      </c>
    </row>
    <row r="67" spans="2:140">
      <c r="B67" s="4">
        <v>6</v>
      </c>
      <c r="C67" s="4">
        <v>1.06</v>
      </c>
      <c r="D67" s="4">
        <v>112</v>
      </c>
      <c r="E67" s="4">
        <v>536</v>
      </c>
      <c r="F67" s="4">
        <f t="shared" si="0"/>
        <v>10.695902000000004</v>
      </c>
      <c r="M67" s="68">
        <v>1</v>
      </c>
      <c r="N67" s="68">
        <f t="shared" si="5"/>
        <v>0.92</v>
      </c>
      <c r="O67" s="68">
        <f t="shared" si="5"/>
        <v>136</v>
      </c>
      <c r="P67" s="68">
        <f t="shared" si="5"/>
        <v>623</v>
      </c>
    </row>
    <row r="68" spans="2:140">
      <c r="B68" s="4">
        <v>2</v>
      </c>
      <c r="C68" s="4">
        <v>1.1399999999999999</v>
      </c>
      <c r="D68" s="4">
        <v>113</v>
      </c>
      <c r="E68" s="4">
        <v>504</v>
      </c>
      <c r="F68" s="4">
        <f t="shared" si="0"/>
        <v>8.8512380000000022</v>
      </c>
      <c r="M68" s="68">
        <v>1</v>
      </c>
      <c r="N68" s="68">
        <f t="shared" si="5"/>
        <v>0.94</v>
      </c>
      <c r="O68" s="68">
        <f t="shared" si="5"/>
        <v>129</v>
      </c>
      <c r="P68" s="68">
        <f t="shared" si="5"/>
        <v>584</v>
      </c>
      <c r="U68" s="68">
        <f t="array" ref="U68:EJ68">TRANSPOSE(B4:B123)</f>
        <v>275</v>
      </c>
      <c r="V68" s="68">
        <v>260</v>
      </c>
      <c r="W68" s="68">
        <v>240</v>
      </c>
      <c r="X68" s="68">
        <v>225</v>
      </c>
      <c r="Y68" s="68">
        <v>258</v>
      </c>
      <c r="Z68" s="68">
        <v>214</v>
      </c>
      <c r="AA68" s="68">
        <v>204</v>
      </c>
      <c r="AB68" s="68">
        <v>196</v>
      </c>
      <c r="AC68" s="68">
        <v>203</v>
      </c>
      <c r="AD68" s="68">
        <v>161</v>
      </c>
      <c r="AE68" s="68">
        <v>167</v>
      </c>
      <c r="AF68" s="68">
        <v>149</v>
      </c>
      <c r="AG68" s="68">
        <v>149</v>
      </c>
      <c r="AH68" s="68">
        <v>138</v>
      </c>
      <c r="AI68" s="68">
        <v>90</v>
      </c>
      <c r="AJ68" s="68">
        <v>111</v>
      </c>
      <c r="AK68" s="68">
        <v>127</v>
      </c>
      <c r="AL68" s="68">
        <v>105</v>
      </c>
      <c r="AM68" s="68">
        <v>67</v>
      </c>
      <c r="AN68" s="68">
        <v>76</v>
      </c>
      <c r="AO68" s="68">
        <v>65</v>
      </c>
      <c r="AP68" s="68">
        <v>61</v>
      </c>
      <c r="AQ68" s="68">
        <v>63</v>
      </c>
      <c r="AR68" s="68">
        <v>50</v>
      </c>
      <c r="AS68" s="68">
        <v>49</v>
      </c>
      <c r="AT68" s="68">
        <v>58</v>
      </c>
      <c r="AU68" s="68">
        <v>33</v>
      </c>
      <c r="AV68" s="68">
        <v>41</v>
      </c>
      <c r="AW68" s="68">
        <v>34</v>
      </c>
      <c r="AX68" s="68">
        <v>38</v>
      </c>
      <c r="AY68" s="68">
        <v>41</v>
      </c>
      <c r="AZ68" s="68">
        <v>28</v>
      </c>
      <c r="BA68" s="68">
        <v>28</v>
      </c>
      <c r="BB68" s="68">
        <v>26</v>
      </c>
      <c r="BC68" s="68">
        <v>28</v>
      </c>
      <c r="BD68" s="68">
        <v>25</v>
      </c>
      <c r="BE68" s="68">
        <v>30</v>
      </c>
      <c r="BF68" s="68">
        <v>22</v>
      </c>
      <c r="BG68" s="68">
        <v>18</v>
      </c>
      <c r="BH68" s="68">
        <v>15</v>
      </c>
      <c r="BI68" s="68">
        <v>19</v>
      </c>
      <c r="BJ68" s="68">
        <v>15</v>
      </c>
      <c r="BK68" s="68">
        <v>10</v>
      </c>
      <c r="BL68" s="68">
        <v>13</v>
      </c>
      <c r="BM68" s="68">
        <v>15</v>
      </c>
      <c r="BN68" s="68">
        <v>21</v>
      </c>
      <c r="BO68" s="68">
        <v>11</v>
      </c>
      <c r="BP68" s="68">
        <v>8</v>
      </c>
      <c r="BQ68" s="68">
        <v>6</v>
      </c>
      <c r="BR68" s="68">
        <v>16</v>
      </c>
      <c r="BS68" s="68">
        <v>10</v>
      </c>
      <c r="BT68" s="68">
        <v>11</v>
      </c>
      <c r="BU68" s="68">
        <v>9</v>
      </c>
      <c r="BV68" s="68">
        <v>5</v>
      </c>
      <c r="BW68" s="68">
        <v>8</v>
      </c>
      <c r="BX68" s="68">
        <v>10</v>
      </c>
      <c r="BY68" s="68">
        <v>6</v>
      </c>
      <c r="BZ68" s="68">
        <v>2</v>
      </c>
      <c r="CA68" s="68">
        <v>3</v>
      </c>
      <c r="CB68" s="68">
        <v>11</v>
      </c>
      <c r="CC68" s="68">
        <v>9</v>
      </c>
      <c r="CD68" s="68">
        <v>7</v>
      </c>
      <c r="CE68" s="68">
        <v>4</v>
      </c>
      <c r="CF68" s="68">
        <v>6</v>
      </c>
      <c r="CG68" s="68">
        <v>2</v>
      </c>
      <c r="CH68" s="68">
        <v>3</v>
      </c>
      <c r="CI68" s="68">
        <v>9</v>
      </c>
      <c r="CJ68" s="68">
        <v>5</v>
      </c>
      <c r="CK68" s="68">
        <v>6</v>
      </c>
      <c r="CL68" s="68">
        <v>6</v>
      </c>
      <c r="CM68" s="68">
        <v>2</v>
      </c>
      <c r="CN68" s="68">
        <v>5</v>
      </c>
      <c r="CO68" s="68">
        <v>8</v>
      </c>
      <c r="CP68" s="68">
        <v>2</v>
      </c>
      <c r="CQ68" s="68">
        <v>4</v>
      </c>
      <c r="CR68" s="68">
        <v>5</v>
      </c>
      <c r="CS68" s="68">
        <v>3</v>
      </c>
      <c r="CT68" s="68">
        <v>1</v>
      </c>
      <c r="CU68" s="68">
        <v>5</v>
      </c>
      <c r="CV68" s="68">
        <v>1</v>
      </c>
      <c r="CW68" s="68">
        <v>4</v>
      </c>
      <c r="CX68" s="68">
        <v>1</v>
      </c>
      <c r="CY68" s="68">
        <v>2</v>
      </c>
      <c r="CZ68" s="68">
        <v>6</v>
      </c>
      <c r="DA68" s="68">
        <v>0</v>
      </c>
      <c r="DB68" s="68">
        <v>5</v>
      </c>
      <c r="DC68" s="68">
        <v>3</v>
      </c>
      <c r="DD68" s="68">
        <v>1</v>
      </c>
      <c r="DE68" s="68">
        <v>0</v>
      </c>
      <c r="DF68" s="68">
        <v>2</v>
      </c>
      <c r="DG68" s="68">
        <v>1</v>
      </c>
      <c r="DH68" s="68">
        <v>0</v>
      </c>
      <c r="DI68" s="68">
        <v>4</v>
      </c>
      <c r="DJ68" s="68">
        <v>2</v>
      </c>
      <c r="DK68" s="68">
        <v>5</v>
      </c>
      <c r="DL68" s="68">
        <v>1</v>
      </c>
      <c r="DM68" s="68">
        <v>2</v>
      </c>
      <c r="DN68" s="68">
        <v>1</v>
      </c>
      <c r="DO68" s="68">
        <v>1</v>
      </c>
      <c r="DP68" s="68">
        <v>1</v>
      </c>
      <c r="DQ68" s="68">
        <v>4</v>
      </c>
      <c r="DR68" s="68">
        <v>1</v>
      </c>
      <c r="DS68" s="68">
        <v>0</v>
      </c>
      <c r="DT68" s="68">
        <v>7</v>
      </c>
      <c r="DU68" s="68">
        <v>1</v>
      </c>
      <c r="DV68" s="68">
        <v>2</v>
      </c>
      <c r="DW68" s="68">
        <v>2</v>
      </c>
      <c r="DX68" s="68">
        <v>2</v>
      </c>
      <c r="DY68" s="68">
        <v>1</v>
      </c>
      <c r="DZ68" s="68">
        <v>3</v>
      </c>
      <c r="EA68" s="68">
        <v>0</v>
      </c>
      <c r="EB68" s="68">
        <v>0</v>
      </c>
      <c r="EC68" s="68">
        <v>1</v>
      </c>
      <c r="ED68" s="68">
        <v>3</v>
      </c>
      <c r="EE68" s="68">
        <v>1</v>
      </c>
      <c r="EF68" s="68">
        <v>0</v>
      </c>
      <c r="EG68" s="68">
        <v>1</v>
      </c>
      <c r="EH68" s="68">
        <v>0</v>
      </c>
      <c r="EI68" s="68">
        <v>0</v>
      </c>
      <c r="EJ68" s="68">
        <v>2</v>
      </c>
    </row>
    <row r="69" spans="2:140">
      <c r="B69" s="4">
        <v>3</v>
      </c>
      <c r="C69" s="4">
        <v>1.1399999999999999</v>
      </c>
      <c r="D69" s="4">
        <v>116</v>
      </c>
      <c r="E69" s="4">
        <v>488</v>
      </c>
      <c r="F69" s="4">
        <f t="shared" ref="F69:F123" si="6">ROUND($AH$137,4)+ROUND($AH$138,4)*C69+ROUND($AH$139,4)*D69+ROUND($AH$140,4)*E69</f>
        <v>7.2752379999999981</v>
      </c>
      <c r="M69" s="68">
        <v>1</v>
      </c>
      <c r="N69" s="68">
        <f t="shared" si="5"/>
        <v>0.97</v>
      </c>
      <c r="O69" s="68">
        <f t="shared" si="5"/>
        <v>127</v>
      </c>
      <c r="P69" s="68">
        <f t="shared" si="5"/>
        <v>558</v>
      </c>
    </row>
    <row r="70" spans="2:140">
      <c r="B70" s="4">
        <v>9</v>
      </c>
      <c r="C70" s="4">
        <v>1.1299999999999999</v>
      </c>
      <c r="D70" s="4">
        <v>122</v>
      </c>
      <c r="E70" s="4">
        <v>495</v>
      </c>
      <c r="F70" s="4">
        <f t="shared" si="6"/>
        <v>6.4852209999999992</v>
      </c>
      <c r="M70" s="68">
        <v>1</v>
      </c>
      <c r="N70" s="68">
        <f t="shared" si="5"/>
        <v>0.98</v>
      </c>
      <c r="O70" s="68">
        <f t="shared" si="5"/>
        <v>129</v>
      </c>
      <c r="P70" s="68">
        <f t="shared" si="5"/>
        <v>538</v>
      </c>
    </row>
    <row r="71" spans="2:140">
      <c r="B71" s="4">
        <v>5</v>
      </c>
      <c r="C71" s="4">
        <v>1.1200000000000001</v>
      </c>
      <c r="D71" s="4">
        <v>128</v>
      </c>
      <c r="E71" s="4">
        <v>486</v>
      </c>
      <c r="F71" s="4">
        <f t="shared" si="6"/>
        <v>4.7096039999999988</v>
      </c>
      <c r="M71" s="68">
        <v>1</v>
      </c>
      <c r="N71" s="68">
        <f t="shared" si="5"/>
        <v>0.98</v>
      </c>
      <c r="O71" s="68">
        <f t="shared" si="5"/>
        <v>131</v>
      </c>
      <c r="P71" s="68">
        <f t="shared" si="5"/>
        <v>513</v>
      </c>
    </row>
    <row r="72" spans="2:140">
      <c r="B72" s="4">
        <v>6</v>
      </c>
      <c r="C72" s="4">
        <v>1.1000000000000001</v>
      </c>
      <c r="D72" s="4">
        <v>119</v>
      </c>
      <c r="E72" s="4">
        <v>466</v>
      </c>
      <c r="F72" s="4">
        <f t="shared" si="6"/>
        <v>5.1679700000000004</v>
      </c>
      <c r="M72" s="68">
        <v>1</v>
      </c>
      <c r="N72" s="68">
        <f t="shared" si="5"/>
        <v>0.97</v>
      </c>
      <c r="O72" s="68">
        <f t="shared" si="5"/>
        <v>126</v>
      </c>
      <c r="P72" s="68">
        <f t="shared" si="5"/>
        <v>512</v>
      </c>
    </row>
    <row r="73" spans="2:140">
      <c r="B73" s="4">
        <v>6</v>
      </c>
      <c r="C73" s="4">
        <v>1.07</v>
      </c>
      <c r="D73" s="4">
        <v>113</v>
      </c>
      <c r="E73" s="4">
        <v>466</v>
      </c>
      <c r="F73" s="4">
        <f t="shared" si="6"/>
        <v>6.2275190000000009</v>
      </c>
      <c r="M73" s="68">
        <v>1</v>
      </c>
      <c r="N73" s="68">
        <f t="shared" si="5"/>
        <v>1</v>
      </c>
      <c r="O73" s="68">
        <f t="shared" si="5"/>
        <v>117</v>
      </c>
      <c r="P73" s="68">
        <f t="shared" si="5"/>
        <v>517</v>
      </c>
    </row>
    <row r="74" spans="2:140">
      <c r="B74" s="4">
        <v>2</v>
      </c>
      <c r="C74" s="4">
        <v>1.04</v>
      </c>
      <c r="D74" s="4">
        <v>119</v>
      </c>
      <c r="E74" s="4">
        <v>479</v>
      </c>
      <c r="F74" s="4">
        <f t="shared" si="6"/>
        <v>5.7262679999999975</v>
      </c>
      <c r="M74" s="68">
        <v>1</v>
      </c>
      <c r="N74" s="68">
        <f t="shared" si="5"/>
        <v>1.06</v>
      </c>
      <c r="O74" s="68">
        <f t="shared" si="5"/>
        <v>112</v>
      </c>
      <c r="P74" s="68">
        <f t="shared" si="5"/>
        <v>536</v>
      </c>
    </row>
    <row r="75" spans="2:140">
      <c r="B75" s="4">
        <v>5</v>
      </c>
      <c r="C75" s="4">
        <v>1.01</v>
      </c>
      <c r="D75" s="4">
        <v>118</v>
      </c>
      <c r="E75" s="4">
        <v>459</v>
      </c>
      <c r="F75" s="4">
        <f t="shared" si="6"/>
        <v>4.5698170000000005</v>
      </c>
      <c r="M75" s="68">
        <v>1</v>
      </c>
      <c r="N75" s="68">
        <f t="shared" si="5"/>
        <v>1.1399999999999999</v>
      </c>
      <c r="O75" s="68">
        <f t="shared" si="5"/>
        <v>113</v>
      </c>
      <c r="P75" s="68">
        <f t="shared" si="5"/>
        <v>504</v>
      </c>
    </row>
    <row r="76" spans="2:140">
      <c r="B76" s="4">
        <v>8</v>
      </c>
      <c r="C76" s="4">
        <v>1.01</v>
      </c>
      <c r="D76" s="4">
        <v>116</v>
      </c>
      <c r="E76" s="4">
        <v>447</v>
      </c>
      <c r="F76" s="4">
        <f t="shared" si="6"/>
        <v>4.2242169999999994</v>
      </c>
      <c r="M76" s="68">
        <v>1</v>
      </c>
      <c r="N76" s="68">
        <f t="shared" ref="N76:P91" si="7">C69</f>
        <v>1.1399999999999999</v>
      </c>
      <c r="O76" s="68">
        <f t="shared" si="7"/>
        <v>116</v>
      </c>
      <c r="P76" s="68">
        <f t="shared" si="7"/>
        <v>488</v>
      </c>
    </row>
    <row r="77" spans="2:140">
      <c r="B77" s="4">
        <v>2</v>
      </c>
      <c r="C77" s="4">
        <v>1</v>
      </c>
      <c r="D77" s="4">
        <v>109</v>
      </c>
      <c r="E77" s="4">
        <v>423</v>
      </c>
      <c r="F77" s="4">
        <f t="shared" si="6"/>
        <v>4.0829999999999984</v>
      </c>
      <c r="M77" s="68">
        <v>1</v>
      </c>
      <c r="N77" s="68">
        <f t="shared" si="7"/>
        <v>1.1299999999999999</v>
      </c>
      <c r="O77" s="68">
        <f t="shared" si="7"/>
        <v>122</v>
      </c>
      <c r="P77" s="68">
        <f t="shared" si="7"/>
        <v>495</v>
      </c>
    </row>
    <row r="78" spans="2:140">
      <c r="B78" s="4">
        <v>4</v>
      </c>
      <c r="C78" s="4">
        <v>1</v>
      </c>
      <c r="D78" s="4">
        <v>101</v>
      </c>
      <c r="E78" s="4">
        <v>429</v>
      </c>
      <c r="F78" s="4">
        <f t="shared" si="6"/>
        <v>6.027000000000001</v>
      </c>
      <c r="M78" s="68">
        <v>1</v>
      </c>
      <c r="N78" s="68">
        <f t="shared" si="7"/>
        <v>1.1200000000000001</v>
      </c>
      <c r="O78" s="68">
        <f t="shared" si="7"/>
        <v>128</v>
      </c>
      <c r="P78" s="68">
        <f t="shared" si="7"/>
        <v>486</v>
      </c>
    </row>
    <row r="79" spans="2:140">
      <c r="B79" s="4">
        <v>5</v>
      </c>
      <c r="C79" s="4">
        <v>1</v>
      </c>
      <c r="D79" s="4">
        <v>103</v>
      </c>
      <c r="E79" s="4">
        <v>415</v>
      </c>
      <c r="F79" s="4">
        <f t="shared" si="6"/>
        <v>4.7710000000000008</v>
      </c>
      <c r="M79" s="68">
        <v>1</v>
      </c>
      <c r="N79" s="68">
        <f t="shared" si="7"/>
        <v>1.1000000000000001</v>
      </c>
      <c r="O79" s="68">
        <f t="shared" si="7"/>
        <v>119</v>
      </c>
      <c r="P79" s="68">
        <f t="shared" si="7"/>
        <v>466</v>
      </c>
    </row>
    <row r="80" spans="2:140">
      <c r="B80" s="4">
        <v>3</v>
      </c>
      <c r="C80" s="4">
        <v>0.99</v>
      </c>
      <c r="D80" s="4">
        <v>109</v>
      </c>
      <c r="E80" s="4">
        <v>428</v>
      </c>
      <c r="F80" s="4">
        <f t="shared" si="6"/>
        <v>4.3505830000000003</v>
      </c>
      <c r="M80" s="68">
        <v>1</v>
      </c>
      <c r="N80" s="68">
        <f t="shared" si="7"/>
        <v>1.07</v>
      </c>
      <c r="O80" s="68">
        <f t="shared" si="7"/>
        <v>113</v>
      </c>
      <c r="P80" s="68">
        <f t="shared" si="7"/>
        <v>466</v>
      </c>
    </row>
    <row r="81" spans="2:16">
      <c r="B81" s="4">
        <v>1</v>
      </c>
      <c r="C81" s="4">
        <v>0.98</v>
      </c>
      <c r="D81" s="4">
        <v>112</v>
      </c>
      <c r="E81" s="4">
        <v>454</v>
      </c>
      <c r="F81" s="4">
        <f t="shared" si="6"/>
        <v>5.3213660000000012</v>
      </c>
      <c r="M81" s="68">
        <v>1</v>
      </c>
      <c r="N81" s="68">
        <f t="shared" si="7"/>
        <v>1.04</v>
      </c>
      <c r="O81" s="68">
        <f t="shared" si="7"/>
        <v>119</v>
      </c>
      <c r="P81" s="68">
        <f t="shared" si="7"/>
        <v>479</v>
      </c>
    </row>
    <row r="82" spans="2:16">
      <c r="B82" s="4">
        <v>5</v>
      </c>
      <c r="C82" s="4">
        <v>0.97</v>
      </c>
      <c r="D82" s="4">
        <v>113</v>
      </c>
      <c r="E82" s="4">
        <v>429</v>
      </c>
      <c r="F82" s="4">
        <f t="shared" si="6"/>
        <v>3.5441490000000009</v>
      </c>
      <c r="M82" s="68">
        <v>1</v>
      </c>
      <c r="N82" s="68">
        <f t="shared" si="7"/>
        <v>1.01</v>
      </c>
      <c r="O82" s="68">
        <f t="shared" si="7"/>
        <v>118</v>
      </c>
      <c r="P82" s="68">
        <f t="shared" si="7"/>
        <v>459</v>
      </c>
    </row>
    <row r="83" spans="2:16">
      <c r="B83" s="4">
        <v>1</v>
      </c>
      <c r="C83" s="4">
        <v>0.97</v>
      </c>
      <c r="D83" s="4">
        <v>110</v>
      </c>
      <c r="E83" s="4">
        <v>397</v>
      </c>
      <c r="F83" s="4">
        <f t="shared" si="6"/>
        <v>2.1633490000000002</v>
      </c>
      <c r="M83" s="68">
        <v>1</v>
      </c>
      <c r="N83" s="68">
        <f t="shared" si="7"/>
        <v>1.01</v>
      </c>
      <c r="O83" s="68">
        <f t="shared" si="7"/>
        <v>116</v>
      </c>
      <c r="P83" s="68">
        <f t="shared" si="7"/>
        <v>447</v>
      </c>
    </row>
    <row r="84" spans="2:16">
      <c r="B84" s="4">
        <v>4</v>
      </c>
      <c r="C84" s="4">
        <v>0.97</v>
      </c>
      <c r="D84" s="4">
        <v>104</v>
      </c>
      <c r="E84" s="4">
        <v>395</v>
      </c>
      <c r="F84" s="4">
        <f t="shared" si="6"/>
        <v>3.2209489999999974</v>
      </c>
      <c r="M84" s="68">
        <v>1</v>
      </c>
      <c r="N84" s="68">
        <f t="shared" si="7"/>
        <v>1</v>
      </c>
      <c r="O84" s="68">
        <f t="shared" si="7"/>
        <v>109</v>
      </c>
      <c r="P84" s="68">
        <f t="shared" si="7"/>
        <v>423</v>
      </c>
    </row>
    <row r="85" spans="2:16">
      <c r="B85" s="4">
        <v>1</v>
      </c>
      <c r="C85" s="4">
        <v>0.96</v>
      </c>
      <c r="D85" s="4">
        <v>98</v>
      </c>
      <c r="E85" s="4">
        <v>384</v>
      </c>
      <c r="F85" s="4">
        <f t="shared" si="6"/>
        <v>3.6837320000000027</v>
      </c>
      <c r="M85" s="68">
        <v>1</v>
      </c>
      <c r="N85" s="68">
        <f t="shared" si="7"/>
        <v>1</v>
      </c>
      <c r="O85" s="68">
        <f t="shared" si="7"/>
        <v>101</v>
      </c>
      <c r="P85" s="68">
        <f t="shared" si="7"/>
        <v>429</v>
      </c>
    </row>
    <row r="86" spans="2:16">
      <c r="B86" s="4">
        <v>2</v>
      </c>
      <c r="C86" s="4">
        <v>0.96</v>
      </c>
      <c r="D86" s="4">
        <v>98</v>
      </c>
      <c r="E86" s="4">
        <v>342</v>
      </c>
      <c r="F86" s="4">
        <f t="shared" si="6"/>
        <v>1.0965319999999998</v>
      </c>
      <c r="M86" s="68">
        <v>1</v>
      </c>
      <c r="N86" s="68">
        <f t="shared" si="7"/>
        <v>1</v>
      </c>
      <c r="O86" s="68">
        <f t="shared" si="7"/>
        <v>103</v>
      </c>
      <c r="P86" s="68">
        <f t="shared" si="7"/>
        <v>415</v>
      </c>
    </row>
    <row r="87" spans="2:16">
      <c r="B87" s="4">
        <v>6</v>
      </c>
      <c r="C87" s="4">
        <v>0.94</v>
      </c>
      <c r="D87" s="4">
        <v>98</v>
      </c>
      <c r="E87" s="4">
        <v>348</v>
      </c>
      <c r="F87" s="4">
        <f t="shared" si="6"/>
        <v>1.3852980000000024</v>
      </c>
      <c r="M87" s="68">
        <v>1</v>
      </c>
      <c r="N87" s="68">
        <f t="shared" si="7"/>
        <v>0.99</v>
      </c>
      <c r="O87" s="68">
        <f t="shared" si="7"/>
        <v>109</v>
      </c>
      <c r="P87" s="68">
        <f t="shared" si="7"/>
        <v>428</v>
      </c>
    </row>
    <row r="88" spans="2:16">
      <c r="B88" s="4">
        <v>0</v>
      </c>
      <c r="C88" s="4">
        <v>0.92</v>
      </c>
      <c r="D88" s="4">
        <v>91</v>
      </c>
      <c r="E88" s="4">
        <v>365</v>
      </c>
      <c r="F88" s="4">
        <f t="shared" si="6"/>
        <v>3.7292640000000006</v>
      </c>
      <c r="M88" s="68">
        <v>1</v>
      </c>
      <c r="N88" s="68">
        <f t="shared" si="7"/>
        <v>0.98</v>
      </c>
      <c r="O88" s="68">
        <f t="shared" si="7"/>
        <v>112</v>
      </c>
      <c r="P88" s="68">
        <f t="shared" si="7"/>
        <v>454</v>
      </c>
    </row>
    <row r="89" spans="2:16">
      <c r="B89" s="4">
        <v>5</v>
      </c>
      <c r="C89" s="4">
        <v>0.91</v>
      </c>
      <c r="D89" s="4">
        <v>86</v>
      </c>
      <c r="E89" s="4">
        <v>346</v>
      </c>
      <c r="F89" s="4">
        <f t="shared" si="6"/>
        <v>3.5024470000000001</v>
      </c>
      <c r="M89" s="68">
        <v>1</v>
      </c>
      <c r="N89" s="68">
        <f t="shared" si="7"/>
        <v>0.97</v>
      </c>
      <c r="O89" s="68">
        <f t="shared" si="7"/>
        <v>113</v>
      </c>
      <c r="P89" s="68">
        <f t="shared" si="7"/>
        <v>429</v>
      </c>
    </row>
    <row r="90" spans="2:16">
      <c r="B90" s="4">
        <v>3</v>
      </c>
      <c r="C90" s="4">
        <v>0.9</v>
      </c>
      <c r="D90" s="4">
        <v>88</v>
      </c>
      <c r="E90" s="4">
        <v>332</v>
      </c>
      <c r="F90" s="4">
        <f t="shared" si="6"/>
        <v>2.2060299999999984</v>
      </c>
      <c r="M90" s="68">
        <v>1</v>
      </c>
      <c r="N90" s="68">
        <f t="shared" si="7"/>
        <v>0.97</v>
      </c>
      <c r="O90" s="68">
        <f t="shared" si="7"/>
        <v>110</v>
      </c>
      <c r="P90" s="68">
        <f t="shared" si="7"/>
        <v>397</v>
      </c>
    </row>
    <row r="91" spans="2:16">
      <c r="B91" s="4">
        <v>1</v>
      </c>
      <c r="C91" s="4">
        <v>0.89</v>
      </c>
      <c r="D91" s="4">
        <v>89</v>
      </c>
      <c r="E91" s="4">
        <v>324</v>
      </c>
      <c r="F91" s="4">
        <f t="shared" si="6"/>
        <v>1.4760130000000018</v>
      </c>
      <c r="M91" s="68">
        <v>1</v>
      </c>
      <c r="N91" s="68">
        <f t="shared" si="7"/>
        <v>0.97</v>
      </c>
      <c r="O91" s="68">
        <f t="shared" si="7"/>
        <v>104</v>
      </c>
      <c r="P91" s="68">
        <f t="shared" si="7"/>
        <v>395</v>
      </c>
    </row>
    <row r="92" spans="2:16">
      <c r="B92" s="4">
        <v>0</v>
      </c>
      <c r="C92" s="4">
        <v>0.88</v>
      </c>
      <c r="D92" s="4">
        <v>89</v>
      </c>
      <c r="E92" s="4">
        <v>324</v>
      </c>
      <c r="F92" s="4">
        <f t="shared" si="6"/>
        <v>1.4355960000000003</v>
      </c>
      <c r="M92" s="68">
        <v>1</v>
      </c>
      <c r="N92" s="68">
        <f t="shared" ref="N92:P107" si="8">C85</f>
        <v>0.96</v>
      </c>
      <c r="O92" s="68">
        <f t="shared" si="8"/>
        <v>98</v>
      </c>
      <c r="P92" s="68">
        <f t="shared" si="8"/>
        <v>384</v>
      </c>
    </row>
    <row r="93" spans="2:16">
      <c r="B93" s="4">
        <v>2</v>
      </c>
      <c r="C93" s="4">
        <v>0.87</v>
      </c>
      <c r="D93" s="4">
        <v>84</v>
      </c>
      <c r="E93" s="4">
        <v>302</v>
      </c>
      <c r="F93" s="4">
        <f t="shared" si="6"/>
        <v>1.0239789999999971</v>
      </c>
      <c r="M93" s="68">
        <v>1</v>
      </c>
      <c r="N93" s="68">
        <f t="shared" si="8"/>
        <v>0.96</v>
      </c>
      <c r="O93" s="68">
        <f t="shared" si="8"/>
        <v>98</v>
      </c>
      <c r="P93" s="68">
        <f t="shared" si="8"/>
        <v>342</v>
      </c>
    </row>
    <row r="94" spans="2:16">
      <c r="B94" s="4">
        <v>1</v>
      </c>
      <c r="C94" s="4">
        <v>0.86</v>
      </c>
      <c r="D94" s="4">
        <v>85</v>
      </c>
      <c r="E94" s="4">
        <v>311</v>
      </c>
      <c r="F94" s="4">
        <f t="shared" si="6"/>
        <v>1.3411620000000006</v>
      </c>
      <c r="M94" s="68">
        <v>1</v>
      </c>
      <c r="N94" s="68">
        <f t="shared" si="8"/>
        <v>0.94</v>
      </c>
      <c r="O94" s="68">
        <f t="shared" si="8"/>
        <v>98</v>
      </c>
      <c r="P94" s="68">
        <f t="shared" si="8"/>
        <v>348</v>
      </c>
    </row>
    <row r="95" spans="2:16">
      <c r="B95" s="4">
        <v>0</v>
      </c>
      <c r="C95" s="4">
        <v>0.86</v>
      </c>
      <c r="D95" s="4">
        <v>90</v>
      </c>
      <c r="E95" s="4">
        <v>322</v>
      </c>
      <c r="F95" s="4">
        <f t="shared" si="6"/>
        <v>1.0347620000000006</v>
      </c>
      <c r="M95" s="68">
        <v>1</v>
      </c>
      <c r="N95" s="68">
        <f t="shared" si="8"/>
        <v>0.92</v>
      </c>
      <c r="O95" s="68">
        <f t="shared" si="8"/>
        <v>91</v>
      </c>
      <c r="P95" s="68">
        <f t="shared" si="8"/>
        <v>365</v>
      </c>
    </row>
    <row r="96" spans="2:16">
      <c r="B96" s="4">
        <v>4</v>
      </c>
      <c r="C96" s="4">
        <v>0.85</v>
      </c>
      <c r="D96" s="4">
        <v>87</v>
      </c>
      <c r="E96" s="4">
        <v>296</v>
      </c>
      <c r="F96" s="4">
        <f t="shared" si="6"/>
        <v>-1.6855000000003173E-2</v>
      </c>
      <c r="M96" s="68">
        <v>1</v>
      </c>
      <c r="N96" s="68">
        <f t="shared" si="8"/>
        <v>0.91</v>
      </c>
      <c r="O96" s="68">
        <f t="shared" si="8"/>
        <v>86</v>
      </c>
      <c r="P96" s="68">
        <f t="shared" si="8"/>
        <v>346</v>
      </c>
    </row>
    <row r="97" spans="2:16">
      <c r="B97" s="4">
        <v>2</v>
      </c>
      <c r="C97" s="4">
        <v>0.85</v>
      </c>
      <c r="D97" s="4">
        <v>83</v>
      </c>
      <c r="E97" s="4">
        <v>297</v>
      </c>
      <c r="F97" s="4">
        <f t="shared" si="6"/>
        <v>0.83194500000000104</v>
      </c>
      <c r="M97" s="68">
        <v>1</v>
      </c>
      <c r="N97" s="68">
        <f t="shared" si="8"/>
        <v>0.9</v>
      </c>
      <c r="O97" s="68">
        <f t="shared" si="8"/>
        <v>88</v>
      </c>
      <c r="P97" s="68">
        <f t="shared" si="8"/>
        <v>332</v>
      </c>
    </row>
    <row r="98" spans="2:16">
      <c r="B98" s="4">
        <v>5</v>
      </c>
      <c r="C98" s="4">
        <v>0.87</v>
      </c>
      <c r="D98" s="4">
        <v>77</v>
      </c>
      <c r="E98" s="4">
        <v>283</v>
      </c>
      <c r="F98" s="4">
        <f t="shared" si="6"/>
        <v>1.2311789999999974</v>
      </c>
      <c r="M98" s="68">
        <v>1</v>
      </c>
      <c r="N98" s="68">
        <f t="shared" si="8"/>
        <v>0.89</v>
      </c>
      <c r="O98" s="68">
        <f t="shared" si="8"/>
        <v>89</v>
      </c>
      <c r="P98" s="68">
        <f t="shared" si="8"/>
        <v>324</v>
      </c>
    </row>
    <row r="99" spans="2:16">
      <c r="B99" s="4">
        <v>1</v>
      </c>
      <c r="C99" s="4">
        <v>0.89</v>
      </c>
      <c r="D99" s="4">
        <v>75</v>
      </c>
      <c r="E99" s="4">
        <v>280</v>
      </c>
      <c r="F99" s="4">
        <f t="shared" si="6"/>
        <v>1.5208130000000004</v>
      </c>
      <c r="M99" s="68">
        <v>1</v>
      </c>
      <c r="N99" s="68">
        <f t="shared" si="8"/>
        <v>0.88</v>
      </c>
      <c r="O99" s="68">
        <f t="shared" si="8"/>
        <v>89</v>
      </c>
      <c r="P99" s="68">
        <f t="shared" si="8"/>
        <v>324</v>
      </c>
    </row>
    <row r="100" spans="2:16">
      <c r="B100" s="4">
        <v>2</v>
      </c>
      <c r="C100" s="4">
        <v>0.91</v>
      </c>
      <c r="D100" s="4">
        <v>74</v>
      </c>
      <c r="E100" s="4">
        <v>260</v>
      </c>
      <c r="F100" s="4">
        <f t="shared" si="6"/>
        <v>0.56644700000000014</v>
      </c>
      <c r="M100" s="68">
        <v>1</v>
      </c>
      <c r="N100" s="68">
        <f t="shared" si="8"/>
        <v>0.87</v>
      </c>
      <c r="O100" s="68">
        <f t="shared" si="8"/>
        <v>84</v>
      </c>
      <c r="P100" s="68">
        <f t="shared" si="8"/>
        <v>302</v>
      </c>
    </row>
    <row r="101" spans="2:16">
      <c r="B101" s="4">
        <v>1</v>
      </c>
      <c r="C101" s="4">
        <v>0.93</v>
      </c>
      <c r="D101" s="4">
        <v>74</v>
      </c>
      <c r="E101" s="4">
        <v>268</v>
      </c>
      <c r="F101" s="4">
        <f t="shared" si="6"/>
        <v>1.1400810000000003</v>
      </c>
      <c r="M101" s="68">
        <v>1</v>
      </c>
      <c r="N101" s="68">
        <f t="shared" si="8"/>
        <v>0.86</v>
      </c>
      <c r="O101" s="68">
        <f t="shared" si="8"/>
        <v>85</v>
      </c>
      <c r="P101" s="68">
        <f t="shared" si="8"/>
        <v>311</v>
      </c>
    </row>
    <row r="102" spans="2:16">
      <c r="B102" s="4">
        <v>1</v>
      </c>
      <c r="C102" s="4">
        <v>0.95</v>
      </c>
      <c r="D102" s="4">
        <v>73</v>
      </c>
      <c r="E102" s="4">
        <v>277</v>
      </c>
      <c r="F102" s="4">
        <f t="shared" si="6"/>
        <v>1.9721150000000005</v>
      </c>
      <c r="M102" s="68">
        <v>1</v>
      </c>
      <c r="N102" s="68">
        <f t="shared" si="8"/>
        <v>0.86</v>
      </c>
      <c r="O102" s="68">
        <f t="shared" si="8"/>
        <v>90</v>
      </c>
      <c r="P102" s="68">
        <f t="shared" si="8"/>
        <v>322</v>
      </c>
    </row>
    <row r="103" spans="2:16">
      <c r="B103" s="4">
        <v>1</v>
      </c>
      <c r="C103" s="4">
        <v>0.97</v>
      </c>
      <c r="D103" s="4">
        <v>71</v>
      </c>
      <c r="E103" s="4">
        <v>257</v>
      </c>
      <c r="F103" s="4">
        <f t="shared" si="6"/>
        <v>1.2145489999999999</v>
      </c>
      <c r="M103" s="68">
        <v>1</v>
      </c>
      <c r="N103" s="68">
        <f t="shared" si="8"/>
        <v>0.85</v>
      </c>
      <c r="O103" s="68">
        <f t="shared" si="8"/>
        <v>87</v>
      </c>
      <c r="P103" s="68">
        <f t="shared" si="8"/>
        <v>296</v>
      </c>
    </row>
    <row r="104" spans="2:16">
      <c r="B104" s="4">
        <v>4</v>
      </c>
      <c r="C104" s="4">
        <v>1</v>
      </c>
      <c r="D104" s="4">
        <v>71</v>
      </c>
      <c r="E104" s="4">
        <v>248</v>
      </c>
      <c r="F104" s="4">
        <f t="shared" si="6"/>
        <v>0.78139999999999965</v>
      </c>
      <c r="M104" s="68">
        <v>1</v>
      </c>
      <c r="N104" s="68">
        <f t="shared" si="8"/>
        <v>0.85</v>
      </c>
      <c r="O104" s="68">
        <f t="shared" si="8"/>
        <v>83</v>
      </c>
      <c r="P104" s="68">
        <f t="shared" si="8"/>
        <v>297</v>
      </c>
    </row>
    <row r="105" spans="2:16">
      <c r="B105" s="4">
        <v>1</v>
      </c>
      <c r="C105" s="4">
        <v>1.02</v>
      </c>
      <c r="D105" s="4">
        <v>70</v>
      </c>
      <c r="E105" s="4">
        <v>244</v>
      </c>
      <c r="F105" s="4">
        <f t="shared" si="6"/>
        <v>0.81263399999999919</v>
      </c>
      <c r="M105" s="68">
        <v>1</v>
      </c>
      <c r="N105" s="68">
        <f t="shared" si="8"/>
        <v>0.87</v>
      </c>
      <c r="O105" s="68">
        <f t="shared" si="8"/>
        <v>77</v>
      </c>
      <c r="P105" s="68">
        <f t="shared" si="8"/>
        <v>283</v>
      </c>
    </row>
    <row r="106" spans="2:16">
      <c r="B106" s="4">
        <v>0</v>
      </c>
      <c r="C106" s="4">
        <v>1.04</v>
      </c>
      <c r="D106" s="4">
        <v>72</v>
      </c>
      <c r="E106" s="4">
        <v>236</v>
      </c>
      <c r="F106" s="4">
        <f t="shared" si="6"/>
        <v>7.0680000000002963E-3</v>
      </c>
      <c r="M106" s="68">
        <v>1</v>
      </c>
      <c r="N106" s="68">
        <f t="shared" si="8"/>
        <v>0.89</v>
      </c>
      <c r="O106" s="68">
        <f t="shared" si="8"/>
        <v>75</v>
      </c>
      <c r="P106" s="68">
        <f t="shared" si="8"/>
        <v>280</v>
      </c>
    </row>
    <row r="107" spans="2:16">
      <c r="B107" s="4">
        <v>7</v>
      </c>
      <c r="C107" s="4">
        <v>1.05</v>
      </c>
      <c r="D107" s="4">
        <v>71</v>
      </c>
      <c r="E107" s="4">
        <v>223</v>
      </c>
      <c r="F107" s="4">
        <f t="shared" si="6"/>
        <v>-0.5565149999999992</v>
      </c>
      <c r="M107" s="68">
        <v>1</v>
      </c>
      <c r="N107" s="68">
        <f t="shared" si="8"/>
        <v>0.91</v>
      </c>
      <c r="O107" s="68">
        <f t="shared" si="8"/>
        <v>74</v>
      </c>
      <c r="P107" s="68">
        <f t="shared" si="8"/>
        <v>260</v>
      </c>
    </row>
    <row r="108" spans="2:16">
      <c r="B108" s="4">
        <v>1</v>
      </c>
      <c r="C108" s="4">
        <v>1.06</v>
      </c>
      <c r="D108" s="4">
        <v>76</v>
      </c>
      <c r="E108" s="4">
        <v>245</v>
      </c>
      <c r="F108" s="4">
        <f t="shared" si="6"/>
        <v>-0.14489799999999953</v>
      </c>
      <c r="M108" s="68">
        <v>1</v>
      </c>
      <c r="N108" s="68">
        <f t="shared" ref="N108:P123" si="9">C101</f>
        <v>0.93</v>
      </c>
      <c r="O108" s="68">
        <f t="shared" si="9"/>
        <v>74</v>
      </c>
      <c r="P108" s="68">
        <f t="shared" si="9"/>
        <v>268</v>
      </c>
    </row>
    <row r="109" spans="2:16">
      <c r="B109" s="4">
        <v>2</v>
      </c>
      <c r="C109" s="4">
        <v>1.07</v>
      </c>
      <c r="D109" s="4">
        <v>72</v>
      </c>
      <c r="E109" s="4">
        <v>246</v>
      </c>
      <c r="F109" s="4">
        <f t="shared" si="6"/>
        <v>0.74431900000000084</v>
      </c>
      <c r="M109" s="68">
        <v>1</v>
      </c>
      <c r="N109" s="68">
        <f t="shared" si="9"/>
        <v>0.95</v>
      </c>
      <c r="O109" s="68">
        <f t="shared" si="9"/>
        <v>73</v>
      </c>
      <c r="P109" s="68">
        <f t="shared" si="9"/>
        <v>277</v>
      </c>
    </row>
    <row r="110" spans="2:16">
      <c r="B110" s="4">
        <v>2</v>
      </c>
      <c r="C110" s="4">
        <v>1.08</v>
      </c>
      <c r="D110" s="4">
        <v>66</v>
      </c>
      <c r="E110" s="4">
        <v>233</v>
      </c>
      <c r="F110" s="4">
        <f t="shared" si="6"/>
        <v>1.1647359999999995</v>
      </c>
      <c r="M110" s="68">
        <v>1</v>
      </c>
      <c r="N110" s="68">
        <f t="shared" si="9"/>
        <v>0.97</v>
      </c>
      <c r="O110" s="68">
        <f t="shared" si="9"/>
        <v>71</v>
      </c>
      <c r="P110" s="68">
        <f t="shared" si="9"/>
        <v>257</v>
      </c>
    </row>
    <row r="111" spans="2:16">
      <c r="B111" s="4">
        <v>2</v>
      </c>
      <c r="C111" s="4">
        <v>1.0900000000000001</v>
      </c>
      <c r="D111" s="4">
        <v>56</v>
      </c>
      <c r="E111" s="4">
        <v>211</v>
      </c>
      <c r="F111" s="4">
        <f t="shared" si="6"/>
        <v>1.817953000000001</v>
      </c>
      <c r="M111" s="68">
        <v>1</v>
      </c>
      <c r="N111" s="68">
        <f t="shared" si="9"/>
        <v>1</v>
      </c>
      <c r="O111" s="68">
        <f t="shared" si="9"/>
        <v>71</v>
      </c>
      <c r="P111" s="68">
        <f t="shared" si="9"/>
        <v>248</v>
      </c>
    </row>
    <row r="112" spans="2:16">
      <c r="B112" s="4">
        <v>1</v>
      </c>
      <c r="C112" s="4">
        <v>1.1000000000000001</v>
      </c>
      <c r="D112" s="4">
        <v>58</v>
      </c>
      <c r="E112" s="4">
        <v>208</v>
      </c>
      <c r="F112" s="4">
        <f t="shared" si="6"/>
        <v>1.2799700000000005</v>
      </c>
      <c r="M112" s="68">
        <v>1</v>
      </c>
      <c r="N112" s="68">
        <f t="shared" si="9"/>
        <v>1.02</v>
      </c>
      <c r="O112" s="68">
        <f t="shared" si="9"/>
        <v>70</v>
      </c>
      <c r="P112" s="68">
        <f t="shared" si="9"/>
        <v>244</v>
      </c>
    </row>
    <row r="113" spans="2:16">
      <c r="B113" s="4">
        <v>3</v>
      </c>
      <c r="C113" s="4">
        <v>1.1200000000000001</v>
      </c>
      <c r="D113" s="4">
        <v>55</v>
      </c>
      <c r="E113" s="4">
        <v>207</v>
      </c>
      <c r="F113" s="4">
        <f t="shared" si="6"/>
        <v>1.8896040000000003</v>
      </c>
      <c r="M113" s="68">
        <v>1</v>
      </c>
      <c r="N113" s="68">
        <f t="shared" si="9"/>
        <v>1.04</v>
      </c>
      <c r="O113" s="68">
        <f t="shared" si="9"/>
        <v>72</v>
      </c>
      <c r="P113" s="68">
        <f t="shared" si="9"/>
        <v>236</v>
      </c>
    </row>
    <row r="114" spans="2:16">
      <c r="B114" s="4">
        <v>0</v>
      </c>
      <c r="C114" s="4">
        <v>1.1200000000000001</v>
      </c>
      <c r="D114" s="4">
        <v>59</v>
      </c>
      <c r="E114" s="4">
        <v>210</v>
      </c>
      <c r="F114" s="4">
        <f t="shared" si="6"/>
        <v>1.2872039999999991</v>
      </c>
      <c r="M114" s="68">
        <v>1</v>
      </c>
      <c r="N114" s="68">
        <f t="shared" si="9"/>
        <v>1.05</v>
      </c>
      <c r="O114" s="68">
        <f t="shared" si="9"/>
        <v>71</v>
      </c>
      <c r="P114" s="68">
        <f t="shared" si="9"/>
        <v>223</v>
      </c>
    </row>
    <row r="115" spans="2:16">
      <c r="B115" s="4">
        <v>0</v>
      </c>
      <c r="C115" s="4">
        <v>1.1200000000000001</v>
      </c>
      <c r="D115" s="4">
        <v>58</v>
      </c>
      <c r="E115" s="4">
        <v>220</v>
      </c>
      <c r="F115" s="4">
        <f t="shared" si="6"/>
        <v>2.1000039999999984</v>
      </c>
      <c r="M115" s="68">
        <v>1</v>
      </c>
      <c r="N115" s="68">
        <f t="shared" si="9"/>
        <v>1.06</v>
      </c>
      <c r="O115" s="68">
        <f t="shared" si="9"/>
        <v>76</v>
      </c>
      <c r="P115" s="68">
        <f t="shared" si="9"/>
        <v>245</v>
      </c>
    </row>
    <row r="116" spans="2:16">
      <c r="B116" s="4">
        <v>1</v>
      </c>
      <c r="C116" s="4">
        <v>1.1100000000000001</v>
      </c>
      <c r="D116" s="4">
        <v>57</v>
      </c>
      <c r="E116" s="4">
        <v>239</v>
      </c>
      <c r="F116" s="4">
        <f t="shared" si="6"/>
        <v>3.4267869999999991</v>
      </c>
      <c r="M116" s="68">
        <v>1</v>
      </c>
      <c r="N116" s="68">
        <f t="shared" si="9"/>
        <v>1.07</v>
      </c>
      <c r="O116" s="68">
        <f t="shared" si="9"/>
        <v>72</v>
      </c>
      <c r="P116" s="68">
        <f t="shared" si="9"/>
        <v>246</v>
      </c>
    </row>
    <row r="117" spans="2:16">
      <c r="B117" s="4">
        <v>3</v>
      </c>
      <c r="C117" s="4">
        <v>1.1200000000000001</v>
      </c>
      <c r="D117" s="4">
        <v>52</v>
      </c>
      <c r="E117" s="4">
        <v>237</v>
      </c>
      <c r="F117" s="4">
        <f t="shared" si="6"/>
        <v>4.3280039999999982</v>
      </c>
      <c r="M117" s="68">
        <v>1</v>
      </c>
      <c r="N117" s="68">
        <f t="shared" si="9"/>
        <v>1.08</v>
      </c>
      <c r="O117" s="68">
        <f t="shared" si="9"/>
        <v>66</v>
      </c>
      <c r="P117" s="68">
        <f t="shared" si="9"/>
        <v>233</v>
      </c>
    </row>
    <row r="118" spans="2:16">
      <c r="B118" s="4">
        <v>1</v>
      </c>
      <c r="C118" s="4">
        <v>1.1299999999999999</v>
      </c>
      <c r="D118" s="4">
        <v>53</v>
      </c>
      <c r="E118" s="4">
        <v>233</v>
      </c>
      <c r="F118" s="4">
        <f t="shared" si="6"/>
        <v>3.9252209999999987</v>
      </c>
      <c r="M118" s="68">
        <v>1</v>
      </c>
      <c r="N118" s="68">
        <f t="shared" si="9"/>
        <v>1.0900000000000001</v>
      </c>
      <c r="O118" s="68">
        <f t="shared" si="9"/>
        <v>56</v>
      </c>
      <c r="P118" s="68">
        <f t="shared" si="9"/>
        <v>211</v>
      </c>
    </row>
    <row r="119" spans="2:16">
      <c r="B119" s="4">
        <v>0</v>
      </c>
      <c r="C119" s="4">
        <v>1.1399999999999999</v>
      </c>
      <c r="D119" s="4">
        <v>53</v>
      </c>
      <c r="E119" s="4">
        <v>233</v>
      </c>
      <c r="F119" s="4">
        <f t="shared" si="6"/>
        <v>3.9656379999999984</v>
      </c>
      <c r="M119" s="68">
        <v>1</v>
      </c>
      <c r="N119" s="68">
        <f t="shared" si="9"/>
        <v>1.1000000000000001</v>
      </c>
      <c r="O119" s="68">
        <f t="shared" si="9"/>
        <v>58</v>
      </c>
      <c r="P119" s="68">
        <f t="shared" si="9"/>
        <v>208</v>
      </c>
    </row>
    <row r="120" spans="2:16">
      <c r="B120" s="4">
        <v>1</v>
      </c>
      <c r="C120" s="4">
        <v>1.1599999999999999</v>
      </c>
      <c r="D120" s="4">
        <v>52</v>
      </c>
      <c r="E120" s="4">
        <v>246</v>
      </c>
      <c r="F120" s="4">
        <f t="shared" si="6"/>
        <v>5.0440719999999999</v>
      </c>
      <c r="M120" s="68">
        <v>1</v>
      </c>
      <c r="N120" s="68">
        <f t="shared" si="9"/>
        <v>1.1200000000000001</v>
      </c>
      <c r="O120" s="68">
        <f t="shared" si="9"/>
        <v>55</v>
      </c>
      <c r="P120" s="68">
        <f t="shared" si="9"/>
        <v>207</v>
      </c>
    </row>
    <row r="121" spans="2:16">
      <c r="B121" s="4">
        <v>0</v>
      </c>
      <c r="C121" s="4">
        <v>1.1599999999999999</v>
      </c>
      <c r="D121" s="4">
        <v>49</v>
      </c>
      <c r="E121" s="4">
        <v>244</v>
      </c>
      <c r="F121" s="4">
        <f t="shared" si="6"/>
        <v>5.5112719999999982</v>
      </c>
      <c r="M121" s="68">
        <v>1</v>
      </c>
      <c r="N121" s="68">
        <f t="shared" si="9"/>
        <v>1.1200000000000001</v>
      </c>
      <c r="O121" s="68">
        <f t="shared" si="9"/>
        <v>59</v>
      </c>
      <c r="P121" s="68">
        <f t="shared" si="9"/>
        <v>210</v>
      </c>
    </row>
    <row r="122" spans="2:16">
      <c r="B122" s="4">
        <v>0</v>
      </c>
      <c r="C122" s="4">
        <v>1.1599999999999999</v>
      </c>
      <c r="D122" s="4">
        <v>54</v>
      </c>
      <c r="E122" s="4">
        <v>271</v>
      </c>
      <c r="F122" s="4">
        <f t="shared" si="6"/>
        <v>6.1904719999999998</v>
      </c>
      <c r="M122" s="68">
        <v>1</v>
      </c>
      <c r="N122" s="68">
        <f t="shared" si="9"/>
        <v>1.1200000000000001</v>
      </c>
      <c r="O122" s="68">
        <f t="shared" si="9"/>
        <v>58</v>
      </c>
      <c r="P122" s="68">
        <f t="shared" si="9"/>
        <v>220</v>
      </c>
    </row>
    <row r="123" spans="2:16">
      <c r="B123" s="4">
        <v>2</v>
      </c>
      <c r="C123" s="4">
        <v>1.1599999999999999</v>
      </c>
      <c r="D123" s="4">
        <v>52</v>
      </c>
      <c r="E123" s="4">
        <v>283</v>
      </c>
      <c r="F123" s="4">
        <f t="shared" si="6"/>
        <v>7.3232719999999993</v>
      </c>
      <c r="M123" s="68">
        <v>1</v>
      </c>
      <c r="N123" s="68">
        <f t="shared" si="9"/>
        <v>1.1100000000000001</v>
      </c>
      <c r="O123" s="68">
        <f t="shared" si="9"/>
        <v>57</v>
      </c>
      <c r="P123" s="68">
        <f t="shared" si="9"/>
        <v>239</v>
      </c>
    </row>
    <row r="124" spans="2:16">
      <c r="M124" s="68">
        <v>1</v>
      </c>
      <c r="N124" s="68">
        <f t="shared" ref="N124:P130" si="10">C117</f>
        <v>1.1200000000000001</v>
      </c>
      <c r="O124" s="68">
        <f t="shared" si="10"/>
        <v>52</v>
      </c>
      <c r="P124" s="68">
        <f t="shared" si="10"/>
        <v>237</v>
      </c>
    </row>
    <row r="125" spans="2:16">
      <c r="M125" s="68">
        <v>1</v>
      </c>
      <c r="N125" s="68">
        <f t="shared" si="10"/>
        <v>1.1299999999999999</v>
      </c>
      <c r="O125" s="68">
        <f t="shared" si="10"/>
        <v>53</v>
      </c>
      <c r="P125" s="68">
        <f t="shared" si="10"/>
        <v>233</v>
      </c>
    </row>
    <row r="126" spans="2:16">
      <c r="M126" s="68">
        <v>1</v>
      </c>
      <c r="N126" s="68">
        <f t="shared" si="10"/>
        <v>1.1399999999999999</v>
      </c>
      <c r="O126" s="68">
        <f t="shared" si="10"/>
        <v>53</v>
      </c>
      <c r="P126" s="68">
        <f t="shared" si="10"/>
        <v>233</v>
      </c>
    </row>
    <row r="127" spans="2:16">
      <c r="M127" s="68">
        <v>1</v>
      </c>
      <c r="N127" s="68">
        <f t="shared" si="10"/>
        <v>1.1599999999999999</v>
      </c>
      <c r="O127" s="68">
        <f t="shared" si="10"/>
        <v>52</v>
      </c>
      <c r="P127" s="68">
        <f t="shared" si="10"/>
        <v>246</v>
      </c>
    </row>
    <row r="128" spans="2:16">
      <c r="M128" s="68">
        <v>1</v>
      </c>
      <c r="N128" s="68">
        <f t="shared" si="10"/>
        <v>1.1599999999999999</v>
      </c>
      <c r="O128" s="68">
        <f t="shared" si="10"/>
        <v>49</v>
      </c>
      <c r="P128" s="68">
        <f t="shared" si="10"/>
        <v>244</v>
      </c>
    </row>
    <row r="129" spans="5:34">
      <c r="M129" s="68">
        <v>1</v>
      </c>
      <c r="N129" s="68">
        <f t="shared" si="10"/>
        <v>1.1599999999999999</v>
      </c>
      <c r="O129" s="68">
        <f t="shared" si="10"/>
        <v>54</v>
      </c>
      <c r="P129" s="68">
        <f t="shared" si="10"/>
        <v>271</v>
      </c>
    </row>
    <row r="130" spans="5:34">
      <c r="M130" s="68">
        <v>1</v>
      </c>
      <c r="N130" s="68">
        <f t="shared" si="10"/>
        <v>1.1599999999999999</v>
      </c>
      <c r="O130" s="68">
        <f t="shared" si="10"/>
        <v>52</v>
      </c>
      <c r="P130" s="68">
        <f t="shared" si="10"/>
        <v>283</v>
      </c>
    </row>
    <row r="137" spans="5:34">
      <c r="Y137" s="68">
        <f t="array" ref="Y137:Y140">MMULT(U56:EJ59,B4:B123)</f>
        <v>4543</v>
      </c>
      <c r="AH137" s="68">
        <f t="array" ref="AH137:AH140">MMULT(P138:S141,Y137:Y140)</f>
        <v>-4.564284848740499</v>
      </c>
    </row>
    <row r="138" spans="5:34">
      <c r="E138" s="68">
        <f t="array" ref="E138:H141">MMULT(U56:EJ59,M11:P130)</f>
        <v>120</v>
      </c>
      <c r="F138" s="68">
        <v>99.889999999999986</v>
      </c>
      <c r="G138" s="68">
        <v>33704</v>
      </c>
      <c r="H138" s="68">
        <v>183826</v>
      </c>
      <c r="P138" s="68">
        <f t="array" ref="P138:S141">MINVERSE(E138:H141)</f>
        <v>1.6476850676046058</v>
      </c>
      <c r="Q138" s="68">
        <v>-1.4644917598710607</v>
      </c>
      <c r="R138" s="68">
        <v>-3.5585023300718256E-3</v>
      </c>
      <c r="S138" s="68">
        <v>3.7808382010002964E-4</v>
      </c>
      <c r="Y138" s="68">
        <v>2777.5099999999979</v>
      </c>
      <c r="AH138" s="68">
        <v>4.0417026631484987</v>
      </c>
    </row>
    <row r="139" spans="5:34">
      <c r="E139" s="68">
        <v>99.889999999999986</v>
      </c>
      <c r="F139" s="68">
        <v>88.893900000000031</v>
      </c>
      <c r="G139" s="68">
        <v>22146.890000000007</v>
      </c>
      <c r="H139" s="68">
        <v>117452.48000000003</v>
      </c>
      <c r="P139" s="68">
        <v>-1.4644917598710621</v>
      </c>
      <c r="Q139" s="68">
        <v>1.3214032039492378</v>
      </c>
      <c r="R139" s="68">
        <v>3.0604309819083873E-3</v>
      </c>
      <c r="S139" s="68">
        <v>-3.2315733722216585E-4</v>
      </c>
      <c r="Y139" s="68">
        <v>3273427</v>
      </c>
      <c r="AH139" s="68">
        <v>-0.19682896946155637</v>
      </c>
    </row>
    <row r="140" spans="5:34">
      <c r="E140" s="68">
        <v>33704</v>
      </c>
      <c r="F140" s="68">
        <v>22146.890000000007</v>
      </c>
      <c r="G140" s="68">
        <v>18548310</v>
      </c>
      <c r="H140" s="68">
        <v>113478976</v>
      </c>
      <c r="P140" s="68">
        <v>-3.5585023300717857E-3</v>
      </c>
      <c r="Q140" s="68">
        <v>3.0604309819083461E-3</v>
      </c>
      <c r="R140" s="68">
        <v>9.6256726652889317E-6</v>
      </c>
      <c r="S140" s="68">
        <v>-1.104902694314777E-6</v>
      </c>
      <c r="Y140" s="68">
        <v>21757452</v>
      </c>
      <c r="AH140" s="68">
        <v>6.1584934065689545E-2</v>
      </c>
    </row>
    <row r="141" spans="5:34">
      <c r="E141" s="68">
        <v>183826</v>
      </c>
      <c r="F141" s="68">
        <v>117452.48000000003</v>
      </c>
      <c r="G141" s="68">
        <v>113478976</v>
      </c>
      <c r="H141" s="68">
        <v>721892924</v>
      </c>
      <c r="P141" s="68">
        <v>3.780838201000246E-4</v>
      </c>
      <c r="Q141" s="68">
        <v>-3.2315733722216103E-4</v>
      </c>
      <c r="R141" s="68">
        <v>-1.1049026943147742E-6</v>
      </c>
      <c r="S141" s="68">
        <v>1.3137297451015543E-7</v>
      </c>
    </row>
    <row r="147" spans="1:17" ht="20.25">
      <c r="B147" s="83" t="str">
        <f>"𝑦 ̂="&amp;ROUND(AH137,4)&amp;"+"&amp;ROUND(AH138,4)&amp;"X1"&amp;"+"&amp;ROUND(AH139,4)&amp;"X2"&amp;"+"&amp;ROUND(AH140,4)&amp;"X3"</f>
        <v>𝑦 ̂=-4,5643+4,0417X1+-0,1968X2+0,0616X3</v>
      </c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</row>
    <row r="150" spans="1:17" ht="18.75" thickBot="1">
      <c r="M150" s="67" t="s">
        <v>73</v>
      </c>
      <c r="N150" s="68">
        <f>MMULT(U68:EJ68,B4:B123)</f>
        <v>696425</v>
      </c>
    </row>
    <row r="151" spans="1:17">
      <c r="A151" s="39" t="s">
        <v>81</v>
      </c>
      <c r="B151" s="41"/>
      <c r="C151" s="41"/>
      <c r="D151" s="41"/>
      <c r="E151" s="41"/>
      <c r="F151" s="42"/>
    </row>
    <row r="152" spans="1:17">
      <c r="A152" s="43"/>
      <c r="B152" s="14"/>
      <c r="C152" s="14"/>
      <c r="D152" s="14">
        <f>N150-(N152^2*N154)</f>
        <v>524434.59166666667</v>
      </c>
      <c r="E152" s="14"/>
      <c r="F152" s="45"/>
      <c r="M152" s="68" t="s">
        <v>74</v>
      </c>
      <c r="N152" s="68">
        <f>AVERAGE(B4:B123)</f>
        <v>37.858333333333334</v>
      </c>
    </row>
    <row r="153" spans="1:17">
      <c r="A153" s="43"/>
      <c r="B153" s="14"/>
      <c r="C153" s="14"/>
      <c r="D153" s="14"/>
      <c r="E153" s="14"/>
      <c r="F153" s="45"/>
    </row>
    <row r="154" spans="1:17">
      <c r="A154" s="43"/>
      <c r="B154" s="14"/>
      <c r="C154" s="14"/>
      <c r="D154" s="14">
        <f>ROUND(N158-(N154*N152^2),4)</f>
        <v>514125.89899999998</v>
      </c>
      <c r="E154" s="14"/>
      <c r="F154" s="45"/>
      <c r="M154" s="67" t="s">
        <v>19</v>
      </c>
      <c r="N154" s="68">
        <v>120</v>
      </c>
    </row>
    <row r="155" spans="1:17">
      <c r="A155" s="43"/>
      <c r="B155" s="14"/>
      <c r="C155" s="14"/>
      <c r="D155" s="14"/>
      <c r="E155" s="14"/>
      <c r="F155" s="45"/>
    </row>
    <row r="156" spans="1:17">
      <c r="A156" s="43"/>
      <c r="B156" s="14"/>
      <c r="C156" s="14"/>
      <c r="D156" s="14">
        <f>ROUND(N150-N158,4)</f>
        <v>10308.6927</v>
      </c>
      <c r="E156" s="14"/>
      <c r="F156" s="45"/>
      <c r="N156" s="68">
        <f t="array" ref="N156:Q156">TRANSPOSE(AH137:AH140)</f>
        <v>-4.564284848740499</v>
      </c>
      <c r="O156" s="68">
        <v>4.0417026631484987</v>
      </c>
      <c r="P156" s="68">
        <v>-0.19682896946155637</v>
      </c>
      <c r="Q156" s="68">
        <v>6.1584934065689545E-2</v>
      </c>
    </row>
    <row r="157" spans="1:17">
      <c r="A157" s="43"/>
      <c r="B157" s="14"/>
      <c r="C157" s="14"/>
      <c r="D157" s="14"/>
      <c r="E157" s="14"/>
      <c r="F157" s="45"/>
    </row>
    <row r="158" spans="1:17">
      <c r="A158" s="43"/>
      <c r="B158" s="14"/>
      <c r="C158" s="14"/>
      <c r="D158" s="14"/>
      <c r="E158" s="14"/>
      <c r="F158" s="45"/>
      <c r="N158" s="68">
        <f>MMULT(N156:Q156,Y137:Y140)</f>
        <v>686116.30733586464</v>
      </c>
    </row>
    <row r="159" spans="1:17">
      <c r="A159" s="43"/>
      <c r="B159" s="14"/>
      <c r="C159" s="14"/>
      <c r="D159" s="14">
        <f>D154/B171</f>
        <v>171375.29966666666</v>
      </c>
      <c r="E159" s="14"/>
      <c r="F159" s="45"/>
    </row>
    <row r="160" spans="1:17">
      <c r="A160" s="43"/>
      <c r="B160" s="14"/>
      <c r="C160" s="14"/>
      <c r="D160" s="14"/>
      <c r="E160" s="14"/>
      <c r="F160" s="45"/>
    </row>
    <row r="161" spans="1:6">
      <c r="A161" s="43"/>
      <c r="B161" s="14"/>
      <c r="C161" s="14"/>
      <c r="D161" s="14"/>
      <c r="E161" s="14"/>
      <c r="F161" s="45"/>
    </row>
    <row r="162" spans="1:6">
      <c r="A162" s="43"/>
      <c r="B162" s="14"/>
      <c r="C162" s="14"/>
      <c r="D162" s="14">
        <f>D156/(N154-(B171+1))</f>
        <v>88.868040517241383</v>
      </c>
      <c r="E162" s="14"/>
      <c r="F162" s="45"/>
    </row>
    <row r="163" spans="1:6">
      <c r="A163" s="43"/>
      <c r="B163" s="14"/>
      <c r="C163" s="14"/>
      <c r="D163" s="14"/>
      <c r="E163" s="14"/>
      <c r="F163" s="45"/>
    </row>
    <row r="164" spans="1:6">
      <c r="A164" s="43"/>
      <c r="B164" s="14"/>
      <c r="C164" s="14"/>
      <c r="D164" s="14"/>
      <c r="E164" s="14"/>
      <c r="F164" s="45"/>
    </row>
    <row r="165" spans="1:6">
      <c r="A165" s="43"/>
      <c r="B165" s="14"/>
      <c r="C165" s="14"/>
      <c r="D165" s="14">
        <f>D159/D162</f>
        <v>1928.4244219767393</v>
      </c>
      <c r="E165" s="14"/>
      <c r="F165" s="45"/>
    </row>
    <row r="166" spans="1:6">
      <c r="A166" s="43"/>
      <c r="B166" s="14"/>
      <c r="C166" s="14"/>
      <c r="D166" s="14"/>
      <c r="E166" s="14"/>
      <c r="F166" s="45"/>
    </row>
    <row r="167" spans="1:6">
      <c r="A167" s="43"/>
      <c r="B167" s="14"/>
      <c r="C167" s="14"/>
      <c r="D167" s="14"/>
      <c r="E167" s="14"/>
      <c r="F167" s="45"/>
    </row>
    <row r="168" spans="1:6">
      <c r="A168" s="43"/>
      <c r="B168" s="14"/>
      <c r="C168" s="14"/>
      <c r="D168" s="14"/>
      <c r="E168" s="14"/>
      <c r="F168" s="45"/>
    </row>
    <row r="169" spans="1:6" ht="13.5" thickBot="1">
      <c r="A169" s="43" t="s">
        <v>44</v>
      </c>
      <c r="B169" s="14"/>
      <c r="C169" s="14"/>
      <c r="D169" s="14"/>
      <c r="E169" s="14"/>
      <c r="F169" s="45"/>
    </row>
    <row r="170" spans="1:6">
      <c r="A170" s="56"/>
      <c r="B170" s="20" t="s">
        <v>48</v>
      </c>
      <c r="C170" s="20" t="s">
        <v>49</v>
      </c>
      <c r="D170" s="20" t="s">
        <v>50</v>
      </c>
      <c r="E170" s="20" t="s">
        <v>51</v>
      </c>
      <c r="F170" s="57"/>
    </row>
    <row r="171" spans="1:6">
      <c r="A171" s="58" t="s">
        <v>45</v>
      </c>
      <c r="B171" s="18">
        <v>3</v>
      </c>
      <c r="C171" s="18">
        <f>D154</f>
        <v>514125.89899999998</v>
      </c>
      <c r="D171" s="18">
        <f>D159</f>
        <v>171375.29966666666</v>
      </c>
      <c r="E171" s="18">
        <f>D171/D172</f>
        <v>1928.4244219767393</v>
      </c>
      <c r="F171" s="59"/>
    </row>
    <row r="172" spans="1:6">
      <c r="A172" s="58" t="s">
        <v>46</v>
      </c>
      <c r="B172" s="18">
        <v>116</v>
      </c>
      <c r="C172" s="18">
        <f>D156</f>
        <v>10308.6927</v>
      </c>
      <c r="D172" s="18">
        <f>D162</f>
        <v>88.868040517241383</v>
      </c>
      <c r="E172" s="18"/>
      <c r="F172" s="59"/>
    </row>
    <row r="173" spans="1:6" ht="13.5" thickBot="1">
      <c r="A173" s="60" t="s">
        <v>47</v>
      </c>
      <c r="B173" s="19">
        <v>119</v>
      </c>
      <c r="C173" s="19">
        <f>D152</f>
        <v>524434.59166666667</v>
      </c>
      <c r="D173" s="19"/>
      <c r="E173" s="19"/>
      <c r="F173" s="59"/>
    </row>
    <row r="174" spans="1:6" ht="13.5" thickBot="1">
      <c r="A174" s="47"/>
      <c r="B174" s="28"/>
      <c r="C174" s="28"/>
      <c r="D174" s="28"/>
      <c r="E174" s="28"/>
      <c r="F174" s="49"/>
    </row>
    <row r="175" spans="1:6" ht="13.5" thickBot="1"/>
    <row r="176" spans="1:6">
      <c r="A176" s="39" t="s">
        <v>75</v>
      </c>
      <c r="B176" s="41"/>
      <c r="C176" s="41"/>
      <c r="D176" s="41"/>
      <c r="E176" s="41"/>
      <c r="F176" s="42"/>
    </row>
    <row r="177" spans="1:10">
      <c r="A177" s="43"/>
      <c r="B177" s="14"/>
      <c r="C177" s="14"/>
      <c r="D177" s="14"/>
      <c r="E177" s="14"/>
      <c r="F177" s="45"/>
    </row>
    <row r="178" spans="1:10">
      <c r="A178" s="43"/>
      <c r="B178" s="14"/>
      <c r="C178" s="14"/>
      <c r="D178" s="14"/>
      <c r="E178" s="14"/>
      <c r="F178" s="45"/>
    </row>
    <row r="179" spans="1:10">
      <c r="A179" s="43"/>
      <c r="B179" s="14"/>
      <c r="C179" s="14"/>
      <c r="D179" s="14"/>
      <c r="E179" s="14"/>
      <c r="F179" s="45"/>
    </row>
    <row r="180" spans="1:10">
      <c r="A180" s="43"/>
      <c r="B180" s="14"/>
      <c r="C180" s="14"/>
      <c r="D180" s="14"/>
      <c r="E180" s="14"/>
      <c r="F180" s="45"/>
    </row>
    <row r="181" spans="1:10">
      <c r="A181" s="43"/>
      <c r="B181" s="14"/>
      <c r="C181" s="14"/>
      <c r="D181" s="14"/>
      <c r="E181" s="14"/>
      <c r="F181" s="45"/>
    </row>
    <row r="182" spans="1:10">
      <c r="A182" s="43"/>
      <c r="B182" s="14"/>
      <c r="C182" s="14"/>
      <c r="D182" s="14"/>
      <c r="E182" s="14"/>
      <c r="F182" s="45"/>
    </row>
    <row r="183" spans="1:10">
      <c r="A183" s="43"/>
      <c r="B183" s="14"/>
      <c r="C183" s="14"/>
      <c r="D183" s="14"/>
      <c r="E183" s="14"/>
      <c r="F183" s="45"/>
    </row>
    <row r="184" spans="1:10">
      <c r="A184" s="43"/>
      <c r="B184" s="14"/>
      <c r="C184" s="14"/>
      <c r="D184" s="14"/>
      <c r="E184" s="14"/>
      <c r="F184" s="45"/>
    </row>
    <row r="185" spans="1:10">
      <c r="A185" s="43"/>
      <c r="B185" s="14"/>
      <c r="C185" s="14"/>
      <c r="D185" s="14"/>
      <c r="E185" s="14"/>
      <c r="F185" s="45"/>
    </row>
    <row r="186" spans="1:10">
      <c r="A186" s="43"/>
      <c r="B186" s="29" t="s">
        <v>76</v>
      </c>
      <c r="C186" s="14">
        <f>D154/D152</f>
        <v>0.98034322519819794</v>
      </c>
      <c r="D186" s="14"/>
      <c r="E186" s="14"/>
      <c r="F186" s="45"/>
    </row>
    <row r="187" spans="1:10">
      <c r="A187" s="43"/>
      <c r="B187" s="29" t="s">
        <v>77</v>
      </c>
      <c r="C187" s="14">
        <f>1  -         (       (D156/(N154-B171+1))     /           (D152/(N154-1))              )</f>
        <v>0.98017664229679546</v>
      </c>
      <c r="D187" s="14"/>
      <c r="E187" s="14"/>
      <c r="F187" s="45"/>
    </row>
    <row r="188" spans="1:10" ht="13.5" thickBot="1">
      <c r="A188" s="47"/>
      <c r="B188" s="28"/>
      <c r="C188" s="28"/>
      <c r="D188" s="28"/>
      <c r="E188" s="28"/>
      <c r="F188" s="49"/>
    </row>
    <row r="189" spans="1:10" ht="13.5" thickBot="1"/>
    <row r="190" spans="1:10">
      <c r="A190" s="39" t="s">
        <v>79</v>
      </c>
      <c r="B190" s="41"/>
      <c r="C190" s="41"/>
      <c r="D190" s="41"/>
      <c r="E190" s="41"/>
      <c r="F190" s="41"/>
      <c r="G190" s="41"/>
      <c r="H190" s="41"/>
      <c r="I190" s="41"/>
      <c r="J190" s="42"/>
    </row>
    <row r="191" spans="1:10">
      <c r="A191" s="43"/>
      <c r="B191" s="14"/>
      <c r="C191" s="14"/>
      <c r="D191" s="14"/>
      <c r="E191" s="14"/>
      <c r="F191" s="14"/>
      <c r="G191" s="14"/>
      <c r="H191" s="14"/>
      <c r="I191" s="14"/>
      <c r="J191" s="45"/>
    </row>
    <row r="192" spans="1:10">
      <c r="A192" s="46" t="s">
        <v>80</v>
      </c>
      <c r="B192" s="14">
        <v>0.05</v>
      </c>
      <c r="C192" s="14"/>
      <c r="D192" s="14"/>
      <c r="E192" s="14"/>
      <c r="F192" s="14"/>
      <c r="G192" s="14"/>
      <c r="H192" s="14"/>
      <c r="I192" s="14"/>
      <c r="J192" s="45"/>
    </row>
    <row r="193" spans="1:37">
      <c r="A193" s="43"/>
      <c r="B193" s="14"/>
      <c r="C193" s="14"/>
      <c r="D193" s="14"/>
      <c r="E193" s="14"/>
      <c r="F193" s="14"/>
      <c r="G193" s="14"/>
      <c r="H193" s="14"/>
      <c r="I193" s="14"/>
      <c r="J193" s="45"/>
    </row>
    <row r="194" spans="1:37">
      <c r="A194" s="43" t="str">
        <f>"f(0,05);("&amp;B171&amp;","&amp;B172&amp;")="</f>
        <v>f(0,05);(3,116)=</v>
      </c>
      <c r="B194" s="29"/>
      <c r="C194" s="14">
        <f>ROUND(_xlfn.F.INV.RT(B192,B171,B172),4)</f>
        <v>2.6827999999999999</v>
      </c>
      <c r="D194" s="14"/>
      <c r="E194" s="14"/>
      <c r="F194" s="14"/>
      <c r="G194" s="14"/>
      <c r="H194" s="14"/>
      <c r="I194" s="14"/>
      <c r="J194" s="45"/>
    </row>
    <row r="195" spans="1:37">
      <c r="A195" s="43"/>
      <c r="B195" s="14"/>
      <c r="C195" s="14"/>
      <c r="D195" s="14"/>
      <c r="E195" s="14"/>
      <c r="F195" s="14"/>
      <c r="G195" s="14"/>
      <c r="H195" s="14"/>
      <c r="I195" s="14"/>
      <c r="J195" s="45"/>
    </row>
    <row r="196" spans="1:37">
      <c r="A196" s="43" t="str">
        <f>IF(C194&lt;=E171, "R: Como  " &amp;ROUND(C194,4) &amp;" &lt; "&amp;ROUND(E171,4)&amp;" o modelo é significativo","R: Como  " &amp;ROUND(C194,4) &amp;" &gt; "&amp;ROUND(E171,4)&amp;" o modelo não é significativo" )</f>
        <v>R: Como  2,6828 &lt; 1928,4244 o modelo é significativo</v>
      </c>
      <c r="B196" s="14"/>
      <c r="C196" s="14"/>
      <c r="D196" s="14"/>
      <c r="E196" s="14"/>
      <c r="F196" s="14"/>
      <c r="G196" s="14"/>
      <c r="H196" s="14"/>
      <c r="I196" s="14"/>
      <c r="J196" s="45"/>
    </row>
    <row r="197" spans="1:37" ht="13.5" thickBot="1">
      <c r="A197" s="47"/>
      <c r="B197" s="28"/>
      <c r="C197" s="28"/>
      <c r="D197" s="28"/>
      <c r="E197" s="28"/>
      <c r="F197" s="28"/>
      <c r="G197" s="28"/>
      <c r="H197" s="28"/>
      <c r="I197" s="28"/>
      <c r="J197" s="49"/>
    </row>
    <row r="200" spans="1:37" ht="13.5" thickBot="1"/>
    <row r="201" spans="1:37">
      <c r="A201" s="21" t="s">
        <v>78</v>
      </c>
      <c r="B201" s="39"/>
      <c r="C201" s="40" t="s">
        <v>61</v>
      </c>
      <c r="D201" s="41">
        <v>0.95</v>
      </c>
      <c r="E201" s="41"/>
      <c r="F201" s="41"/>
      <c r="G201" s="41"/>
      <c r="H201" s="41"/>
      <c r="I201" s="41"/>
      <c r="J201" s="41"/>
      <c r="K201" s="42"/>
      <c r="N201" s="39"/>
      <c r="O201" s="40" t="s">
        <v>61</v>
      </c>
      <c r="P201" s="41">
        <v>0.9</v>
      </c>
      <c r="Q201" s="41"/>
      <c r="R201" s="41"/>
      <c r="S201" s="41"/>
      <c r="T201" s="41"/>
      <c r="U201" s="41"/>
      <c r="V201" s="41"/>
      <c r="W201" s="42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</row>
    <row r="202" spans="1:37">
      <c r="A202" s="68" t="s">
        <v>82</v>
      </c>
      <c r="B202" s="43"/>
      <c r="C202" s="44" t="s">
        <v>62</v>
      </c>
      <c r="D202" s="14">
        <f>1-D201</f>
        <v>5.0000000000000044E-2</v>
      </c>
      <c r="E202" s="14"/>
      <c r="F202" s="14"/>
      <c r="G202" s="29" t="str">
        <f>A205&amp;"="</f>
        <v>β0=</v>
      </c>
      <c r="H202" s="14">
        <f>AH137</f>
        <v>-4.564284848740499</v>
      </c>
      <c r="I202" s="14"/>
      <c r="J202" s="14"/>
      <c r="K202" s="45"/>
      <c r="N202" s="43"/>
      <c r="O202" s="44" t="s">
        <v>62</v>
      </c>
      <c r="P202" s="14">
        <f>1-P201</f>
        <v>9.9999999999999978E-2</v>
      </c>
      <c r="Q202" s="14"/>
      <c r="R202" s="14"/>
      <c r="S202" s="29" t="str">
        <f>G202</f>
        <v>β0=</v>
      </c>
      <c r="T202" s="29">
        <f>H202</f>
        <v>-4.564284848740499</v>
      </c>
      <c r="U202" s="14"/>
      <c r="V202" s="14"/>
      <c r="W202" s="45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</row>
    <row r="203" spans="1:37">
      <c r="A203" s="21" t="s">
        <v>83</v>
      </c>
      <c r="B203" s="43"/>
      <c r="C203" s="14"/>
      <c r="D203" s="14">
        <f>ROUND(_xlfn.T.INV(1-D202/2,120-(6+1)),2)</f>
        <v>1.98</v>
      </c>
      <c r="E203" s="14"/>
      <c r="F203" s="14"/>
      <c r="G203" s="14"/>
      <c r="H203" s="14"/>
      <c r="I203" s="14"/>
      <c r="J203" s="14"/>
      <c r="K203" s="45"/>
      <c r="N203" s="43"/>
      <c r="O203" s="14"/>
      <c r="P203" s="14">
        <f>ROUND(_xlfn.T.INV(1-P202/2,120-(3+1)),2)</f>
        <v>1.66</v>
      </c>
      <c r="Q203" s="14"/>
      <c r="R203" s="14"/>
      <c r="S203" s="14"/>
      <c r="T203" s="14"/>
      <c r="U203" s="14"/>
      <c r="V203" s="14"/>
      <c r="W203" s="45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</row>
    <row r="204" spans="1:37">
      <c r="A204" s="68" t="s">
        <v>45</v>
      </c>
      <c r="B204" s="43"/>
      <c r="C204" s="14"/>
      <c r="D204" s="14"/>
      <c r="E204" s="14"/>
      <c r="F204" s="14"/>
      <c r="G204" s="67" t="s">
        <v>109</v>
      </c>
      <c r="H204" s="14">
        <f>SQRT(D205*D207)</f>
        <v>12.100683590092739</v>
      </c>
      <c r="I204" s="14"/>
      <c r="J204" s="14"/>
      <c r="K204" s="45"/>
      <c r="N204" s="43"/>
      <c r="O204" s="14"/>
      <c r="P204" s="14"/>
      <c r="Q204" s="14"/>
      <c r="R204" s="14"/>
      <c r="S204" s="76" t="s">
        <v>109</v>
      </c>
      <c r="T204" s="29">
        <f>H204</f>
        <v>12.100683590092739</v>
      </c>
      <c r="U204" s="14"/>
      <c r="V204" s="14"/>
      <c r="W204" s="45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</row>
    <row r="205" spans="1:37">
      <c r="A205" s="21" t="s">
        <v>84</v>
      </c>
      <c r="B205" s="43"/>
      <c r="C205" s="14"/>
      <c r="D205" s="14">
        <f>D162</f>
        <v>88.868040517241383</v>
      </c>
      <c r="E205" s="14"/>
      <c r="F205" s="14"/>
      <c r="G205" s="14"/>
      <c r="H205" s="14"/>
      <c r="I205" s="14"/>
      <c r="J205" s="14"/>
      <c r="K205" s="45"/>
      <c r="N205" s="43"/>
      <c r="O205" s="14"/>
      <c r="P205" s="14">
        <f>D205</f>
        <v>88.868040517241383</v>
      </c>
      <c r="Q205" s="14"/>
      <c r="R205" s="14"/>
      <c r="S205" s="14"/>
      <c r="T205" s="14"/>
      <c r="U205" s="14"/>
      <c r="V205" s="14"/>
      <c r="W205" s="45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</row>
    <row r="206" spans="1:37">
      <c r="B206" s="43"/>
      <c r="C206" s="14"/>
      <c r="D206" s="14"/>
      <c r="E206" s="14"/>
      <c r="F206" s="14"/>
      <c r="G206" s="14"/>
      <c r="H206" s="14"/>
      <c r="I206" s="14"/>
      <c r="J206" s="14"/>
      <c r="K206" s="45"/>
      <c r="N206" s="43"/>
      <c r="O206" s="14"/>
      <c r="P206" s="14"/>
      <c r="Q206" s="14"/>
      <c r="R206" s="14"/>
      <c r="S206" s="14"/>
      <c r="T206" s="14"/>
      <c r="U206" s="14"/>
      <c r="V206" s="14"/>
      <c r="W206" s="45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</row>
    <row r="207" spans="1:37">
      <c r="B207" s="43"/>
      <c r="C207" s="14"/>
      <c r="D207" s="14">
        <f>P138</f>
        <v>1.6476850676046058</v>
      </c>
      <c r="E207" s="14"/>
      <c r="F207" s="14"/>
      <c r="G207" s="14"/>
      <c r="H207" s="14"/>
      <c r="I207" s="14"/>
      <c r="J207" s="14"/>
      <c r="K207" s="45"/>
      <c r="N207" s="43"/>
      <c r="O207" s="14"/>
      <c r="P207" s="14">
        <f>D207</f>
        <v>1.6476850676046058</v>
      </c>
      <c r="Q207" s="14"/>
      <c r="R207" s="14"/>
      <c r="S207" s="14"/>
      <c r="T207" s="14"/>
      <c r="U207" s="14"/>
      <c r="V207" s="14"/>
      <c r="W207" s="45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</row>
    <row r="208" spans="1:37">
      <c r="B208" s="43"/>
      <c r="C208" s="14"/>
      <c r="D208" s="14"/>
      <c r="E208" s="14"/>
      <c r="F208" s="29" t="s">
        <v>67</v>
      </c>
      <c r="G208" s="14">
        <f>H202-D209</f>
        <v>-28.523638357124124</v>
      </c>
      <c r="H208" s="14"/>
      <c r="I208" s="14"/>
      <c r="J208" s="14"/>
      <c r="K208" s="45"/>
      <c r="N208" s="43"/>
      <c r="O208" s="14"/>
      <c r="P208" s="14"/>
      <c r="Q208" s="14"/>
      <c r="R208" s="29" t="s">
        <v>67</v>
      </c>
      <c r="S208" s="14">
        <f>T202-P209</f>
        <v>-24.651419608294447</v>
      </c>
      <c r="T208" s="14"/>
      <c r="U208" s="14"/>
      <c r="V208" s="14"/>
      <c r="W208" s="45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</row>
    <row r="209" spans="1:37" ht="13.5" thickBot="1">
      <c r="B209" s="47"/>
      <c r="C209" s="48" t="s">
        <v>60</v>
      </c>
      <c r="D209" s="28">
        <f>D203*SQRT(D205*D207)</f>
        <v>23.959353508383625</v>
      </c>
      <c r="E209" s="28"/>
      <c r="F209" s="48" t="s">
        <v>68</v>
      </c>
      <c r="G209" s="28">
        <f>H202+D209</f>
        <v>19.395068659643126</v>
      </c>
      <c r="H209" s="28"/>
      <c r="I209" s="28"/>
      <c r="J209" s="28"/>
      <c r="K209" s="49"/>
      <c r="N209" s="47"/>
      <c r="O209" s="48" t="s">
        <v>60</v>
      </c>
      <c r="P209" s="28">
        <f>P203*SQRT(P205*P207)</f>
        <v>20.087134759553948</v>
      </c>
      <c r="Q209" s="28"/>
      <c r="R209" s="48" t="s">
        <v>68</v>
      </c>
      <c r="S209" s="28">
        <f>T202+P209</f>
        <v>15.522849910813449</v>
      </c>
      <c r="T209" s="28"/>
      <c r="U209" s="28"/>
      <c r="V209" s="28"/>
      <c r="W209" s="49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</row>
    <row r="210" spans="1:37" ht="13.5" thickBot="1"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</row>
    <row r="211" spans="1:37">
      <c r="A211" s="21" t="s">
        <v>78</v>
      </c>
      <c r="B211" s="39"/>
      <c r="C211" s="40" t="s">
        <v>61</v>
      </c>
      <c r="D211" s="41">
        <v>0.95</v>
      </c>
      <c r="E211" s="41"/>
      <c r="F211" s="41"/>
      <c r="G211" s="41"/>
      <c r="H211" s="41"/>
      <c r="I211" s="41"/>
      <c r="J211" s="41"/>
      <c r="K211" s="42"/>
      <c r="N211" s="39"/>
      <c r="O211" s="40" t="s">
        <v>61</v>
      </c>
      <c r="P211" s="41">
        <v>0.9</v>
      </c>
      <c r="Q211" s="41"/>
      <c r="R211" s="41"/>
      <c r="S211" s="41"/>
      <c r="T211" s="41"/>
      <c r="U211" s="41"/>
      <c r="V211" s="41"/>
      <c r="W211" s="42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</row>
    <row r="212" spans="1:37">
      <c r="A212" s="68" t="s">
        <v>82</v>
      </c>
      <c r="B212" s="43"/>
      <c r="C212" s="44" t="s">
        <v>62</v>
      </c>
      <c r="D212" s="14">
        <f>1-D211</f>
        <v>5.0000000000000044E-2</v>
      </c>
      <c r="E212" s="14"/>
      <c r="F212" s="14"/>
      <c r="G212" s="29" t="str">
        <f>A215&amp;"="</f>
        <v>β1=</v>
      </c>
      <c r="H212" s="14">
        <f>AH138</f>
        <v>4.0417026631484987</v>
      </c>
      <c r="I212" s="14"/>
      <c r="J212" s="14"/>
      <c r="K212" s="45"/>
      <c r="N212" s="43"/>
      <c r="O212" s="44" t="s">
        <v>62</v>
      </c>
      <c r="P212" s="14">
        <f>1-P211</f>
        <v>9.9999999999999978E-2</v>
      </c>
      <c r="Q212" s="14"/>
      <c r="R212" s="14"/>
      <c r="S212" s="29" t="str">
        <f>G212</f>
        <v>β1=</v>
      </c>
      <c r="T212" s="29">
        <f>H212</f>
        <v>4.0417026631484987</v>
      </c>
      <c r="U212" s="14"/>
      <c r="V212" s="14"/>
      <c r="W212" s="45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</row>
    <row r="213" spans="1:37">
      <c r="A213" s="21" t="s">
        <v>83</v>
      </c>
      <c r="B213" s="43"/>
      <c r="C213" s="14"/>
      <c r="D213" s="14">
        <f>ROUND(_xlfn.T.INV(1-D212/2,120-(6+1)),2)</f>
        <v>1.98</v>
      </c>
      <c r="E213" s="14"/>
      <c r="F213" s="14"/>
      <c r="G213" s="14"/>
      <c r="H213" s="14"/>
      <c r="I213" s="14"/>
      <c r="J213" s="14"/>
      <c r="K213" s="45"/>
      <c r="N213" s="43"/>
      <c r="O213" s="14"/>
      <c r="P213" s="14">
        <f>ROUND(_xlfn.T.INV(1-P212/2,120-(3+1)),2)</f>
        <v>1.66</v>
      </c>
      <c r="Q213" s="14"/>
      <c r="R213" s="14"/>
      <c r="S213" s="14"/>
      <c r="T213" s="14"/>
      <c r="U213" s="14"/>
      <c r="V213" s="14"/>
      <c r="W213" s="45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</row>
    <row r="214" spans="1:37">
      <c r="A214" s="68" t="s">
        <v>45</v>
      </c>
      <c r="B214" s="43"/>
      <c r="C214" s="14"/>
      <c r="D214" s="14"/>
      <c r="E214" s="14"/>
      <c r="F214" s="14"/>
      <c r="G214" s="67" t="s">
        <v>109</v>
      </c>
      <c r="H214" s="14">
        <f>SQRT(D215*D217)</f>
        <v>10.836536045627009</v>
      </c>
      <c r="I214" s="14"/>
      <c r="J214" s="14"/>
      <c r="K214" s="45"/>
      <c r="N214" s="43"/>
      <c r="O214" s="14"/>
      <c r="P214" s="14"/>
      <c r="Q214" s="14"/>
      <c r="R214" s="14"/>
      <c r="S214" s="76" t="s">
        <v>109</v>
      </c>
      <c r="T214" s="29">
        <f>H214</f>
        <v>10.836536045627009</v>
      </c>
      <c r="U214" s="14"/>
      <c r="V214" s="14"/>
      <c r="W214" s="45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</row>
    <row r="215" spans="1:37">
      <c r="A215" s="21" t="s">
        <v>85</v>
      </c>
      <c r="B215" s="43"/>
      <c r="C215" s="14"/>
      <c r="D215" s="14">
        <f>D162</f>
        <v>88.868040517241383</v>
      </c>
      <c r="E215" s="14"/>
      <c r="F215" s="14"/>
      <c r="G215" s="14"/>
      <c r="H215" s="14"/>
      <c r="I215" s="14"/>
      <c r="J215" s="14"/>
      <c r="K215" s="45"/>
      <c r="N215" s="43"/>
      <c r="O215" s="14"/>
      <c r="P215" s="14">
        <f>D215</f>
        <v>88.868040517241383</v>
      </c>
      <c r="Q215" s="14"/>
      <c r="R215" s="14"/>
      <c r="S215" s="14"/>
      <c r="T215" s="14"/>
      <c r="U215" s="14"/>
      <c r="V215" s="14"/>
      <c r="W215" s="45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</row>
    <row r="216" spans="1:37">
      <c r="B216" s="43"/>
      <c r="C216" s="14"/>
      <c r="D216" s="14"/>
      <c r="E216" s="14"/>
      <c r="F216" s="14"/>
      <c r="G216" s="14"/>
      <c r="H216" s="14"/>
      <c r="I216" s="14"/>
      <c r="J216" s="14"/>
      <c r="K216" s="45"/>
      <c r="N216" s="43"/>
      <c r="O216" s="14"/>
      <c r="P216" s="14"/>
      <c r="Q216" s="14"/>
      <c r="R216" s="14"/>
      <c r="S216" s="14"/>
      <c r="T216" s="14"/>
      <c r="U216" s="14"/>
      <c r="V216" s="14"/>
      <c r="W216" s="45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</row>
    <row r="217" spans="1:37">
      <c r="B217" s="43"/>
      <c r="C217" s="14"/>
      <c r="D217" s="14">
        <f>Q139</f>
        <v>1.3214032039492378</v>
      </c>
      <c r="E217" s="14"/>
      <c r="F217" s="14"/>
      <c r="G217" s="14"/>
      <c r="H217" s="14"/>
      <c r="I217" s="14"/>
      <c r="J217" s="14"/>
      <c r="K217" s="45"/>
      <c r="N217" s="43"/>
      <c r="O217" s="14"/>
      <c r="P217" s="14">
        <f>D217</f>
        <v>1.3214032039492378</v>
      </c>
      <c r="Q217" s="14"/>
      <c r="R217" s="14"/>
      <c r="S217" s="14"/>
      <c r="T217" s="14"/>
      <c r="U217" s="14"/>
      <c r="V217" s="14"/>
      <c r="W217" s="45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</row>
    <row r="218" spans="1:37">
      <c r="B218" s="43"/>
      <c r="C218" s="14"/>
      <c r="D218" s="14"/>
      <c r="E218" s="14"/>
      <c r="F218" s="29" t="s">
        <v>67</v>
      </c>
      <c r="G218" s="14">
        <f>H212-D219</f>
        <v>-17.414638707192978</v>
      </c>
      <c r="H218" s="14"/>
      <c r="I218" s="14"/>
      <c r="J218" s="14"/>
      <c r="K218" s="45"/>
      <c r="N218" s="43"/>
      <c r="O218" s="14"/>
      <c r="P218" s="14"/>
      <c r="Q218" s="14"/>
      <c r="R218" s="29" t="s">
        <v>67</v>
      </c>
      <c r="S218" s="14">
        <f>T212-P219</f>
        <v>-13.946947172592335</v>
      </c>
      <c r="T218" s="14"/>
      <c r="U218" s="14"/>
      <c r="V218" s="14"/>
      <c r="W218" s="45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</row>
    <row r="219" spans="1:37" ht="13.5" thickBot="1">
      <c r="B219" s="47"/>
      <c r="C219" s="48" t="s">
        <v>60</v>
      </c>
      <c r="D219" s="28">
        <f>D213*SQRT(D215*D217)</f>
        <v>21.456341370341477</v>
      </c>
      <c r="E219" s="28"/>
      <c r="F219" s="48" t="s">
        <v>68</v>
      </c>
      <c r="G219" s="28">
        <f>H212+D219</f>
        <v>25.498044033489975</v>
      </c>
      <c r="H219" s="28"/>
      <c r="I219" s="28"/>
      <c r="J219" s="28"/>
      <c r="K219" s="49"/>
      <c r="N219" s="47"/>
      <c r="O219" s="48" t="s">
        <v>60</v>
      </c>
      <c r="P219" s="28">
        <f>P213*SQRT(P215*P217)</f>
        <v>17.988649835740834</v>
      </c>
      <c r="Q219" s="28"/>
      <c r="R219" s="48" t="s">
        <v>68</v>
      </c>
      <c r="S219" s="28">
        <f>T212+P219</f>
        <v>22.030352498889332</v>
      </c>
      <c r="T219" s="28"/>
      <c r="U219" s="28"/>
      <c r="V219" s="28"/>
      <c r="W219" s="49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</row>
    <row r="220" spans="1:37" ht="13.5" thickBot="1"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</row>
    <row r="221" spans="1:37">
      <c r="A221" s="21" t="s">
        <v>78</v>
      </c>
      <c r="B221" s="39"/>
      <c r="C221" s="40" t="s">
        <v>61</v>
      </c>
      <c r="D221" s="41">
        <v>0.95</v>
      </c>
      <c r="E221" s="41"/>
      <c r="F221" s="41"/>
      <c r="G221" s="41"/>
      <c r="H221" s="41"/>
      <c r="I221" s="41"/>
      <c r="J221" s="41"/>
      <c r="K221" s="42"/>
      <c r="N221" s="39"/>
      <c r="O221" s="40" t="s">
        <v>61</v>
      </c>
      <c r="P221" s="41">
        <v>0.9</v>
      </c>
      <c r="Q221" s="41"/>
      <c r="R221" s="41"/>
      <c r="S221" s="41"/>
      <c r="T221" s="41"/>
      <c r="U221" s="41"/>
      <c r="V221" s="41"/>
      <c r="W221" s="42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</row>
    <row r="222" spans="1:37">
      <c r="A222" s="68" t="s">
        <v>82</v>
      </c>
      <c r="B222" s="43"/>
      <c r="C222" s="44" t="s">
        <v>62</v>
      </c>
      <c r="D222" s="14">
        <f>1-D221</f>
        <v>5.0000000000000044E-2</v>
      </c>
      <c r="E222" s="14"/>
      <c r="F222" s="14"/>
      <c r="G222" s="29" t="str">
        <f>A225&amp;"="</f>
        <v>β2=</v>
      </c>
      <c r="H222" s="14">
        <f>AH139</f>
        <v>-0.19682896946155637</v>
      </c>
      <c r="I222" s="14"/>
      <c r="J222" s="14"/>
      <c r="K222" s="45"/>
      <c r="N222" s="43"/>
      <c r="O222" s="44" t="s">
        <v>62</v>
      </c>
      <c r="P222" s="14">
        <f>1-P221</f>
        <v>9.9999999999999978E-2</v>
      </c>
      <c r="Q222" s="14"/>
      <c r="R222" s="14"/>
      <c r="S222" s="29" t="str">
        <f>G222</f>
        <v>β2=</v>
      </c>
      <c r="T222" s="29">
        <f>H222</f>
        <v>-0.19682896946155637</v>
      </c>
      <c r="U222" s="14"/>
      <c r="V222" s="14"/>
      <c r="W222" s="45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</row>
    <row r="223" spans="1:37">
      <c r="A223" s="21" t="s">
        <v>83</v>
      </c>
      <c r="B223" s="43"/>
      <c r="C223" s="14"/>
      <c r="D223" s="14">
        <f>ROUND(_xlfn.T.INV(1-D222/2,120-(6+1)),2)</f>
        <v>1.98</v>
      </c>
      <c r="E223" s="14"/>
      <c r="F223" s="14"/>
      <c r="G223" s="14"/>
      <c r="H223" s="14"/>
      <c r="I223" s="14"/>
      <c r="J223" s="14"/>
      <c r="K223" s="45"/>
      <c r="N223" s="43"/>
      <c r="O223" s="14"/>
      <c r="P223" s="14">
        <f>ROUND(_xlfn.T.INV(1-P222/2,120-(3+1)),2)</f>
        <v>1.66</v>
      </c>
      <c r="Q223" s="14"/>
      <c r="R223" s="14"/>
      <c r="S223" s="14"/>
      <c r="T223" s="14"/>
      <c r="U223" s="14"/>
      <c r="V223" s="14"/>
      <c r="W223" s="45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</row>
    <row r="224" spans="1:37">
      <c r="A224" s="68" t="s">
        <v>45</v>
      </c>
      <c r="B224" s="43"/>
      <c r="C224" s="14"/>
      <c r="D224" s="14"/>
      <c r="E224" s="14"/>
      <c r="F224" s="14"/>
      <c r="G224" s="67" t="s">
        <v>109</v>
      </c>
      <c r="H224" s="14">
        <f>SQRT(D225*D227)</f>
        <v>2.9247472855352813E-2</v>
      </c>
      <c r="I224" s="14"/>
      <c r="J224" s="14"/>
      <c r="K224" s="45"/>
      <c r="N224" s="43"/>
      <c r="O224" s="14"/>
      <c r="P224" s="14"/>
      <c r="Q224" s="14"/>
      <c r="R224" s="14"/>
      <c r="S224" s="76" t="s">
        <v>109</v>
      </c>
      <c r="T224" s="29">
        <f>H224</f>
        <v>2.9247472855352813E-2</v>
      </c>
      <c r="U224" s="14"/>
      <c r="V224" s="14"/>
      <c r="W224" s="45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</row>
    <row r="225" spans="1:37">
      <c r="A225" s="21" t="s">
        <v>86</v>
      </c>
      <c r="B225" s="43"/>
      <c r="C225" s="14"/>
      <c r="D225" s="14">
        <f>D162</f>
        <v>88.868040517241383</v>
      </c>
      <c r="E225" s="14"/>
      <c r="F225" s="14"/>
      <c r="G225" s="14"/>
      <c r="H225" s="14"/>
      <c r="I225" s="14"/>
      <c r="J225" s="14"/>
      <c r="K225" s="45"/>
      <c r="N225" s="43"/>
      <c r="O225" s="14"/>
      <c r="P225" s="14">
        <f>D225</f>
        <v>88.868040517241383</v>
      </c>
      <c r="Q225" s="14"/>
      <c r="R225" s="14"/>
      <c r="S225" s="14"/>
      <c r="T225" s="14"/>
      <c r="U225" s="14"/>
      <c r="V225" s="14"/>
      <c r="W225" s="45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</row>
    <row r="226" spans="1:37">
      <c r="B226" s="43"/>
      <c r="C226" s="14"/>
      <c r="D226" s="14"/>
      <c r="E226" s="14"/>
      <c r="F226" s="14"/>
      <c r="G226" s="14"/>
      <c r="H226" s="14"/>
      <c r="I226" s="14"/>
      <c r="J226" s="14"/>
      <c r="K226" s="45"/>
      <c r="N226" s="43"/>
      <c r="O226" s="14"/>
      <c r="P226" s="14"/>
      <c r="Q226" s="14"/>
      <c r="R226" s="14"/>
      <c r="S226" s="14"/>
      <c r="T226" s="14"/>
      <c r="U226" s="14"/>
      <c r="V226" s="14"/>
      <c r="W226" s="45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</row>
    <row r="227" spans="1:37">
      <c r="B227" s="43"/>
      <c r="C227" s="14"/>
      <c r="D227" s="14">
        <f>R140</f>
        <v>9.6256726652889317E-6</v>
      </c>
      <c r="E227" s="14"/>
      <c r="F227" s="14"/>
      <c r="G227" s="14"/>
      <c r="H227" s="14"/>
      <c r="I227" s="14"/>
      <c r="J227" s="14"/>
      <c r="K227" s="45"/>
      <c r="N227" s="43"/>
      <c r="O227" s="14"/>
      <c r="P227" s="14">
        <f>D227</f>
        <v>9.6256726652889317E-6</v>
      </c>
      <c r="Q227" s="14"/>
      <c r="R227" s="14"/>
      <c r="S227" s="14"/>
      <c r="T227" s="14"/>
      <c r="U227" s="14"/>
      <c r="V227" s="14"/>
      <c r="W227" s="45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</row>
    <row r="228" spans="1:37">
      <c r="B228" s="43"/>
      <c r="C228" s="14"/>
      <c r="D228" s="14"/>
      <c r="E228" s="14"/>
      <c r="F228" s="29" t="s">
        <v>67</v>
      </c>
      <c r="G228" s="14">
        <f>H222-D229</f>
        <v>-0.25473896571515492</v>
      </c>
      <c r="H228" s="14"/>
      <c r="I228" s="14"/>
      <c r="J228" s="14"/>
      <c r="K228" s="45"/>
      <c r="N228" s="43"/>
      <c r="O228" s="14"/>
      <c r="P228" s="14"/>
      <c r="Q228" s="14"/>
      <c r="R228" s="29" t="s">
        <v>67</v>
      </c>
      <c r="S228" s="14">
        <f>T222-P229</f>
        <v>-0.24537977440144204</v>
      </c>
      <c r="T228" s="14"/>
      <c r="U228" s="14"/>
      <c r="V228" s="14"/>
      <c r="W228" s="45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</row>
    <row r="229" spans="1:37" ht="13.5" thickBot="1">
      <c r="B229" s="47"/>
      <c r="C229" s="48" t="s">
        <v>60</v>
      </c>
      <c r="D229" s="28">
        <f>D223*SQRT(D225*D227)</f>
        <v>5.7909996253598571E-2</v>
      </c>
      <c r="E229" s="28"/>
      <c r="F229" s="48" t="s">
        <v>68</v>
      </c>
      <c r="G229" s="28">
        <f>H222+D229</f>
        <v>-0.13891897320795779</v>
      </c>
      <c r="H229" s="28"/>
      <c r="I229" s="28"/>
      <c r="J229" s="28"/>
      <c r="K229" s="49"/>
      <c r="N229" s="47"/>
      <c r="O229" s="48" t="s">
        <v>60</v>
      </c>
      <c r="P229" s="28">
        <f>P223*SQRT(P225*P227)</f>
        <v>4.8550804939885665E-2</v>
      </c>
      <c r="Q229" s="28"/>
      <c r="R229" s="48" t="s">
        <v>68</v>
      </c>
      <c r="S229" s="28">
        <f>T222+P229</f>
        <v>-0.1482781645216707</v>
      </c>
      <c r="T229" s="28"/>
      <c r="U229" s="28"/>
      <c r="V229" s="28"/>
      <c r="W229" s="49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</row>
    <row r="230" spans="1:37" ht="13.5" thickBot="1"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</row>
    <row r="231" spans="1:37">
      <c r="A231" s="21" t="s">
        <v>78</v>
      </c>
      <c r="B231" s="39"/>
      <c r="C231" s="40" t="s">
        <v>61</v>
      </c>
      <c r="D231" s="41">
        <v>0.95</v>
      </c>
      <c r="E231" s="41"/>
      <c r="F231" s="41"/>
      <c r="G231" s="41"/>
      <c r="H231" s="41"/>
      <c r="I231" s="41"/>
      <c r="J231" s="41"/>
      <c r="K231" s="42"/>
      <c r="N231" s="39"/>
      <c r="O231" s="40" t="s">
        <v>61</v>
      </c>
      <c r="P231" s="41">
        <v>0.9</v>
      </c>
      <c r="Q231" s="41"/>
      <c r="R231" s="41"/>
      <c r="S231" s="41"/>
      <c r="T231" s="41"/>
      <c r="U231" s="41"/>
      <c r="V231" s="41"/>
      <c r="W231" s="42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</row>
    <row r="232" spans="1:37">
      <c r="A232" s="68" t="s">
        <v>82</v>
      </c>
      <c r="B232" s="43"/>
      <c r="C232" s="44" t="s">
        <v>62</v>
      </c>
      <c r="D232" s="14">
        <f>1-D231</f>
        <v>5.0000000000000044E-2</v>
      </c>
      <c r="E232" s="14"/>
      <c r="F232" s="14"/>
      <c r="G232" s="29" t="str">
        <f>A235&amp;"="</f>
        <v>β3=</v>
      </c>
      <c r="H232" s="14">
        <f>AH140</f>
        <v>6.1584934065689545E-2</v>
      </c>
      <c r="I232" s="14"/>
      <c r="J232" s="14"/>
      <c r="K232" s="45"/>
      <c r="N232" s="43"/>
      <c r="O232" s="44" t="s">
        <v>62</v>
      </c>
      <c r="P232" s="14">
        <f>1-P231</f>
        <v>9.9999999999999978E-2</v>
      </c>
      <c r="Q232" s="14"/>
      <c r="R232" s="14"/>
      <c r="S232" s="29" t="str">
        <f>G232</f>
        <v>β3=</v>
      </c>
      <c r="T232" s="29">
        <f>H232</f>
        <v>6.1584934065689545E-2</v>
      </c>
      <c r="U232" s="14"/>
      <c r="V232" s="14"/>
      <c r="W232" s="45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</row>
    <row r="233" spans="1:37">
      <c r="A233" s="21" t="s">
        <v>83</v>
      </c>
      <c r="B233" s="43"/>
      <c r="C233" s="14"/>
      <c r="D233" s="14">
        <f>ROUND(_xlfn.T.INV(1-D232/2,120-(6+1)),2)</f>
        <v>1.98</v>
      </c>
      <c r="E233" s="14"/>
      <c r="F233" s="14"/>
      <c r="G233" s="14"/>
      <c r="H233" s="14"/>
      <c r="I233" s="14"/>
      <c r="J233" s="14"/>
      <c r="K233" s="45"/>
      <c r="N233" s="43"/>
      <c r="O233" s="14"/>
      <c r="P233" s="14">
        <f>ROUND(_xlfn.T.INV(1-P232/2,120-(3+1)),2)</f>
        <v>1.66</v>
      </c>
      <c r="Q233" s="14"/>
      <c r="R233" s="14"/>
      <c r="S233" s="14"/>
      <c r="T233" s="14"/>
      <c r="U233" s="14"/>
      <c r="V233" s="14"/>
      <c r="W233" s="45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</row>
    <row r="234" spans="1:37">
      <c r="A234" s="68" t="s">
        <v>45</v>
      </c>
      <c r="B234" s="43"/>
      <c r="C234" s="14"/>
      <c r="D234" s="14"/>
      <c r="E234" s="14"/>
      <c r="F234" s="14"/>
      <c r="G234" s="67" t="s">
        <v>109</v>
      </c>
      <c r="H234" s="14">
        <f>SQRT(D235*D237)</f>
        <v>3.4168492535725089E-3</v>
      </c>
      <c r="I234" s="14"/>
      <c r="J234" s="14"/>
      <c r="K234" s="45"/>
      <c r="N234" s="43"/>
      <c r="O234" s="14"/>
      <c r="P234" s="14"/>
      <c r="Q234" s="14"/>
      <c r="R234" s="14"/>
      <c r="S234" s="76" t="s">
        <v>109</v>
      </c>
      <c r="T234" s="29">
        <f>H234</f>
        <v>3.4168492535725089E-3</v>
      </c>
      <c r="U234" s="14"/>
      <c r="V234" s="14"/>
      <c r="W234" s="45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</row>
    <row r="235" spans="1:37">
      <c r="A235" s="21" t="s">
        <v>87</v>
      </c>
      <c r="B235" s="43"/>
      <c r="C235" s="14"/>
      <c r="D235" s="14">
        <f>D162</f>
        <v>88.868040517241383</v>
      </c>
      <c r="E235" s="14"/>
      <c r="F235" s="14"/>
      <c r="G235" s="14"/>
      <c r="H235" s="14"/>
      <c r="I235" s="14"/>
      <c r="J235" s="14"/>
      <c r="K235" s="45"/>
      <c r="N235" s="43"/>
      <c r="O235" s="14"/>
      <c r="P235" s="14">
        <f>D235</f>
        <v>88.868040517241383</v>
      </c>
      <c r="Q235" s="14"/>
      <c r="R235" s="14"/>
      <c r="S235" s="14"/>
      <c r="T235" s="14"/>
      <c r="U235" s="14"/>
      <c r="V235" s="14"/>
      <c r="W235" s="45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</row>
    <row r="236" spans="1:37">
      <c r="B236" s="43"/>
      <c r="C236" s="14"/>
      <c r="D236" s="14"/>
      <c r="E236" s="14"/>
      <c r="F236" s="14"/>
      <c r="G236" s="14"/>
      <c r="H236" s="14"/>
      <c r="I236" s="14"/>
      <c r="J236" s="14"/>
      <c r="K236" s="45"/>
      <c r="N236" s="43"/>
      <c r="O236" s="14"/>
      <c r="P236" s="14"/>
      <c r="Q236" s="14"/>
      <c r="R236" s="14"/>
      <c r="S236" s="14"/>
      <c r="T236" s="14"/>
      <c r="U236" s="14"/>
      <c r="V236" s="14"/>
      <c r="W236" s="45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</row>
    <row r="237" spans="1:37">
      <c r="B237" s="43"/>
      <c r="C237" s="14"/>
      <c r="D237" s="14">
        <f>S141</f>
        <v>1.3137297451015543E-7</v>
      </c>
      <c r="E237" s="14"/>
      <c r="F237" s="14"/>
      <c r="G237" s="14"/>
      <c r="H237" s="14"/>
      <c r="I237" s="14"/>
      <c r="J237" s="14"/>
      <c r="K237" s="45"/>
      <c r="N237" s="43"/>
      <c r="O237" s="14"/>
      <c r="P237" s="14">
        <f>D237</f>
        <v>1.3137297451015543E-7</v>
      </c>
      <c r="Q237" s="14"/>
      <c r="R237" s="14"/>
      <c r="S237" s="14"/>
      <c r="T237" s="14"/>
      <c r="U237" s="14"/>
      <c r="V237" s="14"/>
      <c r="W237" s="45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</row>
    <row r="238" spans="1:37">
      <c r="B238" s="43"/>
      <c r="C238" s="14"/>
      <c r="D238" s="14"/>
      <c r="E238" s="14"/>
      <c r="F238" s="29" t="s">
        <v>67</v>
      </c>
      <c r="G238" s="14">
        <f>H232-D239</f>
        <v>5.4819572543615976E-2</v>
      </c>
      <c r="H238" s="14"/>
      <c r="I238" s="14"/>
      <c r="J238" s="14"/>
      <c r="K238" s="45"/>
      <c r="N238" s="43"/>
      <c r="O238" s="14"/>
      <c r="P238" s="14"/>
      <c r="Q238" s="14"/>
      <c r="R238" s="29" t="s">
        <v>67</v>
      </c>
      <c r="S238" s="14">
        <f>T232-P239</f>
        <v>5.5912964304759179E-2</v>
      </c>
      <c r="T238" s="14"/>
      <c r="U238" s="14"/>
      <c r="V238" s="14"/>
      <c r="W238" s="45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</row>
    <row r="239" spans="1:37" ht="13.5" thickBot="1">
      <c r="B239" s="47"/>
      <c r="C239" s="48" t="s">
        <v>60</v>
      </c>
      <c r="D239" s="28">
        <f>D233*SQRT(D235*D237)</f>
        <v>6.7653615220735677E-3</v>
      </c>
      <c r="E239" s="28"/>
      <c r="F239" s="48" t="s">
        <v>68</v>
      </c>
      <c r="G239" s="28">
        <f>H232+D239</f>
        <v>6.8350295587763107E-2</v>
      </c>
      <c r="H239" s="28"/>
      <c r="I239" s="28"/>
      <c r="J239" s="28"/>
      <c r="K239" s="49"/>
      <c r="N239" s="47"/>
      <c r="O239" s="48" t="s">
        <v>60</v>
      </c>
      <c r="P239" s="28">
        <f>P233*SQRT(P235*P237)</f>
        <v>5.6719697609303645E-3</v>
      </c>
      <c r="Q239" s="28"/>
      <c r="R239" s="48" t="s">
        <v>68</v>
      </c>
      <c r="S239" s="28">
        <f>T232+P239</f>
        <v>6.7256903826619904E-2</v>
      </c>
      <c r="T239" s="28"/>
      <c r="U239" s="28"/>
      <c r="V239" s="28"/>
      <c r="W239" s="49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</row>
    <row r="240" spans="1:37" ht="13.5" thickBot="1"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</row>
    <row r="241" spans="1:37">
      <c r="A241" s="21" t="s">
        <v>78</v>
      </c>
      <c r="B241" s="39"/>
      <c r="C241" s="40" t="s">
        <v>61</v>
      </c>
      <c r="D241" s="41">
        <v>0.95</v>
      </c>
      <c r="E241" s="41"/>
      <c r="F241" s="64" t="s">
        <v>95</v>
      </c>
      <c r="G241" s="41">
        <f>C4</f>
        <v>0.82</v>
      </c>
      <c r="H241" s="41"/>
      <c r="I241" s="41">
        <f>D162</f>
        <v>88.868040517241383</v>
      </c>
      <c r="J241" s="41"/>
      <c r="K241" s="42"/>
      <c r="N241" s="39"/>
      <c r="O241" s="40" t="s">
        <v>61</v>
      </c>
      <c r="P241" s="41">
        <v>0.9</v>
      </c>
      <c r="Q241" s="41"/>
      <c r="R241" s="64" t="s">
        <v>95</v>
      </c>
      <c r="S241" s="41">
        <f>G241</f>
        <v>0.82</v>
      </c>
      <c r="T241" s="41"/>
      <c r="U241" s="41">
        <f>I241</f>
        <v>88.868040517241383</v>
      </c>
      <c r="V241" s="41"/>
      <c r="W241" s="42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</row>
    <row r="242" spans="1:37">
      <c r="A242" s="21" t="s">
        <v>91</v>
      </c>
      <c r="B242" s="43"/>
      <c r="C242" s="44" t="s">
        <v>62</v>
      </c>
      <c r="D242" s="14">
        <f>1-D241</f>
        <v>5.0000000000000044E-2</v>
      </c>
      <c r="E242" s="14"/>
      <c r="F242" s="29" t="s">
        <v>96</v>
      </c>
      <c r="G242" s="14">
        <f>D4</f>
        <v>865</v>
      </c>
      <c r="H242" s="14"/>
      <c r="I242" s="14"/>
      <c r="J242" s="14"/>
      <c r="K242" s="45"/>
      <c r="N242" s="43"/>
      <c r="O242" s="44" t="s">
        <v>62</v>
      </c>
      <c r="P242" s="14">
        <f>1-P241</f>
        <v>9.9999999999999978E-2</v>
      </c>
      <c r="Q242" s="14"/>
      <c r="R242" s="29" t="s">
        <v>96</v>
      </c>
      <c r="S242" s="14">
        <f>G242</f>
        <v>865</v>
      </c>
      <c r="T242" s="14"/>
      <c r="U242" s="14"/>
      <c r="V242" s="14"/>
      <c r="W242" s="45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</row>
    <row r="243" spans="1:37">
      <c r="A243" s="21" t="s">
        <v>92</v>
      </c>
      <c r="B243" s="43"/>
      <c r="C243" s="14"/>
      <c r="D243" s="14">
        <f>ROUND(_xlfn.T.INV(1-D242/2,120-(6+1)),2)</f>
        <v>1.98</v>
      </c>
      <c r="E243" s="14"/>
      <c r="F243" s="29" t="s">
        <v>97</v>
      </c>
      <c r="G243" s="14">
        <f>E4</f>
        <v>6869</v>
      </c>
      <c r="H243" s="14"/>
      <c r="I243" s="14"/>
      <c r="J243" s="14"/>
      <c r="K243" s="45"/>
      <c r="N243" s="43"/>
      <c r="O243" s="14"/>
      <c r="P243" s="14">
        <f>ROUND(_xlfn.T.INV(1-P242/2,120-(3+1)),2)</f>
        <v>1.66</v>
      </c>
      <c r="Q243" s="14"/>
      <c r="R243" s="29" t="s">
        <v>97</v>
      </c>
      <c r="S243" s="14">
        <f>G243</f>
        <v>6869</v>
      </c>
      <c r="T243" s="14"/>
      <c r="U243" s="14"/>
      <c r="V243" s="14"/>
      <c r="W243" s="45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</row>
    <row r="244" spans="1:37">
      <c r="A244" s="21" t="s">
        <v>93</v>
      </c>
      <c r="B244" s="43"/>
      <c r="C244" s="14"/>
      <c r="D244" s="14"/>
      <c r="E244" s="14"/>
      <c r="F244" s="14"/>
      <c r="G244" s="14"/>
      <c r="H244" s="14"/>
      <c r="I244" s="14"/>
      <c r="J244" s="14">
        <f>D245</f>
        <v>1</v>
      </c>
      <c r="K244" s="45"/>
      <c r="N244" s="43"/>
      <c r="O244" s="14"/>
      <c r="P244" s="14"/>
      <c r="Q244" s="14"/>
      <c r="R244" s="14"/>
      <c r="S244" s="14"/>
      <c r="T244" s="14"/>
      <c r="U244" s="14"/>
      <c r="V244" s="14">
        <f>P245</f>
        <v>1</v>
      </c>
      <c r="W244" s="45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</row>
    <row r="245" spans="1:37">
      <c r="A245" s="21" t="s">
        <v>94</v>
      </c>
      <c r="B245" s="43"/>
      <c r="C245" s="14"/>
      <c r="D245" s="14">
        <v>1</v>
      </c>
      <c r="E245" s="14">
        <f>G241</f>
        <v>0.82</v>
      </c>
      <c r="F245" s="14">
        <f>G242</f>
        <v>865</v>
      </c>
      <c r="G245" s="14">
        <f>G243</f>
        <v>6869</v>
      </c>
      <c r="H245" s="14"/>
      <c r="I245" s="14"/>
      <c r="J245" s="14">
        <f>E245</f>
        <v>0.82</v>
      </c>
      <c r="K245" s="45"/>
      <c r="N245" s="43"/>
      <c r="O245" s="14"/>
      <c r="P245" s="14">
        <v>1</v>
      </c>
      <c r="Q245" s="14">
        <f>S241</f>
        <v>0.82</v>
      </c>
      <c r="R245" s="14">
        <f>S242</f>
        <v>865</v>
      </c>
      <c r="S245" s="14">
        <f>S243</f>
        <v>6869</v>
      </c>
      <c r="T245" s="14"/>
      <c r="U245" s="14"/>
      <c r="V245" s="14">
        <f>Q245</f>
        <v>0.82</v>
      </c>
      <c r="W245" s="45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</row>
    <row r="246" spans="1:37">
      <c r="B246" s="43"/>
      <c r="C246" s="14"/>
      <c r="D246" s="14"/>
      <c r="E246" s="14"/>
      <c r="F246" s="14"/>
      <c r="G246" s="14"/>
      <c r="H246" s="14"/>
      <c r="I246" s="14"/>
      <c r="J246" s="14">
        <f>F245</f>
        <v>865</v>
      </c>
      <c r="K246" s="45"/>
      <c r="N246" s="43"/>
      <c r="O246" s="14"/>
      <c r="P246" s="14"/>
      <c r="Q246" s="14"/>
      <c r="R246" s="14"/>
      <c r="S246" s="14"/>
      <c r="T246" s="14"/>
      <c r="U246" s="14"/>
      <c r="V246" s="14">
        <f>R245</f>
        <v>865</v>
      </c>
      <c r="W246" s="45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</row>
    <row r="247" spans="1:37">
      <c r="B247" s="43"/>
      <c r="C247" s="14"/>
      <c r="D247" s="14">
        <f>ROUND(MMULT(D245:G245,AH137:AH140),4)</f>
        <v>251.5198</v>
      </c>
      <c r="E247" s="14"/>
      <c r="F247" s="14"/>
      <c r="G247" s="14"/>
      <c r="H247" s="14"/>
      <c r="I247" s="14"/>
      <c r="J247" s="14">
        <f>G245</f>
        <v>6869</v>
      </c>
      <c r="K247" s="45"/>
      <c r="N247" s="43"/>
      <c r="O247" s="14"/>
      <c r="P247" s="14">
        <f>D247</f>
        <v>251.5198</v>
      </c>
      <c r="Q247" s="14"/>
      <c r="R247" s="14"/>
      <c r="S247" s="14"/>
      <c r="T247" s="14"/>
      <c r="U247" s="14"/>
      <c r="V247" s="14">
        <f>S245</f>
        <v>6869</v>
      </c>
      <c r="W247" s="45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</row>
    <row r="248" spans="1:37">
      <c r="B248" s="43"/>
      <c r="C248" s="14"/>
      <c r="D248" s="14"/>
      <c r="E248" s="14"/>
      <c r="F248" s="14"/>
      <c r="G248" s="14"/>
      <c r="H248" s="14"/>
      <c r="I248" s="14"/>
      <c r="J248" s="14"/>
      <c r="K248" s="45"/>
      <c r="N248" s="43"/>
      <c r="O248" s="14"/>
      <c r="P248" s="14"/>
      <c r="Q248" s="14"/>
      <c r="R248" s="14"/>
      <c r="S248" s="14"/>
      <c r="T248" s="14"/>
      <c r="U248" s="14"/>
      <c r="V248" s="14"/>
      <c r="W248" s="45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</row>
    <row r="249" spans="1:37">
      <c r="B249" s="43"/>
      <c r="C249" s="14"/>
      <c r="D249" s="14">
        <f>MMULT(MMULT(D245:G245,P138:S141),J244:J247)</f>
        <v>0.14423847402306045</v>
      </c>
      <c r="E249" s="14"/>
      <c r="F249" s="14"/>
      <c r="G249" s="14"/>
      <c r="H249" s="14"/>
      <c r="I249" s="14"/>
      <c r="J249" s="14"/>
      <c r="K249" s="45"/>
      <c r="N249" s="43"/>
      <c r="O249" s="14"/>
      <c r="P249" s="14">
        <f>D249</f>
        <v>0.14423847402306045</v>
      </c>
      <c r="Q249" s="14"/>
      <c r="R249" s="14"/>
      <c r="S249" s="14"/>
      <c r="T249" s="14"/>
      <c r="U249" s="14"/>
      <c r="V249" s="14"/>
      <c r="W249" s="45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</row>
    <row r="250" spans="1:37">
      <c r="B250" s="43"/>
      <c r="C250" s="14"/>
      <c r="D250" s="14"/>
      <c r="E250" s="14"/>
      <c r="F250" s="14"/>
      <c r="G250" s="14"/>
      <c r="H250" s="14"/>
      <c r="I250" s="14"/>
      <c r="J250" s="14"/>
      <c r="K250" s="45"/>
      <c r="N250" s="43"/>
      <c r="O250" s="14"/>
      <c r="P250" s="14"/>
      <c r="Q250" s="14"/>
      <c r="R250" s="14"/>
      <c r="S250" s="14"/>
      <c r="T250" s="14"/>
      <c r="U250" s="14"/>
      <c r="V250" s="14"/>
      <c r="W250" s="45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</row>
    <row r="251" spans="1:37">
      <c r="B251" s="43"/>
      <c r="C251" s="14"/>
      <c r="D251" s="14">
        <f>I241*D249</f>
        <v>12.818190553626405</v>
      </c>
      <c r="E251" s="14"/>
      <c r="F251" s="14"/>
      <c r="G251" s="14"/>
      <c r="H251" s="14"/>
      <c r="I251" s="14"/>
      <c r="J251" s="14"/>
      <c r="K251" s="45"/>
      <c r="N251" s="43"/>
      <c r="O251" s="14"/>
      <c r="P251" s="14">
        <f>U241*P249</f>
        <v>12.818190553626405</v>
      </c>
      <c r="Q251" s="14"/>
      <c r="R251" s="14"/>
      <c r="S251" s="14"/>
      <c r="T251" s="14"/>
      <c r="U251" s="14"/>
      <c r="V251" s="14"/>
      <c r="W251" s="45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</row>
    <row r="252" spans="1:37" ht="15.75">
      <c r="B252" s="43"/>
      <c r="C252" s="14"/>
      <c r="D252" s="14"/>
      <c r="E252" s="14"/>
      <c r="F252" s="29" t="s">
        <v>67</v>
      </c>
      <c r="G252" s="14">
        <f>D247-D253</f>
        <v>244.43090000000001</v>
      </c>
      <c r="H252" s="14"/>
      <c r="I252" s="68" t="s">
        <v>98</v>
      </c>
      <c r="J252" s="65" t="str">
        <f>"]"&amp;G252&amp;";"&amp;G253&amp;"["</f>
        <v>]244,4309;258,6087[</v>
      </c>
      <c r="K252" s="45"/>
      <c r="N252" s="43"/>
      <c r="O252" s="14"/>
      <c r="P252" s="14"/>
      <c r="Q252" s="14"/>
      <c r="R252" s="29" t="s">
        <v>67</v>
      </c>
      <c r="S252" s="14">
        <f>P247-P253</f>
        <v>245.57660000000001</v>
      </c>
      <c r="T252" s="14"/>
      <c r="U252" s="77" t="s">
        <v>139</v>
      </c>
      <c r="V252" s="65" t="str">
        <f>"]"&amp;S252&amp;";"&amp;S253&amp;"["</f>
        <v>]245,5766;257,463[</v>
      </c>
      <c r="W252" s="45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</row>
    <row r="253" spans="1:37" ht="13.5" thickBot="1">
      <c r="B253" s="47"/>
      <c r="C253" s="48" t="s">
        <v>60</v>
      </c>
      <c r="D253" s="28">
        <f>ROUND(D243*SQRT(D251),4)</f>
        <v>7.0888999999999998</v>
      </c>
      <c r="E253" s="28"/>
      <c r="F253" s="48" t="s">
        <v>68</v>
      </c>
      <c r="G253" s="28">
        <f>D247+D253</f>
        <v>258.6087</v>
      </c>
      <c r="H253" s="28"/>
      <c r="I253" s="28"/>
      <c r="J253" s="28"/>
      <c r="K253" s="49"/>
      <c r="N253" s="47"/>
      <c r="O253" s="48" t="s">
        <v>60</v>
      </c>
      <c r="P253" s="28">
        <f>ROUND(P243*SQRT(P251),4)</f>
        <v>5.9432</v>
      </c>
      <c r="Q253" s="28"/>
      <c r="R253" s="48" t="s">
        <v>68</v>
      </c>
      <c r="S253" s="28">
        <f>P247+P253</f>
        <v>257.46300000000002</v>
      </c>
      <c r="T253" s="28"/>
      <c r="U253" s="28"/>
      <c r="V253" s="28"/>
      <c r="W253" s="49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</row>
    <row r="254" spans="1:37" ht="13.5" thickBot="1"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</row>
    <row r="255" spans="1:37">
      <c r="A255" s="21" t="s">
        <v>78</v>
      </c>
      <c r="B255" s="39"/>
      <c r="C255" s="40" t="s">
        <v>61</v>
      </c>
      <c r="D255" s="41">
        <v>0.95</v>
      </c>
      <c r="E255" s="41"/>
      <c r="F255" s="64" t="s">
        <v>95</v>
      </c>
      <c r="G255" s="41">
        <f>C4</f>
        <v>0.82</v>
      </c>
      <c r="H255" s="41"/>
      <c r="I255" s="41">
        <f>D162</f>
        <v>88.868040517241383</v>
      </c>
      <c r="J255" s="41"/>
      <c r="K255" s="42"/>
      <c r="N255" s="39"/>
      <c r="O255" s="40" t="s">
        <v>61</v>
      </c>
      <c r="P255" s="41">
        <v>0.9</v>
      </c>
      <c r="Q255" s="41"/>
      <c r="R255" s="64" t="s">
        <v>95</v>
      </c>
      <c r="S255" s="41">
        <f>G255</f>
        <v>0.82</v>
      </c>
      <c r="T255" s="41"/>
      <c r="U255" s="41">
        <f>I255</f>
        <v>88.868040517241383</v>
      </c>
      <c r="V255" s="41"/>
      <c r="W255" s="42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</row>
    <row r="256" spans="1:37">
      <c r="A256" s="21" t="s">
        <v>99</v>
      </c>
      <c r="B256" s="43"/>
      <c r="C256" s="44" t="s">
        <v>62</v>
      </c>
      <c r="D256" s="14">
        <f>1-D255</f>
        <v>5.0000000000000044E-2</v>
      </c>
      <c r="E256" s="14"/>
      <c r="F256" s="29" t="s">
        <v>96</v>
      </c>
      <c r="G256" s="14">
        <f>D4</f>
        <v>865</v>
      </c>
      <c r="H256" s="14"/>
      <c r="I256" s="14"/>
      <c r="J256" s="14"/>
      <c r="K256" s="45"/>
      <c r="N256" s="43"/>
      <c r="O256" s="44" t="s">
        <v>62</v>
      </c>
      <c r="P256" s="14">
        <f>1-P255</f>
        <v>9.9999999999999978E-2</v>
      </c>
      <c r="Q256" s="14"/>
      <c r="R256" s="29" t="s">
        <v>96</v>
      </c>
      <c r="S256" s="14">
        <f>G256</f>
        <v>865</v>
      </c>
      <c r="T256" s="14"/>
      <c r="U256" s="14"/>
      <c r="V256" s="14"/>
      <c r="W256" s="45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</row>
    <row r="257" spans="1:37">
      <c r="A257" s="21" t="s">
        <v>100</v>
      </c>
      <c r="B257" s="43"/>
      <c r="C257" s="14"/>
      <c r="D257" s="14">
        <f>ROUND(_xlfn.T.INV(1-D256/2,120-(6+1)),2)</f>
        <v>1.98</v>
      </c>
      <c r="E257" s="14"/>
      <c r="F257" s="29" t="s">
        <v>97</v>
      </c>
      <c r="G257" s="14">
        <f>E4</f>
        <v>6869</v>
      </c>
      <c r="H257" s="14"/>
      <c r="I257" s="14"/>
      <c r="J257" s="14"/>
      <c r="K257" s="45"/>
      <c r="N257" s="43"/>
      <c r="O257" s="14"/>
      <c r="P257" s="14">
        <f>ROUND(_xlfn.T.INV(1-P256/2,120-(3+1)),2)</f>
        <v>1.66</v>
      </c>
      <c r="Q257" s="14"/>
      <c r="R257" s="29" t="s">
        <v>97</v>
      </c>
      <c r="S257" s="14">
        <f>G257</f>
        <v>6869</v>
      </c>
      <c r="T257" s="14"/>
      <c r="U257" s="14"/>
      <c r="V257" s="14"/>
      <c r="W257" s="45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</row>
    <row r="258" spans="1:37">
      <c r="A258" s="21" t="s">
        <v>101</v>
      </c>
      <c r="B258" s="43"/>
      <c r="C258" s="14"/>
      <c r="D258" s="14"/>
      <c r="E258" s="14"/>
      <c r="F258" s="14"/>
      <c r="G258" s="14"/>
      <c r="H258" s="14"/>
      <c r="I258" s="14"/>
      <c r="J258" s="14">
        <f>D259</f>
        <v>1</v>
      </c>
      <c r="K258" s="45"/>
      <c r="N258" s="43"/>
      <c r="O258" s="14"/>
      <c r="P258" s="14"/>
      <c r="Q258" s="14"/>
      <c r="R258" s="14"/>
      <c r="S258" s="14"/>
      <c r="T258" s="14"/>
      <c r="U258" s="14"/>
      <c r="V258" s="14">
        <f>P259</f>
        <v>1</v>
      </c>
      <c r="W258" s="45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</row>
    <row r="259" spans="1:37">
      <c r="A259" s="21" t="s">
        <v>102</v>
      </c>
      <c r="B259" s="43"/>
      <c r="C259" s="14"/>
      <c r="D259" s="14">
        <v>1</v>
      </c>
      <c r="E259" s="14">
        <f>G255</f>
        <v>0.82</v>
      </c>
      <c r="F259" s="14">
        <f>G256</f>
        <v>865</v>
      </c>
      <c r="G259" s="14">
        <f>G257</f>
        <v>6869</v>
      </c>
      <c r="H259" s="14"/>
      <c r="I259" s="14"/>
      <c r="J259" s="14">
        <f>E259</f>
        <v>0.82</v>
      </c>
      <c r="K259" s="45"/>
      <c r="N259" s="43"/>
      <c r="O259" s="14"/>
      <c r="P259" s="14">
        <v>1</v>
      </c>
      <c r="Q259" s="14">
        <f>S255</f>
        <v>0.82</v>
      </c>
      <c r="R259" s="14">
        <f>S256</f>
        <v>865</v>
      </c>
      <c r="S259" s="14">
        <f>S257</f>
        <v>6869</v>
      </c>
      <c r="T259" s="14"/>
      <c r="U259" s="14"/>
      <c r="V259" s="14">
        <f>Q259</f>
        <v>0.82</v>
      </c>
      <c r="W259" s="45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</row>
    <row r="260" spans="1:37">
      <c r="A260" s="21" t="s">
        <v>94</v>
      </c>
      <c r="B260" s="43"/>
      <c r="C260" s="14"/>
      <c r="D260" s="14"/>
      <c r="E260" s="14"/>
      <c r="F260" s="14"/>
      <c r="G260" s="14"/>
      <c r="H260" s="14"/>
      <c r="I260" s="14"/>
      <c r="J260" s="14">
        <f>F259</f>
        <v>865</v>
      </c>
      <c r="K260" s="45"/>
      <c r="N260" s="43"/>
      <c r="O260" s="14"/>
      <c r="P260" s="14"/>
      <c r="Q260" s="14"/>
      <c r="R260" s="14"/>
      <c r="S260" s="14"/>
      <c r="T260" s="14"/>
      <c r="U260" s="14"/>
      <c r="V260" s="14">
        <f>R259</f>
        <v>865</v>
      </c>
      <c r="W260" s="45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</row>
    <row r="261" spans="1:37">
      <c r="B261" s="43"/>
      <c r="C261" s="14"/>
      <c r="D261" s="14">
        <f>ROUND(MMULT(D259:G259,AH137:AH140),4)</f>
        <v>251.5198</v>
      </c>
      <c r="E261" s="14"/>
      <c r="F261" s="14"/>
      <c r="G261" s="14"/>
      <c r="H261" s="14"/>
      <c r="I261" s="14"/>
      <c r="J261" s="14">
        <f>G259</f>
        <v>6869</v>
      </c>
      <c r="K261" s="45"/>
      <c r="N261" s="43"/>
      <c r="O261" s="14"/>
      <c r="P261" s="14">
        <f>D261</f>
        <v>251.5198</v>
      </c>
      <c r="Q261" s="14"/>
      <c r="R261" s="14"/>
      <c r="S261" s="14"/>
      <c r="T261" s="14"/>
      <c r="U261" s="14"/>
      <c r="V261" s="14">
        <f>S259</f>
        <v>6869</v>
      </c>
      <c r="W261" s="45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</row>
    <row r="262" spans="1:37">
      <c r="B262" s="43"/>
      <c r="C262" s="14"/>
      <c r="D262" s="14"/>
      <c r="E262" s="14"/>
      <c r="F262" s="14"/>
      <c r="G262" s="14"/>
      <c r="H262" s="14"/>
      <c r="I262" s="14"/>
      <c r="J262" s="14"/>
      <c r="K262" s="45"/>
      <c r="N262" s="43"/>
      <c r="O262" s="14"/>
      <c r="P262" s="14"/>
      <c r="Q262" s="14"/>
      <c r="R262" s="14"/>
      <c r="S262" s="14"/>
      <c r="T262" s="14"/>
      <c r="U262" s="14"/>
      <c r="V262" s="14"/>
      <c r="W262" s="45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</row>
    <row r="263" spans="1:37">
      <c r="B263" s="43"/>
      <c r="C263" s="14"/>
      <c r="D263" s="14">
        <f>MMULT(MMULT(D259:G259,P138:S141),J258:J261)</f>
        <v>0.14423847402306045</v>
      </c>
      <c r="E263" s="14"/>
      <c r="F263" s="14"/>
      <c r="G263" s="14"/>
      <c r="H263" s="14"/>
      <c r="I263" s="14"/>
      <c r="J263" s="14"/>
      <c r="K263" s="45"/>
      <c r="N263" s="43"/>
      <c r="O263" s="14"/>
      <c r="P263" s="14">
        <f>D263</f>
        <v>0.14423847402306045</v>
      </c>
      <c r="Q263" s="14"/>
      <c r="R263" s="14"/>
      <c r="S263" s="14"/>
      <c r="T263" s="14"/>
      <c r="U263" s="14"/>
      <c r="V263" s="14"/>
      <c r="W263" s="45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</row>
    <row r="264" spans="1:37">
      <c r="B264" s="43"/>
      <c r="C264" s="14"/>
      <c r="D264" s="14"/>
      <c r="E264" s="14"/>
      <c r="F264" s="14"/>
      <c r="G264" s="14"/>
      <c r="H264" s="14"/>
      <c r="I264" s="14"/>
      <c r="J264" s="14"/>
      <c r="K264" s="45"/>
      <c r="N264" s="43"/>
      <c r="O264" s="14"/>
      <c r="P264" s="14"/>
      <c r="Q264" s="14"/>
      <c r="R264" s="14"/>
      <c r="S264" s="14"/>
      <c r="T264" s="14"/>
      <c r="U264" s="14"/>
      <c r="V264" s="14"/>
      <c r="W264" s="45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</row>
    <row r="265" spans="1:37">
      <c r="B265" s="43"/>
      <c r="C265" s="14"/>
      <c r="D265" s="14">
        <f>I255*(1+D263)</f>
        <v>101.68623107086779</v>
      </c>
      <c r="E265" s="14"/>
      <c r="F265" s="14"/>
      <c r="G265" s="14"/>
      <c r="H265" s="14"/>
      <c r="I265" s="14"/>
      <c r="J265" s="14"/>
      <c r="K265" s="45"/>
      <c r="N265" s="43"/>
      <c r="O265" s="14"/>
      <c r="P265" s="14">
        <f>U255*(1+P263)</f>
        <v>101.68623107086779</v>
      </c>
      <c r="Q265" s="14"/>
      <c r="R265" s="14"/>
      <c r="S265" s="14"/>
      <c r="T265" s="14"/>
      <c r="U265" s="14"/>
      <c r="V265" s="14"/>
      <c r="W265" s="45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</row>
    <row r="266" spans="1:37" ht="15.75">
      <c r="B266" s="43"/>
      <c r="C266" s="14"/>
      <c r="D266" s="14"/>
      <c r="E266" s="14"/>
      <c r="F266" s="29" t="s">
        <v>67</v>
      </c>
      <c r="G266" s="14">
        <f>D261-D267</f>
        <v>231.55360000000002</v>
      </c>
      <c r="H266" s="14"/>
      <c r="I266" s="68" t="s">
        <v>98</v>
      </c>
      <c r="J266" s="65" t="str">
        <f>"]"&amp;G266&amp;";"&amp;G267&amp;"["</f>
        <v>]231,5536;271,486[</v>
      </c>
      <c r="K266" s="45"/>
      <c r="N266" s="43"/>
      <c r="O266" s="14"/>
      <c r="P266" s="14"/>
      <c r="Q266" s="14"/>
      <c r="R266" s="29" t="s">
        <v>67</v>
      </c>
      <c r="S266" s="14">
        <f>P261-P267</f>
        <v>234.78040000000001</v>
      </c>
      <c r="T266" s="14"/>
      <c r="U266" s="77" t="s">
        <v>139</v>
      </c>
      <c r="V266" s="65" t="str">
        <f>"]"&amp;S266&amp;";"&amp;S267&amp;"["</f>
        <v>]234,7804;268,2592[</v>
      </c>
      <c r="W266" s="45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</row>
    <row r="267" spans="1:37" ht="13.5" thickBot="1">
      <c r="B267" s="47"/>
      <c r="C267" s="48" t="s">
        <v>60</v>
      </c>
      <c r="D267" s="28">
        <f>ROUND(D257*SQRT(D265),4)</f>
        <v>19.966200000000001</v>
      </c>
      <c r="E267" s="28"/>
      <c r="F267" s="48" t="s">
        <v>68</v>
      </c>
      <c r="G267" s="28">
        <f>D261+D267</f>
        <v>271.48599999999999</v>
      </c>
      <c r="H267" s="28"/>
      <c r="I267" s="28"/>
      <c r="J267" s="28"/>
      <c r="K267" s="49"/>
      <c r="N267" s="47"/>
      <c r="O267" s="48" t="s">
        <v>60</v>
      </c>
      <c r="P267" s="28">
        <f>ROUND(P257*SQRT(P265),4)</f>
        <v>16.7394</v>
      </c>
      <c r="Q267" s="28"/>
      <c r="R267" s="48" t="s">
        <v>68</v>
      </c>
      <c r="S267" s="28">
        <f>P261+P267</f>
        <v>268.25920000000002</v>
      </c>
      <c r="T267" s="28"/>
      <c r="U267" s="28"/>
      <c r="V267" s="28"/>
      <c r="W267" s="49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</row>
    <row r="268" spans="1:37" ht="13.5" thickBot="1"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</row>
    <row r="269" spans="1:37">
      <c r="B269" s="39"/>
      <c r="C269" s="41"/>
      <c r="D269" s="41"/>
      <c r="E269" s="41"/>
      <c r="F269" s="41"/>
      <c r="G269" s="41"/>
      <c r="H269" s="41"/>
      <c r="I269" s="41"/>
      <c r="J269" s="41"/>
      <c r="K269" s="41"/>
      <c r="L269" s="42"/>
      <c r="N269" s="39"/>
      <c r="O269" s="41"/>
      <c r="P269" s="41"/>
      <c r="Q269" s="41"/>
      <c r="R269" s="41"/>
      <c r="S269" s="41"/>
      <c r="T269" s="41"/>
      <c r="U269" s="41"/>
      <c r="V269" s="41"/>
      <c r="W269" s="41"/>
      <c r="X269" s="42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</row>
    <row r="270" spans="1:37">
      <c r="A270" s="21" t="s">
        <v>103</v>
      </c>
      <c r="B270" s="43"/>
      <c r="C270" s="14"/>
      <c r="D270" s="14"/>
      <c r="E270" s="14"/>
      <c r="F270" s="14"/>
      <c r="G270" s="29" t="str">
        <f>A273&amp;"="</f>
        <v>β0=</v>
      </c>
      <c r="H270" s="14">
        <f>AH137</f>
        <v>-4.564284848740499</v>
      </c>
      <c r="I270" s="14"/>
      <c r="J270" s="14"/>
      <c r="K270" s="14"/>
      <c r="L270" s="45"/>
      <c r="N270" s="43"/>
      <c r="O270" s="14"/>
      <c r="P270" s="14"/>
      <c r="Q270" s="14"/>
      <c r="R270" s="14"/>
      <c r="S270" s="29" t="str">
        <f>G270</f>
        <v>β0=</v>
      </c>
      <c r="T270" s="29">
        <f>H270</f>
        <v>-4.564284848740499</v>
      </c>
      <c r="U270" s="14"/>
      <c r="V270" s="14"/>
      <c r="W270" s="14"/>
      <c r="X270" s="45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</row>
    <row r="271" spans="1:37">
      <c r="A271" s="21" t="s">
        <v>83</v>
      </c>
      <c r="B271" s="43"/>
      <c r="C271" s="14"/>
      <c r="D271" s="14"/>
      <c r="E271" s="14"/>
      <c r="F271" s="14"/>
      <c r="G271" s="14"/>
      <c r="H271" s="14"/>
      <c r="I271" s="14"/>
      <c r="J271" s="14"/>
      <c r="K271" s="14"/>
      <c r="L271" s="45"/>
      <c r="N271" s="43"/>
      <c r="O271" s="14"/>
      <c r="P271" s="14"/>
      <c r="Q271" s="14"/>
      <c r="R271" s="14"/>
      <c r="S271" s="14"/>
      <c r="T271" s="14"/>
      <c r="U271" s="14"/>
      <c r="V271" s="14"/>
      <c r="W271" s="14"/>
      <c r="X271" s="45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</row>
    <row r="272" spans="1:37">
      <c r="A272" s="21" t="s">
        <v>104</v>
      </c>
      <c r="B272" s="43"/>
      <c r="C272" s="14"/>
      <c r="D272" s="14"/>
      <c r="E272" s="14"/>
      <c r="F272" s="14"/>
      <c r="G272" s="14"/>
      <c r="H272" s="14">
        <f>P138</f>
        <v>1.6476850676046058</v>
      </c>
      <c r="I272" s="14"/>
      <c r="J272" s="14"/>
      <c r="K272" s="14"/>
      <c r="L272" s="45"/>
      <c r="N272" s="43"/>
      <c r="O272" s="14"/>
      <c r="P272" s="14"/>
      <c r="Q272" s="14"/>
      <c r="R272" s="14"/>
      <c r="S272" s="14"/>
      <c r="T272" s="29">
        <f>H272</f>
        <v>1.6476850676046058</v>
      </c>
      <c r="U272" s="14"/>
      <c r="V272" s="14"/>
      <c r="W272" s="14"/>
      <c r="X272" s="45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</row>
    <row r="273" spans="1:37">
      <c r="A273" s="21" t="s">
        <v>84</v>
      </c>
      <c r="B273" s="43"/>
      <c r="C273" s="14"/>
      <c r="D273" s="14"/>
      <c r="E273" s="14"/>
      <c r="F273" s="14"/>
      <c r="G273" s="14"/>
      <c r="H273" s="14"/>
      <c r="I273" s="14"/>
      <c r="J273" s="14"/>
      <c r="K273" s="14"/>
      <c r="L273" s="45"/>
      <c r="N273" s="43"/>
      <c r="O273" s="14"/>
      <c r="P273" s="14"/>
      <c r="Q273" s="14"/>
      <c r="R273" s="14"/>
      <c r="S273" s="14"/>
      <c r="T273" s="14"/>
      <c r="U273" s="14"/>
      <c r="V273" s="14"/>
      <c r="W273" s="14"/>
      <c r="X273" s="45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</row>
    <row r="274" spans="1:37">
      <c r="B274" s="43"/>
      <c r="C274" s="14"/>
      <c r="D274" s="14"/>
      <c r="E274" s="14"/>
      <c r="F274" s="14"/>
      <c r="G274" s="14"/>
      <c r="H274" s="14"/>
      <c r="I274" s="14"/>
      <c r="J274" s="14"/>
      <c r="K274" s="14"/>
      <c r="L274" s="45"/>
      <c r="N274" s="43"/>
      <c r="O274" s="14"/>
      <c r="P274" s="14"/>
      <c r="Q274" s="14"/>
      <c r="R274" s="14"/>
      <c r="S274" s="14"/>
      <c r="T274" s="14"/>
      <c r="U274" s="14"/>
      <c r="V274" s="14"/>
      <c r="W274" s="14"/>
      <c r="X274" s="45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</row>
    <row r="275" spans="1:37">
      <c r="B275" s="43"/>
      <c r="C275" s="14">
        <f>D162</f>
        <v>88.868040517241383</v>
      </c>
      <c r="D275" s="14"/>
      <c r="E275" s="14"/>
      <c r="F275" s="14"/>
      <c r="G275" s="14"/>
      <c r="H275" s="14"/>
      <c r="I275" s="14"/>
      <c r="J275" s="14"/>
      <c r="K275" s="14"/>
      <c r="L275" s="45"/>
      <c r="N275" s="43"/>
      <c r="O275" s="14">
        <f>C275</f>
        <v>88.868040517241383</v>
      </c>
      <c r="P275" s="14"/>
      <c r="Q275" s="14"/>
      <c r="R275" s="14"/>
      <c r="S275" s="14"/>
      <c r="T275" s="14"/>
      <c r="U275" s="14"/>
      <c r="V275" s="14"/>
      <c r="W275" s="14"/>
      <c r="X275" s="45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</row>
    <row r="276" spans="1:37">
      <c r="B276" s="43"/>
      <c r="C276" s="14"/>
      <c r="D276" s="14"/>
      <c r="E276" s="14"/>
      <c r="F276" s="14"/>
      <c r="G276" s="14"/>
      <c r="H276" s="14"/>
      <c r="I276" s="14"/>
      <c r="J276" s="14"/>
      <c r="K276" s="14"/>
      <c r="L276" s="45"/>
      <c r="N276" s="43"/>
      <c r="O276" s="14"/>
      <c r="P276" s="14"/>
      <c r="Q276" s="14"/>
      <c r="R276" s="14"/>
      <c r="S276" s="14"/>
      <c r="T276" s="14"/>
      <c r="U276" s="14"/>
      <c r="V276" s="14"/>
      <c r="W276" s="14"/>
      <c r="X276" s="45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</row>
    <row r="277" spans="1:37">
      <c r="B277" s="43"/>
      <c r="C277" s="44" t="s">
        <v>105</v>
      </c>
      <c r="D277" s="14">
        <v>0.05</v>
      </c>
      <c r="E277" s="14"/>
      <c r="F277" s="14"/>
      <c r="G277" s="29" t="s">
        <v>108</v>
      </c>
      <c r="H277" s="14" t="str">
        <f>"]-∞;-"&amp;ROUND(D279,4)&amp;"[ U ]"&amp;ROUND(D279,4)&amp;";+∞["</f>
        <v>]-∞;-1,98[ U ]1,98;+∞[</v>
      </c>
      <c r="I277" s="14"/>
      <c r="J277" s="14"/>
      <c r="K277" s="14"/>
      <c r="L277" s="45"/>
      <c r="N277" s="43"/>
      <c r="O277" s="44" t="s">
        <v>105</v>
      </c>
      <c r="P277" s="14">
        <v>0.01</v>
      </c>
      <c r="Q277" s="14"/>
      <c r="R277" s="14"/>
      <c r="S277" s="29" t="s">
        <v>108</v>
      </c>
      <c r="T277" s="14" t="str">
        <f>"]-∞;-"&amp;ROUND(P279,4)&amp;"[ U ]"&amp;ROUND(P279,4)&amp;";+∞["</f>
        <v>]-∞;-2,62[ U ]2,62;+∞[</v>
      </c>
      <c r="U277" s="14"/>
      <c r="V277" s="14"/>
      <c r="W277" s="14"/>
      <c r="X277" s="45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</row>
    <row r="278" spans="1:37">
      <c r="B278" s="43"/>
      <c r="C278" s="44"/>
      <c r="D278" s="14"/>
      <c r="E278" s="14"/>
      <c r="F278" s="14"/>
      <c r="G278" s="14"/>
      <c r="H278" s="14"/>
      <c r="I278" s="14"/>
      <c r="J278" s="14"/>
      <c r="K278" s="14"/>
      <c r="L278" s="45"/>
      <c r="N278" s="43"/>
      <c r="O278" s="44"/>
      <c r="P278" s="14"/>
      <c r="Q278" s="14"/>
      <c r="R278" s="14"/>
      <c r="S278" s="14"/>
      <c r="T278" s="14"/>
      <c r="U278" s="14"/>
      <c r="V278" s="14"/>
      <c r="W278" s="14"/>
      <c r="X278" s="45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</row>
    <row r="279" spans="1:37">
      <c r="B279" s="43"/>
      <c r="C279" s="14"/>
      <c r="D279" s="14">
        <f>ROUND(_xlfn.T.INV(1-D277/2,120-(6+1)),2)</f>
        <v>1.98</v>
      </c>
      <c r="E279" s="14"/>
      <c r="F279" s="14"/>
      <c r="G279" s="14"/>
      <c r="H279" s="14"/>
      <c r="I279" s="14"/>
      <c r="J279" s="14"/>
      <c r="K279" s="14"/>
      <c r="L279" s="45"/>
      <c r="N279" s="43"/>
      <c r="O279" s="14"/>
      <c r="P279" s="14">
        <f>ROUND(_xlfn.T.INV(1-P277/2,120-(3+1)),2)</f>
        <v>2.62</v>
      </c>
      <c r="Q279" s="14"/>
      <c r="R279" s="14"/>
      <c r="S279" s="14"/>
      <c r="T279" s="14"/>
      <c r="U279" s="14"/>
      <c r="V279" s="14"/>
      <c r="W279" s="14"/>
      <c r="X279" s="45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</row>
    <row r="280" spans="1:37">
      <c r="B280" s="43"/>
      <c r="C280" s="29"/>
      <c r="D280" s="14"/>
      <c r="E280" s="14"/>
      <c r="F280" s="14"/>
      <c r="G280" s="14"/>
      <c r="H280" s="14"/>
      <c r="I280" s="14"/>
      <c r="J280" s="14"/>
      <c r="K280" s="14"/>
      <c r="L280" s="45"/>
      <c r="N280" s="43"/>
      <c r="O280" s="29"/>
      <c r="P280" s="14"/>
      <c r="Q280" s="14"/>
      <c r="R280" s="14"/>
      <c r="S280" s="14"/>
      <c r="T280" s="14"/>
      <c r="U280" s="14"/>
      <c r="V280" s="14"/>
      <c r="W280" s="14"/>
      <c r="X280" s="45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</row>
    <row r="281" spans="1:37">
      <c r="B281" s="43"/>
      <c r="C281" s="14"/>
      <c r="D281" s="14"/>
      <c r="E281" s="14"/>
      <c r="F281" s="14"/>
      <c r="G281" s="14"/>
      <c r="H281" s="14"/>
      <c r="I281" s="14"/>
      <c r="J281" s="14"/>
      <c r="K281" s="14"/>
      <c r="L281" s="45"/>
      <c r="N281" s="43"/>
      <c r="O281" s="14"/>
      <c r="P281" s="14"/>
      <c r="Q281" s="14"/>
      <c r="R281" s="14"/>
      <c r="S281" s="14"/>
      <c r="T281" s="14"/>
      <c r="U281" s="14"/>
      <c r="V281" s="14"/>
      <c r="W281" s="14"/>
      <c r="X281" s="45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</row>
    <row r="282" spans="1:37">
      <c r="B282" s="43"/>
      <c r="C282" s="14"/>
      <c r="D282" s="14"/>
      <c r="E282" s="14"/>
      <c r="F282" s="14"/>
      <c r="G282" s="14"/>
      <c r="H282" s="14"/>
      <c r="I282" s="14"/>
      <c r="J282" s="14"/>
      <c r="K282" s="14"/>
      <c r="L282" s="45"/>
      <c r="N282" s="43"/>
      <c r="O282" s="14"/>
      <c r="P282" s="14"/>
      <c r="Q282" s="14"/>
      <c r="R282" s="14"/>
      <c r="S282" s="14"/>
      <c r="T282" s="14"/>
      <c r="U282" s="14"/>
      <c r="V282" s="14"/>
      <c r="W282" s="14"/>
      <c r="X282" s="45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</row>
    <row r="283" spans="1:37">
      <c r="B283" s="43"/>
      <c r="C283" s="29" t="s">
        <v>106</v>
      </c>
      <c r="D283" s="14">
        <f>ROUND(H270/SQRT(C275*H272),4)</f>
        <v>-0.37719999999999998</v>
      </c>
      <c r="E283" s="14"/>
      <c r="F283" s="14"/>
      <c r="G283" s="14"/>
      <c r="H283" s="14"/>
      <c r="I283" s="14"/>
      <c r="J283" s="14"/>
      <c r="K283" s="14"/>
      <c r="L283" s="45"/>
      <c r="N283" s="43"/>
      <c r="O283" s="29" t="s">
        <v>106</v>
      </c>
      <c r="P283" s="14">
        <f>ROUND(T270/SQRT(O275*T272),4)</f>
        <v>-0.37719999999999998</v>
      </c>
      <c r="Q283" s="14"/>
      <c r="R283" s="14"/>
      <c r="S283" s="14"/>
      <c r="T283" s="14"/>
      <c r="U283" s="14"/>
      <c r="V283" s="14"/>
      <c r="W283" s="14"/>
      <c r="X283" s="45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</row>
    <row r="284" spans="1:37">
      <c r="B284" s="43"/>
      <c r="C284" s="29" t="s">
        <v>107</v>
      </c>
      <c r="D284" s="14">
        <f>ABS(D283)</f>
        <v>0.37719999999999998</v>
      </c>
      <c r="E284" s="14"/>
      <c r="F284" s="14"/>
      <c r="G284" s="14"/>
      <c r="H284" s="14"/>
      <c r="I284" s="14"/>
      <c r="J284" s="14"/>
      <c r="K284" s="14"/>
      <c r="L284" s="45"/>
      <c r="N284" s="43"/>
      <c r="O284" s="29" t="s">
        <v>107</v>
      </c>
      <c r="P284" s="14">
        <f>ABS(P283)</f>
        <v>0.37719999999999998</v>
      </c>
      <c r="Q284" s="14"/>
      <c r="R284" s="14"/>
      <c r="S284" s="14"/>
      <c r="T284" s="14"/>
      <c r="U284" s="14"/>
      <c r="V284" s="14"/>
      <c r="W284" s="14"/>
      <c r="X284" s="45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</row>
    <row r="285" spans="1:37" ht="13.5" thickBot="1">
      <c r="B285" s="47" t="str">
        <f>IF(ABS(D283)&gt;ROUND(D279,4), "Como |"&amp;ROUND(D283,2)&amp;"| &gt; "&amp;ROUND(D279,4)&amp;" então rejeita-se H0, logo a um nível de significância de "&amp;D277*100&amp;"% há evidencia estatística suficiente para se concluir que "&amp;G270&amp;" é não nulo","Como |"&amp;ROUND(D283,2)&amp;"|  ≤ "&amp;ROUND(D279,4)&amp;" então não se rejeita H0, logo a um nível de significância de "&amp;D277*100&amp;"% há evidencia estatística suficiente para se concluir que "&amp;G270&amp;" é nulo")</f>
        <v>Como |-0,38|  ≤ 1,98 então não se rejeita H0, logo a um nível de significância de 5% há evidencia estatística suficiente para se concluir que β0= é nulo</v>
      </c>
      <c r="C285" s="28"/>
      <c r="D285" s="28"/>
      <c r="E285" s="28"/>
      <c r="F285" s="28"/>
      <c r="G285" s="28"/>
      <c r="H285" s="28"/>
      <c r="I285" s="28"/>
      <c r="J285" s="28"/>
      <c r="K285" s="49"/>
      <c r="L285" s="49"/>
      <c r="N285" s="47" t="str">
        <f>IF(ABS(P283)&gt;ROUND(P279,4), "Como |"&amp;ROUND(P283,2)&amp;"| &gt; "&amp;ROUND(P279,4)&amp;" então rejeita-se H0, logo a um nível de significância de "&amp;P277*100&amp;"% há evidencia estatística suficiente para se concluir que "&amp;S270&amp;" é não nulo","Como |"&amp;ROUND(P283,2)&amp;"|  ≤ "&amp;ROUND(P279,4)&amp;" então não se rejeita H0, logo a um nível de significância de "&amp;P277*100&amp;"% há evidencia estatística suficiente para se concluir que "&amp;S270&amp;" é nulo")</f>
        <v>Como |-0,38|  ≤ 2,62 então não se rejeita H0, logo a um nível de significância de 1% há evidencia estatística suficiente para se concluir que β0= é nulo</v>
      </c>
      <c r="O285" s="28"/>
      <c r="P285" s="28"/>
      <c r="Q285" s="28"/>
      <c r="R285" s="28"/>
      <c r="S285" s="28"/>
      <c r="T285" s="28"/>
      <c r="U285" s="28"/>
      <c r="V285" s="28"/>
      <c r="W285" s="49"/>
      <c r="X285" s="49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</row>
    <row r="286" spans="1:37" ht="13.5" thickBot="1"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</row>
    <row r="287" spans="1:37">
      <c r="B287" s="39"/>
      <c r="C287" s="41"/>
      <c r="D287" s="41"/>
      <c r="E287" s="41"/>
      <c r="F287" s="41"/>
      <c r="G287" s="41"/>
      <c r="H287" s="41"/>
      <c r="I287" s="41"/>
      <c r="J287" s="41"/>
      <c r="K287" s="41"/>
      <c r="L287" s="42"/>
      <c r="N287" s="39"/>
      <c r="O287" s="41"/>
      <c r="P287" s="41"/>
      <c r="Q287" s="41"/>
      <c r="R287" s="41"/>
      <c r="S287" s="41"/>
      <c r="T287" s="41"/>
      <c r="U287" s="41"/>
      <c r="V287" s="41"/>
      <c r="W287" s="41"/>
      <c r="X287" s="42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</row>
    <row r="288" spans="1:37">
      <c r="A288" s="21" t="s">
        <v>103</v>
      </c>
      <c r="B288" s="43"/>
      <c r="C288" s="14"/>
      <c r="D288" s="14"/>
      <c r="E288" s="14"/>
      <c r="F288" s="14"/>
      <c r="G288" s="29" t="str">
        <f>A291&amp;"="</f>
        <v>β1=</v>
      </c>
      <c r="H288" s="14">
        <f>AH138</f>
        <v>4.0417026631484987</v>
      </c>
      <c r="I288" s="14"/>
      <c r="J288" s="14"/>
      <c r="K288" s="14"/>
      <c r="L288" s="45"/>
      <c r="N288" s="43"/>
      <c r="O288" s="14"/>
      <c r="P288" s="14"/>
      <c r="Q288" s="14"/>
      <c r="R288" s="14"/>
      <c r="S288" s="29" t="str">
        <f>G288</f>
        <v>β1=</v>
      </c>
      <c r="T288" s="29">
        <f>H288</f>
        <v>4.0417026631484987</v>
      </c>
      <c r="U288" s="14"/>
      <c r="V288" s="14"/>
      <c r="W288" s="14"/>
      <c r="X288" s="45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</row>
    <row r="289" spans="1:37">
      <c r="A289" s="21" t="s">
        <v>83</v>
      </c>
      <c r="B289" s="43"/>
      <c r="C289" s="14"/>
      <c r="D289" s="14"/>
      <c r="E289" s="14"/>
      <c r="F289" s="14"/>
      <c r="G289" s="14"/>
      <c r="H289" s="14"/>
      <c r="I289" s="14"/>
      <c r="J289" s="14"/>
      <c r="K289" s="14"/>
      <c r="L289" s="45"/>
      <c r="N289" s="43"/>
      <c r="O289" s="14"/>
      <c r="P289" s="14"/>
      <c r="Q289" s="14"/>
      <c r="R289" s="14"/>
      <c r="S289" s="14"/>
      <c r="T289" s="14"/>
      <c r="U289" s="14"/>
      <c r="V289" s="14"/>
      <c r="W289" s="14"/>
      <c r="X289" s="45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</row>
    <row r="290" spans="1:37">
      <c r="A290" s="21" t="s">
        <v>104</v>
      </c>
      <c r="B290" s="43"/>
      <c r="C290" s="14"/>
      <c r="D290" s="14"/>
      <c r="E290" s="14"/>
      <c r="F290" s="14"/>
      <c r="G290" s="14"/>
      <c r="H290" s="14">
        <f>Q139</f>
        <v>1.3214032039492378</v>
      </c>
      <c r="I290" s="14"/>
      <c r="J290" s="14"/>
      <c r="K290" s="14"/>
      <c r="L290" s="45"/>
      <c r="N290" s="43"/>
      <c r="O290" s="14"/>
      <c r="P290" s="14"/>
      <c r="Q290" s="14"/>
      <c r="R290" s="14"/>
      <c r="S290" s="14"/>
      <c r="T290" s="29">
        <f>H290</f>
        <v>1.3214032039492378</v>
      </c>
      <c r="U290" s="14"/>
      <c r="V290" s="14"/>
      <c r="W290" s="14"/>
      <c r="X290" s="45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</row>
    <row r="291" spans="1:37">
      <c r="A291" s="21" t="s">
        <v>85</v>
      </c>
      <c r="B291" s="43"/>
      <c r="C291" s="14"/>
      <c r="D291" s="14"/>
      <c r="E291" s="14"/>
      <c r="F291" s="14"/>
      <c r="G291" s="14"/>
      <c r="H291" s="14"/>
      <c r="I291" s="14"/>
      <c r="J291" s="14"/>
      <c r="K291" s="14"/>
      <c r="L291" s="45"/>
      <c r="N291" s="43"/>
      <c r="O291" s="14"/>
      <c r="P291" s="14"/>
      <c r="Q291" s="14"/>
      <c r="R291" s="14"/>
      <c r="S291" s="14"/>
      <c r="T291" s="14"/>
      <c r="U291" s="14"/>
      <c r="V291" s="14"/>
      <c r="W291" s="14"/>
      <c r="X291" s="45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</row>
    <row r="292" spans="1:37">
      <c r="B292" s="43"/>
      <c r="C292" s="14"/>
      <c r="D292" s="14"/>
      <c r="E292" s="14"/>
      <c r="F292" s="14"/>
      <c r="G292" s="14"/>
      <c r="H292" s="14"/>
      <c r="I292" s="14"/>
      <c r="J292" s="14"/>
      <c r="K292" s="14"/>
      <c r="L292" s="45"/>
      <c r="N292" s="43"/>
      <c r="O292" s="14"/>
      <c r="P292" s="14"/>
      <c r="Q292" s="14"/>
      <c r="R292" s="14"/>
      <c r="S292" s="14"/>
      <c r="T292" s="14"/>
      <c r="U292" s="14"/>
      <c r="V292" s="14"/>
      <c r="W292" s="14"/>
      <c r="X292" s="45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</row>
    <row r="293" spans="1:37">
      <c r="B293" s="43"/>
      <c r="C293" s="14">
        <f>D162</f>
        <v>88.868040517241383</v>
      </c>
      <c r="D293" s="14"/>
      <c r="E293" s="14"/>
      <c r="F293" s="14"/>
      <c r="G293" s="14"/>
      <c r="H293" s="14"/>
      <c r="I293" s="14"/>
      <c r="J293" s="14"/>
      <c r="K293" s="14"/>
      <c r="L293" s="45"/>
      <c r="N293" s="43"/>
      <c r="O293" s="14">
        <f>C293</f>
        <v>88.868040517241383</v>
      </c>
      <c r="P293" s="14"/>
      <c r="Q293" s="14"/>
      <c r="R293" s="14"/>
      <c r="S293" s="14"/>
      <c r="T293" s="14"/>
      <c r="U293" s="14"/>
      <c r="V293" s="14"/>
      <c r="W293" s="14"/>
      <c r="X293" s="45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</row>
    <row r="294" spans="1:37">
      <c r="B294" s="43"/>
      <c r="C294" s="14"/>
      <c r="D294" s="14"/>
      <c r="E294" s="14"/>
      <c r="F294" s="14"/>
      <c r="G294" s="14"/>
      <c r="H294" s="14"/>
      <c r="I294" s="14"/>
      <c r="J294" s="14"/>
      <c r="K294" s="14"/>
      <c r="L294" s="45"/>
      <c r="N294" s="43"/>
      <c r="O294" s="14"/>
      <c r="P294" s="14"/>
      <c r="Q294" s="14"/>
      <c r="R294" s="14"/>
      <c r="S294" s="14"/>
      <c r="T294" s="14"/>
      <c r="U294" s="14"/>
      <c r="V294" s="14"/>
      <c r="W294" s="14"/>
      <c r="X294" s="45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</row>
    <row r="295" spans="1:37">
      <c r="B295" s="43"/>
      <c r="C295" s="44" t="s">
        <v>105</v>
      </c>
      <c r="D295" s="14">
        <v>0.05</v>
      </c>
      <c r="E295" s="14"/>
      <c r="F295" s="14"/>
      <c r="G295" s="29" t="s">
        <v>108</v>
      </c>
      <c r="H295" s="14" t="str">
        <f>"]-∞;-"&amp;ROUND(D297,4)&amp;"[ U ]"&amp;ROUND(D297,4)&amp;";+∞["</f>
        <v>]-∞;-1,98[ U ]1,98;+∞[</v>
      </c>
      <c r="I295" s="14"/>
      <c r="J295" s="14"/>
      <c r="K295" s="14"/>
      <c r="L295" s="45"/>
      <c r="N295" s="43"/>
      <c r="O295" s="44" t="s">
        <v>105</v>
      </c>
      <c r="P295" s="14">
        <v>0.01</v>
      </c>
      <c r="Q295" s="14"/>
      <c r="R295" s="14"/>
      <c r="S295" s="29" t="s">
        <v>108</v>
      </c>
      <c r="T295" s="14" t="str">
        <f>"]-∞;-"&amp;ROUND(P297,4)&amp;"[ U ]"&amp;ROUND(P297,4)&amp;";+∞["</f>
        <v>]-∞;-2,62[ U ]2,62;+∞[</v>
      </c>
      <c r="U295" s="14"/>
      <c r="V295" s="14"/>
      <c r="W295" s="14"/>
      <c r="X295" s="45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</row>
    <row r="296" spans="1:37">
      <c r="B296" s="43"/>
      <c r="C296" s="44"/>
      <c r="D296" s="14"/>
      <c r="E296" s="14"/>
      <c r="F296" s="14"/>
      <c r="G296" s="14"/>
      <c r="H296" s="14"/>
      <c r="I296" s="14"/>
      <c r="J296" s="14"/>
      <c r="K296" s="14"/>
      <c r="L296" s="45"/>
      <c r="N296" s="43"/>
      <c r="O296" s="44"/>
      <c r="P296" s="14"/>
      <c r="Q296" s="14"/>
      <c r="R296" s="14"/>
      <c r="S296" s="14"/>
      <c r="T296" s="14"/>
      <c r="U296" s="14"/>
      <c r="V296" s="14"/>
      <c r="W296" s="14"/>
      <c r="X296" s="45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</row>
    <row r="297" spans="1:37">
      <c r="B297" s="43"/>
      <c r="C297" s="14"/>
      <c r="D297" s="14">
        <f>ROUND(_xlfn.T.INV(1-D295/2,120-(6+1)),2)</f>
        <v>1.98</v>
      </c>
      <c r="E297" s="14"/>
      <c r="F297" s="14"/>
      <c r="G297" s="14"/>
      <c r="H297" s="14"/>
      <c r="I297" s="14"/>
      <c r="J297" s="14"/>
      <c r="K297" s="14"/>
      <c r="L297" s="45"/>
      <c r="N297" s="43"/>
      <c r="O297" s="14"/>
      <c r="P297" s="14">
        <f>ROUND(_xlfn.T.INV(1-P295/2,120-(3+1)),2)</f>
        <v>2.62</v>
      </c>
      <c r="Q297" s="14"/>
      <c r="R297" s="14"/>
      <c r="S297" s="14"/>
      <c r="T297" s="14"/>
      <c r="U297" s="14"/>
      <c r="V297" s="14"/>
      <c r="W297" s="14"/>
      <c r="X297" s="45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</row>
    <row r="298" spans="1:37">
      <c r="B298" s="43"/>
      <c r="C298" s="29"/>
      <c r="D298" s="14"/>
      <c r="E298" s="14"/>
      <c r="F298" s="14"/>
      <c r="G298" s="14"/>
      <c r="H298" s="14"/>
      <c r="I298" s="14"/>
      <c r="J298" s="14"/>
      <c r="K298" s="14"/>
      <c r="L298" s="45"/>
      <c r="N298" s="43"/>
      <c r="O298" s="29"/>
      <c r="P298" s="14"/>
      <c r="Q298" s="14"/>
      <c r="R298" s="14"/>
      <c r="S298" s="14"/>
      <c r="T298" s="14"/>
      <c r="U298" s="14"/>
      <c r="V298" s="14"/>
      <c r="W298" s="14"/>
      <c r="X298" s="45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</row>
    <row r="299" spans="1:37">
      <c r="B299" s="43"/>
      <c r="C299" s="14"/>
      <c r="D299" s="14"/>
      <c r="E299" s="14"/>
      <c r="F299" s="14"/>
      <c r="G299" s="14"/>
      <c r="H299" s="14"/>
      <c r="I299" s="14"/>
      <c r="J299" s="14"/>
      <c r="K299" s="14"/>
      <c r="L299" s="45"/>
      <c r="N299" s="43"/>
      <c r="O299" s="14"/>
      <c r="P299" s="14"/>
      <c r="Q299" s="14"/>
      <c r="R299" s="14"/>
      <c r="S299" s="14"/>
      <c r="T299" s="14"/>
      <c r="U299" s="14"/>
      <c r="V299" s="14"/>
      <c r="W299" s="14"/>
      <c r="X299" s="45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</row>
    <row r="300" spans="1:37">
      <c r="B300" s="43"/>
      <c r="C300" s="14"/>
      <c r="D300" s="14"/>
      <c r="E300" s="14"/>
      <c r="F300" s="14"/>
      <c r="G300" s="14"/>
      <c r="H300" s="14"/>
      <c r="I300" s="14"/>
      <c r="J300" s="14"/>
      <c r="K300" s="14"/>
      <c r="L300" s="45"/>
      <c r="N300" s="43"/>
      <c r="O300" s="14"/>
      <c r="P300" s="14"/>
      <c r="Q300" s="14"/>
      <c r="R300" s="14"/>
      <c r="S300" s="14"/>
      <c r="T300" s="14"/>
      <c r="U300" s="14"/>
      <c r="V300" s="14"/>
      <c r="W300" s="14"/>
      <c r="X300" s="45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</row>
    <row r="301" spans="1:37">
      <c r="B301" s="43"/>
      <c r="C301" s="29" t="s">
        <v>106</v>
      </c>
      <c r="D301" s="14">
        <f>ROUND(H288/SQRT(C293*H290),4)</f>
        <v>0.373</v>
      </c>
      <c r="E301" s="14"/>
      <c r="F301" s="14"/>
      <c r="G301" s="14"/>
      <c r="H301" s="14"/>
      <c r="I301" s="14"/>
      <c r="J301" s="14"/>
      <c r="K301" s="14"/>
      <c r="L301" s="45"/>
      <c r="N301" s="43"/>
      <c r="O301" s="29" t="s">
        <v>106</v>
      </c>
      <c r="P301" s="14">
        <f>ROUND(T288/SQRT(O293*T290),4)</f>
        <v>0.373</v>
      </c>
      <c r="Q301" s="14"/>
      <c r="R301" s="14"/>
      <c r="S301" s="14"/>
      <c r="T301" s="14"/>
      <c r="U301" s="14"/>
      <c r="V301" s="14"/>
      <c r="W301" s="14"/>
      <c r="X301" s="45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</row>
    <row r="302" spans="1:37">
      <c r="B302" s="43"/>
      <c r="C302" s="29" t="s">
        <v>107</v>
      </c>
      <c r="D302" s="14">
        <f>ABS(D301)</f>
        <v>0.373</v>
      </c>
      <c r="E302" s="14"/>
      <c r="F302" s="14"/>
      <c r="G302" s="14"/>
      <c r="H302" s="14"/>
      <c r="I302" s="14"/>
      <c r="J302" s="14"/>
      <c r="K302" s="14"/>
      <c r="L302" s="45"/>
      <c r="N302" s="43"/>
      <c r="O302" s="29" t="s">
        <v>107</v>
      </c>
      <c r="P302" s="14">
        <f>ABS(P301)</f>
        <v>0.373</v>
      </c>
      <c r="Q302" s="14"/>
      <c r="R302" s="14"/>
      <c r="S302" s="14"/>
      <c r="T302" s="14"/>
      <c r="U302" s="14"/>
      <c r="V302" s="14"/>
      <c r="W302" s="14"/>
      <c r="X302" s="45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</row>
    <row r="303" spans="1:37" ht="13.5" thickBot="1">
      <c r="B303" s="47" t="str">
        <f>IF(ABS(D301)&gt;ROUND(D297,4), "Como |"&amp;ROUND(D301,2)&amp;"| &gt; "&amp;ROUND(D297,4)&amp;" então rejeita-se H0, logo a um nível de significância de "&amp;D295*100&amp;"% há evidencia estatística suficiente para se concluir que "&amp;G288&amp;" é não nulo","Como |"&amp;ROUND(D301,2)&amp;"|  ≤ "&amp;ROUND(D297,4)&amp;" então não se rejeita H0, logo a um nível de significância de "&amp;D295*100&amp;"% há evidencia estatística suficiente para se concluir que "&amp;G288&amp;" é nulo")</f>
        <v>Como |0,37|  ≤ 1,98 então não se rejeita H0, logo a um nível de significância de 5% há evidencia estatística suficiente para se concluir que β1= é nulo</v>
      </c>
      <c r="C303" s="28"/>
      <c r="D303" s="28"/>
      <c r="E303" s="28"/>
      <c r="F303" s="28"/>
      <c r="G303" s="28"/>
      <c r="H303" s="28"/>
      <c r="I303" s="28"/>
      <c r="J303" s="28"/>
      <c r="K303" s="49"/>
      <c r="L303" s="49"/>
      <c r="N303" s="47" t="str">
        <f>IF(ABS(P301)&gt;ROUND(P297,4), "Como |"&amp;ROUND(P301,2)&amp;"| &gt; "&amp;ROUND(P297,4)&amp;" então rejeita-se H0, logo a um nível de significância de "&amp;P295*100&amp;"% há evidencia estatística suficiente para se concluir que "&amp;S288&amp;" é não nulo","Como |"&amp;ROUND(P301,2)&amp;"|  ≤ "&amp;ROUND(P297,4)&amp;" então não se rejeita H0, logo a um nível de significância de "&amp;P295*100&amp;"% há evidencia estatística suficiente para se concluir que "&amp;S288&amp;" é nulo")</f>
        <v>Como |0,37|  ≤ 2,62 então não se rejeita H0, logo a um nível de significância de 1% há evidencia estatística suficiente para se concluir que β1= é nulo</v>
      </c>
      <c r="O303" s="28"/>
      <c r="P303" s="28"/>
      <c r="Q303" s="28"/>
      <c r="R303" s="28"/>
      <c r="S303" s="28"/>
      <c r="T303" s="28"/>
      <c r="U303" s="28"/>
      <c r="V303" s="28"/>
      <c r="W303" s="49"/>
      <c r="X303" s="49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</row>
    <row r="304" spans="1:37" ht="13.5" thickBot="1"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</row>
    <row r="305" spans="1:37">
      <c r="B305" s="39"/>
      <c r="C305" s="41"/>
      <c r="D305" s="41"/>
      <c r="E305" s="41"/>
      <c r="F305" s="41"/>
      <c r="G305" s="41"/>
      <c r="H305" s="41"/>
      <c r="I305" s="41"/>
      <c r="J305" s="41"/>
      <c r="K305" s="41"/>
      <c r="L305" s="42"/>
      <c r="N305" s="39"/>
      <c r="O305" s="41"/>
      <c r="P305" s="41"/>
      <c r="Q305" s="41"/>
      <c r="R305" s="41"/>
      <c r="S305" s="41"/>
      <c r="T305" s="41"/>
      <c r="U305" s="41"/>
      <c r="V305" s="41"/>
      <c r="W305" s="41"/>
      <c r="X305" s="42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</row>
    <row r="306" spans="1:37">
      <c r="A306" s="21" t="s">
        <v>103</v>
      </c>
      <c r="B306" s="43"/>
      <c r="C306" s="14"/>
      <c r="D306" s="14"/>
      <c r="E306" s="14"/>
      <c r="F306" s="14"/>
      <c r="G306" s="29" t="str">
        <f>A309&amp;"="</f>
        <v>β2=</v>
      </c>
      <c r="H306" s="14">
        <f>AH139</f>
        <v>-0.19682896946155637</v>
      </c>
      <c r="I306" s="14"/>
      <c r="J306" s="14"/>
      <c r="K306" s="14"/>
      <c r="L306" s="45"/>
      <c r="N306" s="43"/>
      <c r="O306" s="14"/>
      <c r="P306" s="14"/>
      <c r="Q306" s="14"/>
      <c r="R306" s="14"/>
      <c r="S306" s="29" t="str">
        <f>G306</f>
        <v>β2=</v>
      </c>
      <c r="T306" s="29">
        <f>H306</f>
        <v>-0.19682896946155637</v>
      </c>
      <c r="U306" s="14"/>
      <c r="V306" s="14"/>
      <c r="W306" s="14"/>
      <c r="X306" s="45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</row>
    <row r="307" spans="1:37">
      <c r="A307" s="21" t="s">
        <v>83</v>
      </c>
      <c r="B307" s="43"/>
      <c r="C307" s="14"/>
      <c r="D307" s="14"/>
      <c r="E307" s="14"/>
      <c r="F307" s="14"/>
      <c r="G307" s="14"/>
      <c r="H307" s="14"/>
      <c r="I307" s="14"/>
      <c r="J307" s="14"/>
      <c r="K307" s="14"/>
      <c r="L307" s="45"/>
      <c r="N307" s="43"/>
      <c r="O307" s="14"/>
      <c r="P307" s="14"/>
      <c r="Q307" s="14"/>
      <c r="R307" s="14"/>
      <c r="S307" s="14"/>
      <c r="T307" s="29"/>
      <c r="U307" s="14"/>
      <c r="V307" s="14"/>
      <c r="W307" s="14"/>
      <c r="X307" s="45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</row>
    <row r="308" spans="1:37">
      <c r="A308" s="21" t="s">
        <v>104</v>
      </c>
      <c r="B308" s="43"/>
      <c r="C308" s="14"/>
      <c r="D308" s="14"/>
      <c r="E308" s="14"/>
      <c r="F308" s="14"/>
      <c r="G308" s="14"/>
      <c r="H308" s="14">
        <f>R140</f>
        <v>9.6256726652889317E-6</v>
      </c>
      <c r="I308" s="14"/>
      <c r="J308" s="14"/>
      <c r="K308" s="14"/>
      <c r="L308" s="45"/>
      <c r="N308" s="43"/>
      <c r="O308" s="14"/>
      <c r="P308" s="14"/>
      <c r="Q308" s="14"/>
      <c r="R308" s="14"/>
      <c r="S308" s="14"/>
      <c r="T308" s="29">
        <f>H308</f>
        <v>9.6256726652889317E-6</v>
      </c>
      <c r="U308" s="14"/>
      <c r="V308" s="14"/>
      <c r="W308" s="14"/>
      <c r="X308" s="45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</row>
    <row r="309" spans="1:37">
      <c r="A309" s="21" t="s">
        <v>86</v>
      </c>
      <c r="B309" s="43"/>
      <c r="C309" s="14"/>
      <c r="D309" s="14"/>
      <c r="E309" s="14"/>
      <c r="F309" s="14"/>
      <c r="G309" s="14"/>
      <c r="H309" s="14"/>
      <c r="I309" s="14"/>
      <c r="J309" s="14"/>
      <c r="K309" s="14"/>
      <c r="L309" s="45"/>
      <c r="N309" s="43"/>
      <c r="O309" s="14"/>
      <c r="P309" s="14"/>
      <c r="Q309" s="14"/>
      <c r="R309" s="14"/>
      <c r="S309" s="14"/>
      <c r="T309" s="14"/>
      <c r="U309" s="14"/>
      <c r="V309" s="14"/>
      <c r="W309" s="14"/>
      <c r="X309" s="45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</row>
    <row r="310" spans="1:37">
      <c r="B310" s="43"/>
      <c r="C310" s="14"/>
      <c r="D310" s="14"/>
      <c r="E310" s="14"/>
      <c r="F310" s="14"/>
      <c r="G310" s="14"/>
      <c r="H310" s="14"/>
      <c r="I310" s="14"/>
      <c r="J310" s="14"/>
      <c r="K310" s="14"/>
      <c r="L310" s="45"/>
      <c r="N310" s="43"/>
      <c r="O310" s="14"/>
      <c r="P310" s="14"/>
      <c r="Q310" s="14"/>
      <c r="R310" s="14"/>
      <c r="S310" s="14"/>
      <c r="T310" s="14"/>
      <c r="U310" s="14"/>
      <c r="V310" s="14"/>
      <c r="W310" s="14"/>
      <c r="X310" s="45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</row>
    <row r="311" spans="1:37">
      <c r="B311" s="43"/>
      <c r="C311" s="14">
        <f>D162</f>
        <v>88.868040517241383</v>
      </c>
      <c r="D311" s="14"/>
      <c r="E311" s="14"/>
      <c r="F311" s="14"/>
      <c r="G311" s="14"/>
      <c r="H311" s="14"/>
      <c r="I311" s="14"/>
      <c r="J311" s="14"/>
      <c r="K311" s="14"/>
      <c r="L311" s="45"/>
      <c r="N311" s="43"/>
      <c r="O311" s="14">
        <f>C311</f>
        <v>88.868040517241383</v>
      </c>
      <c r="P311" s="14"/>
      <c r="Q311" s="14"/>
      <c r="R311" s="14"/>
      <c r="S311" s="14"/>
      <c r="T311" s="14"/>
      <c r="U311" s="14"/>
      <c r="V311" s="14"/>
      <c r="W311" s="14"/>
      <c r="X311" s="45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</row>
    <row r="312" spans="1:37">
      <c r="B312" s="43"/>
      <c r="C312" s="14"/>
      <c r="D312" s="14"/>
      <c r="E312" s="14"/>
      <c r="F312" s="14"/>
      <c r="G312" s="14"/>
      <c r="H312" s="14"/>
      <c r="I312" s="14"/>
      <c r="J312" s="14"/>
      <c r="K312" s="14"/>
      <c r="L312" s="45"/>
      <c r="N312" s="43"/>
      <c r="O312" s="14"/>
      <c r="P312" s="14"/>
      <c r="Q312" s="14"/>
      <c r="R312" s="14"/>
      <c r="S312" s="14"/>
      <c r="T312" s="14"/>
      <c r="U312" s="14"/>
      <c r="V312" s="14"/>
      <c r="W312" s="14"/>
      <c r="X312" s="45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</row>
    <row r="313" spans="1:37">
      <c r="B313" s="43"/>
      <c r="C313" s="44" t="s">
        <v>105</v>
      </c>
      <c r="D313" s="14">
        <v>0.05</v>
      </c>
      <c r="E313" s="14"/>
      <c r="F313" s="14"/>
      <c r="G313" s="29" t="s">
        <v>108</v>
      </c>
      <c r="H313" s="14" t="str">
        <f>"]-∞;-"&amp;ROUND(D315,4)&amp;"[ U ]"&amp;ROUND(D315,4)&amp;";+∞["</f>
        <v>]-∞;-1,98[ U ]1,98;+∞[</v>
      </c>
      <c r="I313" s="14"/>
      <c r="J313" s="14"/>
      <c r="K313" s="14"/>
      <c r="L313" s="45"/>
      <c r="N313" s="43"/>
      <c r="O313" s="44" t="s">
        <v>105</v>
      </c>
      <c r="P313" s="14">
        <v>0.01</v>
      </c>
      <c r="Q313" s="14"/>
      <c r="R313" s="14"/>
      <c r="S313" s="29" t="s">
        <v>108</v>
      </c>
      <c r="T313" s="14" t="str">
        <f>"]-∞;-"&amp;ROUND(P315,4)&amp;"[ U ]"&amp;ROUND(P315,4)&amp;";+∞["</f>
        <v>]-∞;-2,62[ U ]2,62;+∞[</v>
      </c>
      <c r="U313" s="14"/>
      <c r="V313" s="14"/>
      <c r="W313" s="14"/>
      <c r="X313" s="45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</row>
    <row r="314" spans="1:37">
      <c r="B314" s="43"/>
      <c r="C314" s="44"/>
      <c r="D314" s="14"/>
      <c r="E314" s="14"/>
      <c r="F314" s="14"/>
      <c r="G314" s="14"/>
      <c r="H314" s="14"/>
      <c r="I314" s="14"/>
      <c r="J314" s="14"/>
      <c r="K314" s="14"/>
      <c r="L314" s="45"/>
      <c r="N314" s="43"/>
      <c r="O314" s="44"/>
      <c r="P314" s="14"/>
      <c r="Q314" s="14"/>
      <c r="R314" s="14"/>
      <c r="S314" s="14"/>
      <c r="T314" s="14"/>
      <c r="U314" s="14"/>
      <c r="V314" s="14"/>
      <c r="W314" s="14"/>
      <c r="X314" s="45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</row>
    <row r="315" spans="1:37">
      <c r="B315" s="43"/>
      <c r="C315" s="14"/>
      <c r="D315" s="14">
        <f>ROUND(_xlfn.T.INV(1-D313/2,120-(6+1)),2)</f>
        <v>1.98</v>
      </c>
      <c r="E315" s="14"/>
      <c r="F315" s="14"/>
      <c r="G315" s="14"/>
      <c r="H315" s="14"/>
      <c r="I315" s="14"/>
      <c r="J315" s="14"/>
      <c r="K315" s="14"/>
      <c r="L315" s="45"/>
      <c r="N315" s="43"/>
      <c r="O315" s="14"/>
      <c r="P315" s="14">
        <f>ROUND(_xlfn.T.INV(1-P313/2,120-(3+1)),2)</f>
        <v>2.62</v>
      </c>
      <c r="Q315" s="14"/>
      <c r="R315" s="14"/>
      <c r="S315" s="14"/>
      <c r="T315" s="14"/>
      <c r="U315" s="14"/>
      <c r="V315" s="14"/>
      <c r="W315" s="14"/>
      <c r="X315" s="45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</row>
    <row r="316" spans="1:37">
      <c r="B316" s="43"/>
      <c r="C316" s="29"/>
      <c r="D316" s="14"/>
      <c r="E316" s="14"/>
      <c r="F316" s="14"/>
      <c r="G316" s="14"/>
      <c r="H316" s="14"/>
      <c r="I316" s="14"/>
      <c r="J316" s="14"/>
      <c r="K316" s="14"/>
      <c r="L316" s="45"/>
      <c r="N316" s="43"/>
      <c r="O316" s="29"/>
      <c r="P316" s="14"/>
      <c r="Q316" s="14"/>
      <c r="R316" s="14"/>
      <c r="S316" s="14"/>
      <c r="T316" s="14"/>
      <c r="U316" s="14"/>
      <c r="V316" s="14"/>
      <c r="W316" s="14"/>
      <c r="X316" s="45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</row>
    <row r="317" spans="1:37">
      <c r="B317" s="43"/>
      <c r="C317" s="14"/>
      <c r="D317" s="14"/>
      <c r="E317" s="14"/>
      <c r="F317" s="14"/>
      <c r="G317" s="14"/>
      <c r="H317" s="14"/>
      <c r="I317" s="14"/>
      <c r="J317" s="14"/>
      <c r="K317" s="14"/>
      <c r="L317" s="45"/>
      <c r="N317" s="43"/>
      <c r="O317" s="14"/>
      <c r="P317" s="14"/>
      <c r="Q317" s="14"/>
      <c r="R317" s="14"/>
      <c r="S317" s="14"/>
      <c r="T317" s="14"/>
      <c r="U317" s="14"/>
      <c r="V317" s="14"/>
      <c r="W317" s="14"/>
      <c r="X317" s="45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</row>
    <row r="318" spans="1:37">
      <c r="B318" s="43"/>
      <c r="C318" s="14"/>
      <c r="D318" s="14"/>
      <c r="E318" s="14"/>
      <c r="F318" s="14"/>
      <c r="G318" s="14"/>
      <c r="H318" s="14"/>
      <c r="I318" s="14"/>
      <c r="J318" s="14"/>
      <c r="K318" s="14"/>
      <c r="L318" s="45"/>
      <c r="N318" s="43"/>
      <c r="O318" s="14"/>
      <c r="P318" s="14"/>
      <c r="Q318" s="14"/>
      <c r="R318" s="14"/>
      <c r="S318" s="14"/>
      <c r="T318" s="14"/>
      <c r="U318" s="14"/>
      <c r="V318" s="14"/>
      <c r="W318" s="14"/>
      <c r="X318" s="45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</row>
    <row r="319" spans="1:37">
      <c r="B319" s="43"/>
      <c r="C319" s="29" t="s">
        <v>106</v>
      </c>
      <c r="D319" s="14">
        <f>ROUND(H306/SQRT(C311*H308),4)</f>
        <v>-6.7298</v>
      </c>
      <c r="E319" s="14"/>
      <c r="F319" s="14"/>
      <c r="G319" s="14"/>
      <c r="H319" s="14"/>
      <c r="I319" s="14"/>
      <c r="J319" s="14"/>
      <c r="K319" s="14"/>
      <c r="L319" s="45"/>
      <c r="N319" s="43"/>
      <c r="O319" s="29" t="s">
        <v>106</v>
      </c>
      <c r="P319" s="14">
        <f>ROUND(T306/SQRT(O311*T308),4)</f>
        <v>-6.7298</v>
      </c>
      <c r="Q319" s="14"/>
      <c r="R319" s="14"/>
      <c r="S319" s="14"/>
      <c r="T319" s="14"/>
      <c r="U319" s="14"/>
      <c r="V319" s="14"/>
      <c r="W319" s="14"/>
      <c r="X319" s="45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</row>
    <row r="320" spans="1:37">
      <c r="B320" s="43"/>
      <c r="C320" s="29" t="s">
        <v>107</v>
      </c>
      <c r="D320" s="14">
        <f>ABS(D319)</f>
        <v>6.7298</v>
      </c>
      <c r="E320" s="14"/>
      <c r="F320" s="14"/>
      <c r="G320" s="14"/>
      <c r="H320" s="14"/>
      <c r="I320" s="14"/>
      <c r="J320" s="14"/>
      <c r="K320" s="14"/>
      <c r="L320" s="45"/>
      <c r="N320" s="43"/>
      <c r="O320" s="29" t="s">
        <v>107</v>
      </c>
      <c r="P320" s="14">
        <f>ABS(P319)</f>
        <v>6.7298</v>
      </c>
      <c r="Q320" s="14"/>
      <c r="R320" s="14"/>
      <c r="S320" s="14"/>
      <c r="T320" s="14"/>
      <c r="U320" s="14"/>
      <c r="V320" s="14"/>
      <c r="W320" s="14"/>
      <c r="X320" s="45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</row>
    <row r="321" spans="1:37" ht="13.5" thickBot="1">
      <c r="B321" s="47" t="str">
        <f>IF(ABS(D319)&gt;ROUND(D315,4), "Como |"&amp;ROUND(D319,2)&amp;"| &gt; "&amp;ROUND(D315,4)&amp;" então rejeita-se H0, logo a um nível de significância de "&amp;D313*100&amp;"% há evidencia estatística suficiente para se concluir que "&amp;G306&amp;" é não nulo","Como |"&amp;ROUND(D319,2)&amp;"|  ≤ "&amp;ROUND(D315,4)&amp;" então não se rejeita H0, logo a um nível de significância de "&amp;D313*100&amp;"% há evidencia estatística suficiente para se concluir que "&amp;G306&amp;" é nulo")</f>
        <v>Como |-6,73| &gt; 1,98 então rejeita-se H0, logo a um nível de significância de 5% há evidencia estatística suficiente para se concluir que β2= é não nulo</v>
      </c>
      <c r="C321" s="28"/>
      <c r="D321" s="28"/>
      <c r="E321" s="28"/>
      <c r="F321" s="28"/>
      <c r="G321" s="28"/>
      <c r="H321" s="28"/>
      <c r="I321" s="28"/>
      <c r="J321" s="28"/>
      <c r="K321" s="49"/>
      <c r="L321" s="49"/>
      <c r="N321" s="47" t="str">
        <f>IF(ABS(P319)&gt;ROUND(P315,4), "Como |"&amp;ROUND(P319,2)&amp;"| &gt; "&amp;ROUND(P315,4)&amp;" então rejeita-se H0, logo a um nível de significância de "&amp;P313*100&amp;"% há evidencia estatística suficiente para se concluir que "&amp;S306&amp;" é não nulo","Como |"&amp;ROUND(P319,2)&amp;"|  ≤ "&amp;ROUND(P315,4)&amp;" então não se rejeita H0, logo a um nível de significância de "&amp;P313*100&amp;"% há evidencia estatística suficiente para se concluir que "&amp;S306&amp;" é nulo")</f>
        <v>Como |-6,73| &gt; 2,62 então rejeita-se H0, logo a um nível de significância de 1% há evidencia estatística suficiente para se concluir que β2= é não nulo</v>
      </c>
      <c r="O321" s="28"/>
      <c r="P321" s="28"/>
      <c r="Q321" s="28"/>
      <c r="R321" s="28"/>
      <c r="S321" s="28"/>
      <c r="T321" s="28"/>
      <c r="U321" s="28"/>
      <c r="V321" s="28"/>
      <c r="W321" s="49"/>
      <c r="X321" s="49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</row>
    <row r="322" spans="1:37" ht="13.5" thickBot="1"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</row>
    <row r="323" spans="1:37">
      <c r="B323" s="39"/>
      <c r="C323" s="41"/>
      <c r="D323" s="41"/>
      <c r="E323" s="41"/>
      <c r="F323" s="41"/>
      <c r="G323" s="41"/>
      <c r="H323" s="41"/>
      <c r="I323" s="41"/>
      <c r="J323" s="41"/>
      <c r="K323" s="41"/>
      <c r="L323" s="42"/>
      <c r="N323" s="39"/>
      <c r="O323" s="41"/>
      <c r="P323" s="41"/>
      <c r="Q323" s="41"/>
      <c r="R323" s="41"/>
      <c r="S323" s="41"/>
      <c r="T323" s="41"/>
      <c r="U323" s="41"/>
      <c r="V323" s="41"/>
      <c r="W323" s="41"/>
      <c r="X323" s="42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</row>
    <row r="324" spans="1:37">
      <c r="A324" s="21" t="s">
        <v>103</v>
      </c>
      <c r="B324" s="43"/>
      <c r="C324" s="14"/>
      <c r="D324" s="14"/>
      <c r="E324" s="14"/>
      <c r="F324" s="14"/>
      <c r="G324" s="29" t="str">
        <f>A327&amp;"="</f>
        <v>β3=</v>
      </c>
      <c r="H324" s="14">
        <f>AH140</f>
        <v>6.1584934065689545E-2</v>
      </c>
      <c r="I324" s="14"/>
      <c r="J324" s="14"/>
      <c r="K324" s="14"/>
      <c r="L324" s="45"/>
      <c r="N324" s="43"/>
      <c r="O324" s="14"/>
      <c r="P324" s="14"/>
      <c r="Q324" s="14"/>
      <c r="R324" s="14"/>
      <c r="S324" s="29" t="str">
        <f>G324</f>
        <v>β3=</v>
      </c>
      <c r="T324" s="29">
        <f>H324</f>
        <v>6.1584934065689545E-2</v>
      </c>
      <c r="U324" s="14"/>
      <c r="V324" s="14"/>
      <c r="W324" s="14"/>
      <c r="X324" s="45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</row>
    <row r="325" spans="1:37">
      <c r="A325" s="21" t="s">
        <v>83</v>
      </c>
      <c r="B325" s="43"/>
      <c r="C325" s="14"/>
      <c r="D325" s="14"/>
      <c r="E325" s="14"/>
      <c r="F325" s="14"/>
      <c r="G325" s="14"/>
      <c r="H325" s="14"/>
      <c r="I325" s="14"/>
      <c r="J325" s="14"/>
      <c r="K325" s="14"/>
      <c r="L325" s="45"/>
      <c r="N325" s="43"/>
      <c r="O325" s="14"/>
      <c r="P325" s="14"/>
      <c r="Q325" s="14"/>
      <c r="R325" s="14"/>
      <c r="S325" s="14"/>
      <c r="T325" s="14"/>
      <c r="U325" s="14"/>
      <c r="V325" s="14"/>
      <c r="W325" s="14"/>
      <c r="X325" s="45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</row>
    <row r="326" spans="1:37">
      <c r="A326" s="21" t="s">
        <v>104</v>
      </c>
      <c r="B326" s="43"/>
      <c r="C326" s="14"/>
      <c r="D326" s="14"/>
      <c r="E326" s="14"/>
      <c r="F326" s="14"/>
      <c r="G326" s="14"/>
      <c r="H326" s="14">
        <f>S141</f>
        <v>1.3137297451015543E-7</v>
      </c>
      <c r="I326" s="14"/>
      <c r="J326" s="14"/>
      <c r="K326" s="14"/>
      <c r="L326" s="45"/>
      <c r="N326" s="43"/>
      <c r="O326" s="14"/>
      <c r="P326" s="14"/>
      <c r="Q326" s="14"/>
      <c r="R326" s="14"/>
      <c r="S326" s="14"/>
      <c r="T326" s="29">
        <f>H326</f>
        <v>1.3137297451015543E-7</v>
      </c>
      <c r="U326" s="14"/>
      <c r="V326" s="14"/>
      <c r="W326" s="14"/>
      <c r="X326" s="45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</row>
    <row r="327" spans="1:37">
      <c r="A327" s="21" t="s">
        <v>87</v>
      </c>
      <c r="B327" s="43"/>
      <c r="C327" s="14"/>
      <c r="D327" s="14"/>
      <c r="E327" s="14"/>
      <c r="F327" s="14"/>
      <c r="G327" s="14"/>
      <c r="H327" s="14"/>
      <c r="I327" s="14"/>
      <c r="J327" s="14"/>
      <c r="K327" s="14"/>
      <c r="L327" s="45"/>
      <c r="N327" s="43"/>
      <c r="O327" s="14"/>
      <c r="P327" s="14"/>
      <c r="Q327" s="14"/>
      <c r="R327" s="14"/>
      <c r="S327" s="14"/>
      <c r="T327" s="14"/>
      <c r="U327" s="14"/>
      <c r="V327" s="14"/>
      <c r="W327" s="14"/>
      <c r="X327" s="45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</row>
    <row r="328" spans="1:37">
      <c r="B328" s="43"/>
      <c r="C328" s="14"/>
      <c r="D328" s="14"/>
      <c r="E328" s="14"/>
      <c r="F328" s="14"/>
      <c r="G328" s="14"/>
      <c r="H328" s="14"/>
      <c r="I328" s="14"/>
      <c r="J328" s="14"/>
      <c r="K328" s="14"/>
      <c r="L328" s="45"/>
      <c r="N328" s="43"/>
      <c r="O328" s="14"/>
      <c r="P328" s="14"/>
      <c r="Q328" s="14"/>
      <c r="R328" s="14"/>
      <c r="S328" s="14"/>
      <c r="T328" s="14"/>
      <c r="U328" s="14"/>
      <c r="V328" s="14"/>
      <c r="W328" s="14"/>
      <c r="X328" s="45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</row>
    <row r="329" spans="1:37">
      <c r="B329" s="43"/>
      <c r="C329" s="14">
        <f>D162</f>
        <v>88.868040517241383</v>
      </c>
      <c r="D329" s="14"/>
      <c r="E329" s="14"/>
      <c r="F329" s="14"/>
      <c r="G329" s="14"/>
      <c r="H329" s="14"/>
      <c r="I329" s="14"/>
      <c r="J329" s="14"/>
      <c r="K329" s="14"/>
      <c r="L329" s="45"/>
      <c r="N329" s="43"/>
      <c r="O329" s="14">
        <f>C329</f>
        <v>88.868040517241383</v>
      </c>
      <c r="P329" s="14"/>
      <c r="Q329" s="14"/>
      <c r="R329" s="14"/>
      <c r="S329" s="14"/>
      <c r="T329" s="14"/>
      <c r="U329" s="14"/>
      <c r="V329" s="14"/>
      <c r="W329" s="14"/>
      <c r="X329" s="45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</row>
    <row r="330" spans="1:37">
      <c r="B330" s="43"/>
      <c r="C330" s="14"/>
      <c r="D330" s="14"/>
      <c r="E330" s="14"/>
      <c r="F330" s="14"/>
      <c r="G330" s="14"/>
      <c r="H330" s="14"/>
      <c r="I330" s="14"/>
      <c r="J330" s="14"/>
      <c r="K330" s="14"/>
      <c r="L330" s="45"/>
      <c r="N330" s="43"/>
      <c r="O330" s="14"/>
      <c r="P330" s="14"/>
      <c r="Q330" s="14"/>
      <c r="R330" s="14"/>
      <c r="S330" s="14"/>
      <c r="T330" s="14"/>
      <c r="U330" s="14"/>
      <c r="V330" s="14"/>
      <c r="W330" s="14"/>
      <c r="X330" s="45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</row>
    <row r="331" spans="1:37">
      <c r="B331" s="43"/>
      <c r="C331" s="44" t="s">
        <v>105</v>
      </c>
      <c r="D331" s="14">
        <v>0.05</v>
      </c>
      <c r="E331" s="14"/>
      <c r="F331" s="14"/>
      <c r="G331" s="29" t="s">
        <v>108</v>
      </c>
      <c r="H331" s="14" t="str">
        <f>"]-∞;-"&amp;ROUND(D333,4)&amp;"[ U ]"&amp;ROUND(D333,4)&amp;";+∞["</f>
        <v>]-∞;-1,98[ U ]1,98;+∞[</v>
      </c>
      <c r="I331" s="14"/>
      <c r="J331" s="14"/>
      <c r="K331" s="14"/>
      <c r="L331" s="45"/>
      <c r="N331" s="43"/>
      <c r="O331" s="44" t="s">
        <v>105</v>
      </c>
      <c r="P331" s="14">
        <v>0.01</v>
      </c>
      <c r="Q331" s="14"/>
      <c r="R331" s="14"/>
      <c r="S331" s="29" t="s">
        <v>108</v>
      </c>
      <c r="T331" s="14" t="str">
        <f>"]-∞;-"&amp;ROUND(P333,4)&amp;"[ U ]"&amp;ROUND(P333,4)&amp;";+∞["</f>
        <v>]-∞;-2,62[ U ]2,62;+∞[</v>
      </c>
      <c r="U331" s="14"/>
      <c r="V331" s="14"/>
      <c r="W331" s="14"/>
      <c r="X331" s="45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</row>
    <row r="332" spans="1:37">
      <c r="B332" s="43"/>
      <c r="C332" s="44"/>
      <c r="D332" s="14"/>
      <c r="E332" s="14"/>
      <c r="F332" s="14"/>
      <c r="G332" s="14"/>
      <c r="H332" s="14"/>
      <c r="I332" s="14"/>
      <c r="J332" s="14"/>
      <c r="K332" s="14"/>
      <c r="L332" s="45"/>
      <c r="N332" s="43"/>
      <c r="O332" s="44"/>
      <c r="P332" s="14"/>
      <c r="Q332" s="14"/>
      <c r="R332" s="14"/>
      <c r="S332" s="14"/>
      <c r="T332" s="14"/>
      <c r="U332" s="14"/>
      <c r="V332" s="14"/>
      <c r="W332" s="14"/>
      <c r="X332" s="45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</row>
    <row r="333" spans="1:37">
      <c r="B333" s="43"/>
      <c r="C333" s="14"/>
      <c r="D333" s="14">
        <f>ROUND(_xlfn.T.INV(1-D331/2,120-(6+1)),2)</f>
        <v>1.98</v>
      </c>
      <c r="E333" s="14"/>
      <c r="F333" s="14"/>
      <c r="G333" s="14"/>
      <c r="H333" s="14"/>
      <c r="I333" s="14"/>
      <c r="J333" s="14"/>
      <c r="K333" s="14"/>
      <c r="L333" s="45"/>
      <c r="N333" s="43"/>
      <c r="O333" s="14"/>
      <c r="P333" s="14">
        <f>ROUND(_xlfn.T.INV(1-P331/2,120-(3+1)),2)</f>
        <v>2.62</v>
      </c>
      <c r="Q333" s="14"/>
      <c r="R333" s="14"/>
      <c r="S333" s="14"/>
      <c r="T333" s="14"/>
      <c r="U333" s="14"/>
      <c r="V333" s="14"/>
      <c r="W333" s="14"/>
      <c r="X333" s="45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</row>
    <row r="334" spans="1:37">
      <c r="B334" s="43"/>
      <c r="C334" s="29"/>
      <c r="D334" s="14"/>
      <c r="E334" s="14"/>
      <c r="F334" s="14"/>
      <c r="G334" s="14"/>
      <c r="H334" s="14"/>
      <c r="I334" s="14"/>
      <c r="J334" s="14"/>
      <c r="K334" s="14"/>
      <c r="L334" s="45"/>
      <c r="N334" s="43"/>
      <c r="O334" s="29"/>
      <c r="P334" s="14"/>
      <c r="Q334" s="14"/>
      <c r="R334" s="14"/>
      <c r="S334" s="14"/>
      <c r="T334" s="14"/>
      <c r="U334" s="14"/>
      <c r="V334" s="14"/>
      <c r="W334" s="14"/>
      <c r="X334" s="45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</row>
    <row r="335" spans="1:37">
      <c r="B335" s="43"/>
      <c r="C335" s="14"/>
      <c r="D335" s="14"/>
      <c r="E335" s="14"/>
      <c r="F335" s="14"/>
      <c r="G335" s="14"/>
      <c r="H335" s="14"/>
      <c r="I335" s="14"/>
      <c r="J335" s="14"/>
      <c r="K335" s="14"/>
      <c r="L335" s="45"/>
      <c r="N335" s="43"/>
      <c r="O335" s="14"/>
      <c r="P335" s="14"/>
      <c r="Q335" s="14"/>
      <c r="R335" s="14"/>
      <c r="S335" s="14"/>
      <c r="T335" s="14"/>
      <c r="U335" s="14"/>
      <c r="V335" s="14"/>
      <c r="W335" s="14"/>
      <c r="X335" s="45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</row>
    <row r="336" spans="1:37">
      <c r="B336" s="43"/>
      <c r="C336" s="14"/>
      <c r="D336" s="14"/>
      <c r="E336" s="14"/>
      <c r="F336" s="14"/>
      <c r="G336" s="14"/>
      <c r="H336" s="14"/>
      <c r="I336" s="14"/>
      <c r="J336" s="14"/>
      <c r="K336" s="14"/>
      <c r="L336" s="45"/>
      <c r="N336" s="43"/>
      <c r="O336" s="14"/>
      <c r="P336" s="14"/>
      <c r="Q336" s="14"/>
      <c r="R336" s="14"/>
      <c r="S336" s="14"/>
      <c r="T336" s="14"/>
      <c r="U336" s="14"/>
      <c r="V336" s="14"/>
      <c r="W336" s="14"/>
      <c r="X336" s="45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</row>
    <row r="337" spans="2:37">
      <c r="B337" s="43"/>
      <c r="C337" s="29" t="s">
        <v>106</v>
      </c>
      <c r="D337" s="14">
        <f>ROUND(H324/SQRT(C329*H326),4)</f>
        <v>18.023900000000001</v>
      </c>
      <c r="E337" s="14"/>
      <c r="F337" s="14"/>
      <c r="G337" s="14"/>
      <c r="H337" s="14"/>
      <c r="I337" s="14"/>
      <c r="J337" s="14"/>
      <c r="K337" s="14"/>
      <c r="L337" s="45"/>
      <c r="N337" s="43"/>
      <c r="O337" s="29" t="s">
        <v>106</v>
      </c>
      <c r="P337" s="14">
        <f>ROUND(T324/SQRT(O329*T326),4)</f>
        <v>18.023900000000001</v>
      </c>
      <c r="Q337" s="14"/>
      <c r="R337" s="14"/>
      <c r="S337" s="14"/>
      <c r="T337" s="14"/>
      <c r="U337" s="14"/>
      <c r="V337" s="14"/>
      <c r="W337" s="14"/>
      <c r="X337" s="45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</row>
    <row r="338" spans="2:37">
      <c r="B338" s="43"/>
      <c r="C338" s="29" t="s">
        <v>107</v>
      </c>
      <c r="D338" s="14">
        <f>ABS(D337)</f>
        <v>18.023900000000001</v>
      </c>
      <c r="E338" s="14"/>
      <c r="F338" s="14"/>
      <c r="G338" s="14"/>
      <c r="H338" s="14"/>
      <c r="I338" s="14"/>
      <c r="J338" s="14"/>
      <c r="K338" s="14"/>
      <c r="L338" s="45"/>
      <c r="N338" s="43"/>
      <c r="O338" s="29" t="s">
        <v>107</v>
      </c>
      <c r="P338" s="14">
        <f>ABS(P337)</f>
        <v>18.023900000000001</v>
      </c>
      <c r="Q338" s="14"/>
      <c r="R338" s="14"/>
      <c r="S338" s="14"/>
      <c r="T338" s="14"/>
      <c r="U338" s="14"/>
      <c r="V338" s="14"/>
      <c r="W338" s="14"/>
      <c r="X338" s="45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</row>
    <row r="339" spans="2:37" ht="13.5" thickBot="1">
      <c r="B339" s="47" t="str">
        <f>IF(ABS(D337)&gt;ROUND(D333,4), "Como |"&amp;ROUND(D337,2)&amp;"| &gt; "&amp;ROUND(D333,4)&amp;" então rejeita-se H0, logo a um nível de significância de "&amp;D331*100&amp;"% há evidencia estatística suficiente para se concluir que "&amp;G324&amp;" é não nulo","Como |"&amp;ROUND(D337,2)&amp;"|  ≤ "&amp;ROUND(D333,4)&amp;" então não se rejeita H0, logo a um nível de significância de "&amp;D331*100&amp;"% há evidencia estatística suficiente para se concluir que "&amp;G324&amp;" é nulo")</f>
        <v>Como |18,02| &gt; 1,98 então rejeita-se H0, logo a um nível de significância de 5% há evidencia estatística suficiente para se concluir que β3= é não nulo</v>
      </c>
      <c r="C339" s="28"/>
      <c r="D339" s="28"/>
      <c r="E339" s="28"/>
      <c r="F339" s="28"/>
      <c r="G339" s="28"/>
      <c r="H339" s="28"/>
      <c r="I339" s="28"/>
      <c r="J339" s="28"/>
      <c r="K339" s="49"/>
      <c r="L339" s="49"/>
      <c r="N339" s="47" t="str">
        <f>IF(ABS(P337)&gt;ROUND(P333,4), "Como |"&amp;ROUND(P337,2)&amp;"| &gt; "&amp;ROUND(P333,4)&amp;" então rejeita-se H0, logo a um nível de significância de "&amp;P331*100&amp;"% há evidencia estatística suficiente para se concluir que "&amp;S324&amp;" é não nulo","Como |"&amp;ROUND(P337,2)&amp;"|  ≤ "&amp;ROUND(P333,4)&amp;" então não se rejeita H0, logo a um nível de significância de "&amp;P331*100&amp;"% há evidencia estatística suficiente para se concluir que "&amp;S324&amp;" é nulo")</f>
        <v>Como |18,02| &gt; 2,62 então rejeita-se H0, logo a um nível de significância de 1% há evidencia estatística suficiente para se concluir que β3= é não nulo</v>
      </c>
      <c r="O339" s="28"/>
      <c r="P339" s="28"/>
      <c r="Q339" s="28"/>
      <c r="R339" s="28"/>
      <c r="S339" s="28"/>
      <c r="T339" s="28"/>
      <c r="U339" s="28"/>
      <c r="V339" s="28"/>
      <c r="W339" s="49"/>
      <c r="X339" s="49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</row>
  </sheetData>
  <mergeCells count="1">
    <mergeCell ref="B147:O1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B85DF-A45F-457B-BC43-65ACA070390B}">
  <dimension ref="A1:AN231"/>
  <sheetViews>
    <sheetView topLeftCell="A206" zoomScale="66" zoomScaleNormal="66" workbookViewId="0">
      <selection activeCell="R245" sqref="R245"/>
    </sheetView>
  </sheetViews>
  <sheetFormatPr defaultRowHeight="12.75"/>
  <cols>
    <col min="2" max="2" width="11.28515625" customWidth="1"/>
    <col min="3" max="3" width="16.42578125" customWidth="1"/>
    <col min="4" max="4" width="11.42578125" customWidth="1"/>
    <col min="5" max="5" width="12.7109375" bestFit="1" customWidth="1"/>
    <col min="6" max="6" width="10" bestFit="1" customWidth="1"/>
    <col min="7" max="7" width="11.42578125" customWidth="1"/>
    <col min="8" max="8" width="19.85546875" customWidth="1"/>
    <col min="9" max="9" width="12.42578125" bestFit="1" customWidth="1"/>
    <col min="15" max="15" width="11" bestFit="1" customWidth="1"/>
    <col min="26" max="26" width="11" bestFit="1" customWidth="1"/>
  </cols>
  <sheetData>
    <row r="1" spans="1:40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69"/>
    </row>
    <row r="2" spans="1:40">
      <c r="A2" s="69"/>
      <c r="B2" s="2" t="s">
        <v>10</v>
      </c>
      <c r="C2" s="2" t="s">
        <v>33</v>
      </c>
      <c r="D2" s="2" t="s">
        <v>34</v>
      </c>
      <c r="E2" s="2" t="s">
        <v>35</v>
      </c>
      <c r="F2" s="2"/>
      <c r="G2" s="3"/>
      <c r="H2" s="3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</row>
    <row r="3" spans="1:40">
      <c r="A3" s="69"/>
      <c r="B3" s="4" t="s">
        <v>1</v>
      </c>
      <c r="C3" s="4" t="s">
        <v>3</v>
      </c>
      <c r="D3" s="4" t="s">
        <v>4</v>
      </c>
      <c r="E3" s="4" t="s">
        <v>5</v>
      </c>
      <c r="F3" s="4"/>
      <c r="G3" s="14"/>
      <c r="H3" s="14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</row>
    <row r="4" spans="1:40">
      <c r="A4" s="69"/>
      <c r="B4" s="4">
        <v>44898</v>
      </c>
      <c r="C4" s="4">
        <v>0.68710000000000004</v>
      </c>
      <c r="D4" s="4">
        <v>6117</v>
      </c>
      <c r="E4" s="4">
        <v>45642</v>
      </c>
      <c r="F4" s="4">
        <f>ROUND($AI$31,4)+ROUND($AI$32,4)*C4+ROUND($AI$33,4)*D4+ROUND($AI$34,4)*E4</f>
        <v>39371.455624900002</v>
      </c>
      <c r="G4" s="14"/>
      <c r="H4" s="14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</row>
    <row r="5" spans="1:40">
      <c r="A5" s="69"/>
      <c r="B5" s="4">
        <v>20342</v>
      </c>
      <c r="C5" s="4">
        <v>0.50429999999999997</v>
      </c>
      <c r="D5" s="4">
        <v>5872</v>
      </c>
      <c r="E5" s="4">
        <v>38719</v>
      </c>
      <c r="F5" s="4">
        <f t="shared" ref="F5:F20" si="0">ROUND($AI$31,4)+ROUND($AI$32,4)*C5+ROUND($AI$33,4)*D5+ROUND($AI$34,4)*E5</f>
        <v>27471.5769917</v>
      </c>
      <c r="G5" s="14"/>
      <c r="H5" s="14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>
      <c r="A6" s="69"/>
      <c r="B6" s="4">
        <v>11769</v>
      </c>
      <c r="C6" s="4">
        <v>0.47710000000000002</v>
      </c>
      <c r="D6" s="4">
        <v>4906</v>
      </c>
      <c r="E6" s="4">
        <v>27454</v>
      </c>
      <c r="F6" s="4">
        <f t="shared" si="0"/>
        <v>13726.676834900005</v>
      </c>
      <c r="G6" s="14"/>
      <c r="H6" s="14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</row>
    <row r="7" spans="1:40">
      <c r="A7" s="69"/>
      <c r="B7" s="4">
        <v>7037</v>
      </c>
      <c r="C7" s="4">
        <v>0.50860000000000005</v>
      </c>
      <c r="D7" s="4">
        <v>3825</v>
      </c>
      <c r="E7" s="4">
        <v>18463</v>
      </c>
      <c r="F7" s="4">
        <f t="shared" si="0"/>
        <v>5624.6956833999975</v>
      </c>
      <c r="G7" s="14"/>
      <c r="H7" s="14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</row>
    <row r="8" spans="1:40">
      <c r="A8" s="69"/>
      <c r="B8" s="4">
        <v>5532</v>
      </c>
      <c r="C8" s="4">
        <v>0.61429999999999996</v>
      </c>
      <c r="D8" s="4">
        <v>2829</v>
      </c>
      <c r="E8" s="4">
        <v>12112</v>
      </c>
      <c r="F8" s="4">
        <f t="shared" si="0"/>
        <v>2145.0636817000013</v>
      </c>
      <c r="G8" s="14"/>
      <c r="H8" s="14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</row>
    <row r="9" spans="1:40">
      <c r="A9" s="69"/>
      <c r="B9" s="4">
        <v>4163</v>
      </c>
      <c r="C9" s="4">
        <v>0.66710000000000003</v>
      </c>
      <c r="D9" s="4">
        <v>1971</v>
      </c>
      <c r="E9" s="4">
        <v>7986</v>
      </c>
      <c r="F9" s="4">
        <f t="shared" si="0"/>
        <v>1725.0344449000004</v>
      </c>
      <c r="G9" s="14"/>
      <c r="H9" s="14"/>
      <c r="I9" s="69"/>
      <c r="J9" s="69"/>
      <c r="K9" s="69"/>
      <c r="L9" s="69">
        <v>1</v>
      </c>
      <c r="M9" s="69">
        <f>C4</f>
        <v>0.68710000000000004</v>
      </c>
      <c r="N9" s="69">
        <f t="shared" ref="N9:O9" si="1">D4</f>
        <v>6117</v>
      </c>
      <c r="O9" s="69">
        <f t="shared" si="1"/>
        <v>45642</v>
      </c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</row>
    <row r="10" spans="1:40">
      <c r="A10" s="69"/>
      <c r="B10" s="4">
        <v>2565</v>
      </c>
      <c r="C10" s="4">
        <v>0.67600000000000005</v>
      </c>
      <c r="D10" s="4">
        <v>1265</v>
      </c>
      <c r="E10" s="4">
        <v>5100</v>
      </c>
      <c r="F10" s="4">
        <f t="shared" si="0"/>
        <v>2312.068643999999</v>
      </c>
      <c r="G10" s="14"/>
      <c r="H10" s="14"/>
      <c r="I10" s="69"/>
      <c r="J10" s="69"/>
      <c r="K10" s="69"/>
      <c r="L10" s="69">
        <v>1</v>
      </c>
      <c r="M10" s="69">
        <f t="shared" ref="M10:O25" si="2">C5</f>
        <v>0.50429999999999997</v>
      </c>
      <c r="N10" s="69">
        <f t="shared" si="2"/>
        <v>5872</v>
      </c>
      <c r="O10" s="69">
        <f t="shared" si="2"/>
        <v>38719</v>
      </c>
      <c r="P10" s="69"/>
      <c r="Q10" s="69"/>
      <c r="R10" s="69"/>
      <c r="S10" s="69"/>
      <c r="T10" s="69"/>
      <c r="U10" s="69"/>
      <c r="V10" s="69">
        <f t="array" ref="V10:AL13">TRANSPOSE(L9:R25)</f>
        <v>1</v>
      </c>
      <c r="W10" s="69">
        <v>1</v>
      </c>
      <c r="X10" s="69">
        <v>1</v>
      </c>
      <c r="Y10" s="69">
        <v>1</v>
      </c>
      <c r="Z10" s="69">
        <v>1</v>
      </c>
      <c r="AA10" s="69">
        <v>1</v>
      </c>
      <c r="AB10" s="69">
        <v>1</v>
      </c>
      <c r="AC10" s="69">
        <v>1</v>
      </c>
      <c r="AD10" s="69">
        <v>1</v>
      </c>
      <c r="AE10" s="69">
        <v>1</v>
      </c>
      <c r="AF10" s="69">
        <v>1</v>
      </c>
      <c r="AG10" s="69">
        <v>1</v>
      </c>
      <c r="AH10" s="69">
        <v>1</v>
      </c>
      <c r="AI10" s="69">
        <v>1</v>
      </c>
      <c r="AJ10" s="69">
        <v>1</v>
      </c>
      <c r="AK10" s="69">
        <v>1</v>
      </c>
      <c r="AL10" s="69">
        <v>1</v>
      </c>
      <c r="AM10" s="69"/>
      <c r="AN10" s="69"/>
    </row>
    <row r="11" spans="1:40">
      <c r="A11" s="69"/>
      <c r="B11" s="4">
        <v>2877</v>
      </c>
      <c r="C11" s="4">
        <v>0.8357</v>
      </c>
      <c r="D11" s="4">
        <v>1078</v>
      </c>
      <c r="E11" s="4">
        <v>4841</v>
      </c>
      <c r="F11" s="4">
        <f t="shared" si="0"/>
        <v>3802.6596683000016</v>
      </c>
      <c r="G11" s="14"/>
      <c r="H11" s="14"/>
      <c r="I11" s="69"/>
      <c r="J11" s="69"/>
      <c r="K11" s="69"/>
      <c r="L11" s="69">
        <v>1</v>
      </c>
      <c r="M11" s="69">
        <f t="shared" si="2"/>
        <v>0.47710000000000002</v>
      </c>
      <c r="N11" s="69">
        <f t="shared" si="2"/>
        <v>4906</v>
      </c>
      <c r="O11" s="69">
        <f t="shared" si="2"/>
        <v>27454</v>
      </c>
      <c r="P11" s="69"/>
      <c r="Q11" s="69"/>
      <c r="R11" s="69"/>
      <c r="S11" s="69"/>
      <c r="T11" s="69"/>
      <c r="U11" s="69"/>
      <c r="V11" s="69">
        <v>0.68710000000000004</v>
      </c>
      <c r="W11" s="69">
        <v>0.50429999999999997</v>
      </c>
      <c r="X11" s="69">
        <v>0.47710000000000002</v>
      </c>
      <c r="Y11" s="69">
        <v>0.50860000000000005</v>
      </c>
      <c r="Z11" s="69">
        <v>0.61429999999999996</v>
      </c>
      <c r="AA11" s="69">
        <v>0.66710000000000003</v>
      </c>
      <c r="AB11" s="69">
        <v>0.67600000000000005</v>
      </c>
      <c r="AC11" s="69">
        <v>0.8357</v>
      </c>
      <c r="AD11" s="69">
        <v>0.9657</v>
      </c>
      <c r="AE11" s="69">
        <v>1.1086</v>
      </c>
      <c r="AF11" s="69">
        <v>1.0071000000000001</v>
      </c>
      <c r="AG11" s="69">
        <v>0.96430000000000005</v>
      </c>
      <c r="AH11" s="69">
        <v>0.89</v>
      </c>
      <c r="AI11" s="69">
        <v>0.88</v>
      </c>
      <c r="AJ11" s="69">
        <v>1.0128999999999999</v>
      </c>
      <c r="AK11" s="69">
        <v>1.1000000000000001</v>
      </c>
      <c r="AL11" s="69">
        <v>1.1399999999999999</v>
      </c>
      <c r="AM11" s="69"/>
      <c r="AN11" s="69"/>
    </row>
    <row r="12" spans="1:40">
      <c r="A12" s="69"/>
      <c r="B12" s="4">
        <v>2928</v>
      </c>
      <c r="C12" s="4">
        <v>0.9657</v>
      </c>
      <c r="D12" s="4">
        <v>895</v>
      </c>
      <c r="E12" s="4">
        <v>3845</v>
      </c>
      <c r="F12" s="4">
        <f t="shared" si="0"/>
        <v>3737.2557383000003</v>
      </c>
      <c r="G12" s="14"/>
      <c r="H12" s="14"/>
      <c r="I12" s="69"/>
      <c r="J12" s="69"/>
      <c r="K12" s="69"/>
      <c r="L12" s="69">
        <v>1</v>
      </c>
      <c r="M12" s="69">
        <f t="shared" si="2"/>
        <v>0.50860000000000005</v>
      </c>
      <c r="N12" s="69">
        <f t="shared" si="2"/>
        <v>3825</v>
      </c>
      <c r="O12" s="69">
        <f t="shared" si="2"/>
        <v>18463</v>
      </c>
      <c r="P12" s="69"/>
      <c r="Q12" s="69"/>
      <c r="R12" s="69"/>
      <c r="S12" s="69"/>
      <c r="T12" s="69"/>
      <c r="U12" s="69"/>
      <c r="V12" s="69">
        <v>6117</v>
      </c>
      <c r="W12" s="69">
        <v>5872</v>
      </c>
      <c r="X12" s="69">
        <v>4906</v>
      </c>
      <c r="Y12" s="69">
        <v>3825</v>
      </c>
      <c r="Z12" s="69">
        <v>2829</v>
      </c>
      <c r="AA12" s="69">
        <v>1971</v>
      </c>
      <c r="AB12" s="69">
        <v>1265</v>
      </c>
      <c r="AC12" s="69">
        <v>1078</v>
      </c>
      <c r="AD12" s="69">
        <v>895</v>
      </c>
      <c r="AE12" s="69">
        <v>823</v>
      </c>
      <c r="AF12" s="69">
        <v>775</v>
      </c>
      <c r="AG12" s="69">
        <v>733</v>
      </c>
      <c r="AH12" s="69">
        <v>612</v>
      </c>
      <c r="AI12" s="69">
        <v>560</v>
      </c>
      <c r="AJ12" s="69">
        <v>504</v>
      </c>
      <c r="AK12" s="69">
        <v>424</v>
      </c>
      <c r="AL12" s="69">
        <v>370</v>
      </c>
      <c r="AM12" s="69"/>
      <c r="AN12" s="69"/>
    </row>
    <row r="13" spans="1:40">
      <c r="A13" s="69"/>
      <c r="B13" s="4">
        <v>4159</v>
      </c>
      <c r="C13" s="4">
        <v>1.1086</v>
      </c>
      <c r="D13" s="4">
        <v>823</v>
      </c>
      <c r="E13" s="4">
        <v>3441</v>
      </c>
      <c r="F13" s="4">
        <f t="shared" si="0"/>
        <v>3883.405483399999</v>
      </c>
      <c r="G13" s="14"/>
      <c r="H13" s="14"/>
      <c r="I13" s="69"/>
      <c r="J13" s="69"/>
      <c r="K13" s="69"/>
      <c r="L13" s="69">
        <v>1</v>
      </c>
      <c r="M13" s="69">
        <f t="shared" si="2"/>
        <v>0.61429999999999996</v>
      </c>
      <c r="N13" s="69">
        <f t="shared" si="2"/>
        <v>2829</v>
      </c>
      <c r="O13" s="69">
        <f t="shared" si="2"/>
        <v>12112</v>
      </c>
      <c r="P13" s="69"/>
      <c r="Q13" s="69"/>
      <c r="R13" s="69"/>
      <c r="S13" s="69"/>
      <c r="T13" s="69"/>
      <c r="U13" s="69"/>
      <c r="V13" s="69">
        <v>45642</v>
      </c>
      <c r="W13" s="69">
        <v>38719</v>
      </c>
      <c r="X13" s="69">
        <v>27454</v>
      </c>
      <c r="Y13" s="69">
        <v>18463</v>
      </c>
      <c r="Z13" s="69">
        <v>12112</v>
      </c>
      <c r="AA13" s="69">
        <v>7986</v>
      </c>
      <c r="AB13" s="69">
        <v>5100</v>
      </c>
      <c r="AC13" s="69">
        <v>4841</v>
      </c>
      <c r="AD13" s="69">
        <v>3845</v>
      </c>
      <c r="AE13" s="69">
        <v>3441</v>
      </c>
      <c r="AF13" s="69">
        <v>3080</v>
      </c>
      <c r="AG13" s="69">
        <v>2749</v>
      </c>
      <c r="AH13" s="69">
        <v>2304</v>
      </c>
      <c r="AI13" s="69">
        <v>2006</v>
      </c>
      <c r="AJ13" s="69">
        <v>1730</v>
      </c>
      <c r="AK13" s="69">
        <v>1535</v>
      </c>
      <c r="AL13" s="69">
        <v>1703</v>
      </c>
      <c r="AM13" s="69"/>
      <c r="AN13" s="69"/>
    </row>
    <row r="14" spans="1:40">
      <c r="A14" s="69"/>
      <c r="B14" s="4">
        <v>3507</v>
      </c>
      <c r="C14" s="4">
        <v>1.0071000000000001</v>
      </c>
      <c r="D14" s="4">
        <v>775</v>
      </c>
      <c r="E14" s="4">
        <v>3080</v>
      </c>
      <c r="F14" s="4">
        <f t="shared" si="0"/>
        <v>3379.5721048999994</v>
      </c>
      <c r="G14" s="14"/>
      <c r="H14" s="14"/>
      <c r="I14" s="69"/>
      <c r="J14" s="69"/>
      <c r="K14" s="69"/>
      <c r="L14" s="69">
        <v>1</v>
      </c>
      <c r="M14" s="69">
        <f t="shared" si="2"/>
        <v>0.66710000000000003</v>
      </c>
      <c r="N14" s="69">
        <f t="shared" si="2"/>
        <v>1971</v>
      </c>
      <c r="O14" s="69">
        <f t="shared" si="2"/>
        <v>7986</v>
      </c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</row>
    <row r="15" spans="1:40">
      <c r="A15" s="69"/>
      <c r="B15" s="4">
        <v>3441</v>
      </c>
      <c r="C15" s="4">
        <v>0.96430000000000005</v>
      </c>
      <c r="D15" s="4">
        <v>733</v>
      </c>
      <c r="E15" s="4">
        <v>2749</v>
      </c>
      <c r="F15" s="4">
        <f t="shared" si="0"/>
        <v>3007.0395317000002</v>
      </c>
      <c r="G15" s="14"/>
      <c r="H15" s="14"/>
      <c r="I15" s="69"/>
      <c r="J15" s="69"/>
      <c r="K15" s="69"/>
      <c r="L15" s="69">
        <v>1</v>
      </c>
      <c r="M15" s="69">
        <f t="shared" si="2"/>
        <v>0.67600000000000005</v>
      </c>
      <c r="N15" s="69">
        <f t="shared" si="2"/>
        <v>1265</v>
      </c>
      <c r="O15" s="69">
        <f t="shared" si="2"/>
        <v>5100</v>
      </c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</row>
    <row r="16" spans="1:40">
      <c r="A16" s="69"/>
      <c r="B16" s="4">
        <v>2835</v>
      </c>
      <c r="C16" s="4">
        <v>0.89</v>
      </c>
      <c r="D16" s="4">
        <v>612</v>
      </c>
      <c r="E16" s="4">
        <v>2304</v>
      </c>
      <c r="F16" s="4">
        <f t="shared" si="0"/>
        <v>3043.8951099999995</v>
      </c>
      <c r="G16" s="14"/>
      <c r="H16" s="14"/>
      <c r="I16" s="69"/>
      <c r="J16" s="69"/>
      <c r="K16" s="69"/>
      <c r="L16" s="69">
        <v>1</v>
      </c>
      <c r="M16" s="69">
        <f t="shared" si="2"/>
        <v>0.8357</v>
      </c>
      <c r="N16" s="69">
        <f t="shared" si="2"/>
        <v>1078</v>
      </c>
      <c r="O16" s="69">
        <f t="shared" si="2"/>
        <v>4841</v>
      </c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</row>
    <row r="17" spans="1:40">
      <c r="A17" s="69"/>
      <c r="B17" s="4">
        <v>2305</v>
      </c>
      <c r="C17" s="4">
        <v>0.88</v>
      </c>
      <c r="D17" s="4">
        <v>560</v>
      </c>
      <c r="E17" s="4">
        <v>2006</v>
      </c>
      <c r="F17" s="4">
        <f t="shared" si="0"/>
        <v>2895.4843200000005</v>
      </c>
      <c r="G17" s="14"/>
      <c r="H17" s="14"/>
      <c r="I17" s="69"/>
      <c r="J17" s="69"/>
      <c r="K17" s="69"/>
      <c r="L17" s="69">
        <v>1</v>
      </c>
      <c r="M17" s="69">
        <f t="shared" si="2"/>
        <v>0.9657</v>
      </c>
      <c r="N17" s="69">
        <f t="shared" si="2"/>
        <v>895</v>
      </c>
      <c r="O17" s="69">
        <f t="shared" si="2"/>
        <v>3845</v>
      </c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</row>
    <row r="18" spans="1:40">
      <c r="A18" s="69"/>
      <c r="B18" s="4">
        <v>2600</v>
      </c>
      <c r="C18" s="4">
        <v>1.0128999999999999</v>
      </c>
      <c r="D18" s="4">
        <v>504</v>
      </c>
      <c r="E18" s="4">
        <v>1730</v>
      </c>
      <c r="F18" s="4">
        <f t="shared" si="0"/>
        <v>3131.1636750999996</v>
      </c>
      <c r="G18" s="14"/>
      <c r="H18" s="14"/>
      <c r="I18" s="69"/>
      <c r="J18" s="69"/>
      <c r="K18" s="69"/>
      <c r="L18" s="69">
        <v>1</v>
      </c>
      <c r="M18" s="69">
        <f t="shared" si="2"/>
        <v>1.1086</v>
      </c>
      <c r="N18" s="69">
        <f t="shared" si="2"/>
        <v>823</v>
      </c>
      <c r="O18" s="69">
        <f t="shared" si="2"/>
        <v>3441</v>
      </c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</row>
    <row r="19" spans="1:40">
      <c r="A19" s="69"/>
      <c r="B19" s="4">
        <v>3042</v>
      </c>
      <c r="C19" s="4">
        <v>1.1000000000000001</v>
      </c>
      <c r="D19" s="4">
        <v>424</v>
      </c>
      <c r="E19" s="4">
        <v>1535</v>
      </c>
      <c r="F19" s="4">
        <f t="shared" si="0"/>
        <v>3642.4787000000001</v>
      </c>
      <c r="G19" s="14"/>
      <c r="H19" s="14"/>
      <c r="I19" s="69"/>
      <c r="J19" s="69"/>
      <c r="K19" s="69"/>
      <c r="L19" s="69">
        <v>1</v>
      </c>
      <c r="M19" s="69">
        <f t="shared" si="2"/>
        <v>1.0071000000000001</v>
      </c>
      <c r="N19" s="69">
        <f t="shared" si="2"/>
        <v>775</v>
      </c>
      <c r="O19" s="69">
        <f t="shared" si="2"/>
        <v>3080</v>
      </c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</row>
    <row r="20" spans="1:40">
      <c r="A20" s="69"/>
      <c r="B20" s="4">
        <v>3434</v>
      </c>
      <c r="C20" s="4">
        <v>1.1399999999999999</v>
      </c>
      <c r="D20" s="4">
        <v>370</v>
      </c>
      <c r="E20" s="4">
        <v>1703</v>
      </c>
      <c r="F20" s="4">
        <f t="shared" si="0"/>
        <v>4539.85826</v>
      </c>
      <c r="G20" s="14"/>
      <c r="H20" s="14"/>
      <c r="I20" s="69"/>
      <c r="J20" s="69"/>
      <c r="K20" s="69"/>
      <c r="L20" s="69">
        <v>1</v>
      </c>
      <c r="M20" s="69">
        <f t="shared" si="2"/>
        <v>0.96430000000000005</v>
      </c>
      <c r="N20" s="69">
        <f t="shared" si="2"/>
        <v>733</v>
      </c>
      <c r="O20" s="69">
        <f t="shared" si="2"/>
        <v>2749</v>
      </c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</row>
    <row r="21" spans="1:40">
      <c r="A21" s="69"/>
      <c r="B21" s="69"/>
      <c r="C21" s="69"/>
      <c r="D21" s="69"/>
      <c r="E21" s="69"/>
      <c r="F21" s="14"/>
      <c r="G21" s="14"/>
      <c r="H21" s="14"/>
      <c r="I21" s="69"/>
      <c r="J21" s="69"/>
      <c r="K21" s="69"/>
      <c r="L21" s="69">
        <v>1</v>
      </c>
      <c r="M21" s="69">
        <f t="shared" si="2"/>
        <v>0.89</v>
      </c>
      <c r="N21" s="69">
        <f t="shared" si="2"/>
        <v>612</v>
      </c>
      <c r="O21" s="69">
        <f t="shared" si="2"/>
        <v>2304</v>
      </c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</row>
    <row r="22" spans="1:40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>
        <v>1</v>
      </c>
      <c r="M22" s="69">
        <f t="shared" si="2"/>
        <v>0.88</v>
      </c>
      <c r="N22" s="69">
        <f t="shared" si="2"/>
        <v>560</v>
      </c>
      <c r="O22" s="69">
        <f t="shared" si="2"/>
        <v>2006</v>
      </c>
      <c r="P22" s="69"/>
      <c r="Q22" s="69"/>
      <c r="R22" s="69"/>
      <c r="S22" s="69"/>
      <c r="T22" s="69"/>
      <c r="U22" s="69"/>
      <c r="V22" s="69">
        <f t="array" ref="V22:AL22">TRANSPOSE(B4:B20)</f>
        <v>44898</v>
      </c>
      <c r="W22" s="69">
        <v>20342</v>
      </c>
      <c r="X22" s="69">
        <v>11769</v>
      </c>
      <c r="Y22" s="69">
        <v>7037</v>
      </c>
      <c r="Z22" s="69">
        <v>5532</v>
      </c>
      <c r="AA22" s="69">
        <v>4163</v>
      </c>
      <c r="AB22" s="69">
        <v>2565</v>
      </c>
      <c r="AC22" s="69">
        <v>2877</v>
      </c>
      <c r="AD22" s="69">
        <v>2928</v>
      </c>
      <c r="AE22" s="69">
        <v>4159</v>
      </c>
      <c r="AF22" s="69">
        <v>3507</v>
      </c>
      <c r="AG22" s="69">
        <v>3441</v>
      </c>
      <c r="AH22" s="69">
        <v>2835</v>
      </c>
      <c r="AI22" s="69">
        <v>2305</v>
      </c>
      <c r="AJ22" s="69">
        <v>2600</v>
      </c>
      <c r="AK22" s="69">
        <v>3042</v>
      </c>
      <c r="AL22" s="69">
        <v>3434</v>
      </c>
      <c r="AM22" s="69"/>
      <c r="AN22" s="69"/>
    </row>
    <row r="23" spans="1:40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>
        <v>1</v>
      </c>
      <c r="M23" s="69">
        <f t="shared" si="2"/>
        <v>1.0128999999999999</v>
      </c>
      <c r="N23" s="69">
        <f t="shared" si="2"/>
        <v>504</v>
      </c>
      <c r="O23" s="69">
        <f t="shared" si="2"/>
        <v>1730</v>
      </c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</row>
    <row r="24" spans="1:40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>
        <v>1</v>
      </c>
      <c r="M24" s="69">
        <f t="shared" si="2"/>
        <v>1.1000000000000001</v>
      </c>
      <c r="N24" s="69">
        <f t="shared" si="2"/>
        <v>424</v>
      </c>
      <c r="O24" s="69">
        <f t="shared" si="2"/>
        <v>1535</v>
      </c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</row>
    <row r="25" spans="1:40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>
        <v>1</v>
      </c>
      <c r="M25" s="69">
        <f t="shared" si="2"/>
        <v>1.1399999999999999</v>
      </c>
      <c r="N25" s="69">
        <f t="shared" si="2"/>
        <v>370</v>
      </c>
      <c r="O25" s="69">
        <f t="shared" si="2"/>
        <v>1703</v>
      </c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</row>
    <row r="26" spans="1:40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</row>
    <row r="27" spans="1:40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</row>
    <row r="28" spans="1:40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</row>
    <row r="29" spans="1:40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</row>
    <row r="30" spans="1:40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</row>
    <row r="31" spans="1:40">
      <c r="A31" s="69"/>
      <c r="B31" s="69"/>
      <c r="C31" s="69"/>
      <c r="D31" s="69">
        <f t="array" ref="D31:G34">MMULT(V10:AL13,L9:O25)</f>
        <v>17</v>
      </c>
      <c r="E31" s="69">
        <v>14.038800000000002</v>
      </c>
      <c r="F31" s="69">
        <v>33559</v>
      </c>
      <c r="G31" s="69">
        <v>182710</v>
      </c>
      <c r="H31" s="69"/>
      <c r="I31" s="69"/>
      <c r="J31" s="69"/>
      <c r="K31" s="69"/>
      <c r="L31" s="69"/>
      <c r="M31" s="69"/>
      <c r="N31" s="69"/>
      <c r="O31" s="69">
        <f t="array" ref="O31:R34">MINVERSE(D31:G34)</f>
        <v>11.06385919839237</v>
      </c>
      <c r="P31" s="69">
        <v>-9.8256136243410186</v>
      </c>
      <c r="Q31" s="69">
        <v>-3.5920541709196403E-3</v>
      </c>
      <c r="R31" s="69">
        <v>3.9078301186919466E-4</v>
      </c>
      <c r="S31" s="69"/>
      <c r="T31" s="69"/>
      <c r="U31" s="69"/>
      <c r="V31" s="69"/>
      <c r="W31" s="69"/>
      <c r="X31" s="69"/>
      <c r="Y31" s="69"/>
      <c r="Z31" s="69">
        <f t="array" ref="Z31:Z34">MMULT(V10:AL13,B4:B20)</f>
        <v>127434</v>
      </c>
      <c r="AA31" s="69"/>
      <c r="AB31" s="69"/>
      <c r="AC31" s="69"/>
      <c r="AD31" s="69"/>
      <c r="AE31" s="69"/>
      <c r="AF31" s="69"/>
      <c r="AG31" s="69"/>
      <c r="AH31" s="69"/>
      <c r="AI31" s="69">
        <f t="array" ref="AI31:AI34">MMULT(O31:R34,Z31:Z34)</f>
        <v>2027.3416358672548</v>
      </c>
      <c r="AJ31" s="69"/>
      <c r="AK31" s="69"/>
      <c r="AL31" s="69"/>
      <c r="AM31" s="69"/>
      <c r="AN31" s="69"/>
    </row>
    <row r="32" spans="1:40">
      <c r="A32" s="69"/>
      <c r="B32" s="69"/>
      <c r="C32" s="69"/>
      <c r="D32" s="69">
        <v>14.038800000000002</v>
      </c>
      <c r="E32" s="69">
        <v>12.398242420000003</v>
      </c>
      <c r="F32" s="69">
        <v>21959.216599999996</v>
      </c>
      <c r="G32" s="69">
        <v>116114.8958</v>
      </c>
      <c r="H32" s="69"/>
      <c r="I32" s="69"/>
      <c r="J32" s="69"/>
      <c r="K32" s="69"/>
      <c r="L32" s="69"/>
      <c r="M32" s="69"/>
      <c r="N32" s="69"/>
      <c r="O32" s="69">
        <v>-9.825613624341031</v>
      </c>
      <c r="P32" s="69">
        <v>8.8722302290487143</v>
      </c>
      <c r="Q32" s="69">
        <v>3.0746637341390807E-3</v>
      </c>
      <c r="R32" s="69">
        <v>-3.3223509594299704E-4</v>
      </c>
      <c r="S32" s="69"/>
      <c r="T32" s="69"/>
      <c r="U32" s="69"/>
      <c r="V32" s="69"/>
      <c r="W32" s="69"/>
      <c r="X32" s="69"/>
      <c r="Y32" s="69"/>
      <c r="Z32" s="69">
        <v>89349.931299999982</v>
      </c>
      <c r="AA32" s="69"/>
      <c r="AB32" s="69"/>
      <c r="AC32" s="69"/>
      <c r="AD32" s="69"/>
      <c r="AE32" s="69"/>
      <c r="AF32" s="69"/>
      <c r="AG32" s="69"/>
      <c r="AH32" s="69"/>
      <c r="AI32" s="69">
        <v>2134.7189977953676</v>
      </c>
      <c r="AJ32" s="69"/>
      <c r="AK32" s="69"/>
      <c r="AL32" s="69"/>
      <c r="AM32" s="69"/>
      <c r="AN32" s="69"/>
    </row>
    <row r="33" spans="1:40">
      <c r="A33" s="69"/>
      <c r="B33" s="69"/>
      <c r="C33" s="69"/>
      <c r="D33" s="69">
        <v>33559</v>
      </c>
      <c r="E33" s="69">
        <v>21959.216599999996</v>
      </c>
      <c r="F33" s="69">
        <v>129123029</v>
      </c>
      <c r="G33" s="69">
        <v>788897246</v>
      </c>
      <c r="H33" s="69"/>
      <c r="I33" s="69"/>
      <c r="J33" s="69"/>
      <c r="K33" s="69"/>
      <c r="L33" s="69"/>
      <c r="M33" s="69"/>
      <c r="N33" s="69"/>
      <c r="O33" s="69">
        <v>-3.5920541709196178E-3</v>
      </c>
      <c r="P33" s="69">
        <v>3.0746637341390586E-3</v>
      </c>
      <c r="Q33" s="69">
        <v>1.4743860520953844E-6</v>
      </c>
      <c r="R33" s="69">
        <v>-1.7283449098279706E-7</v>
      </c>
      <c r="S33" s="69"/>
      <c r="T33" s="69"/>
      <c r="U33" s="69"/>
      <c r="V33" s="69"/>
      <c r="W33" s="69"/>
      <c r="X33" s="69"/>
      <c r="Y33" s="69"/>
      <c r="Z33" s="69">
        <v>527126164</v>
      </c>
      <c r="AA33" s="69"/>
      <c r="AB33" s="69"/>
      <c r="AC33" s="69"/>
      <c r="AD33" s="69"/>
      <c r="AE33" s="69"/>
      <c r="AF33" s="69"/>
      <c r="AG33" s="69"/>
      <c r="AH33" s="69"/>
      <c r="AI33" s="69">
        <v>-8.8862193700488206</v>
      </c>
      <c r="AJ33" s="69"/>
      <c r="AK33" s="69"/>
      <c r="AL33" s="69"/>
      <c r="AM33" s="69"/>
      <c r="AN33" s="69"/>
    </row>
    <row r="34" spans="1:40">
      <c r="A34" s="69"/>
      <c r="B34" s="69"/>
      <c r="C34" s="69"/>
      <c r="D34" s="69">
        <v>182710</v>
      </c>
      <c r="E34" s="69">
        <v>116114.8958</v>
      </c>
      <c r="F34" s="69">
        <v>788897246</v>
      </c>
      <c r="G34" s="69">
        <v>4998129324</v>
      </c>
      <c r="H34" s="69"/>
      <c r="I34" s="69"/>
      <c r="J34" s="69"/>
      <c r="K34" s="69"/>
      <c r="L34" s="69"/>
      <c r="M34" s="69"/>
      <c r="N34" s="69"/>
      <c r="O34" s="69">
        <v>3.9078301186919206E-4</v>
      </c>
      <c r="P34" s="69">
        <v>-3.3223509594299433E-4</v>
      </c>
      <c r="Q34" s="69">
        <v>-1.7283449098279714E-7</v>
      </c>
      <c r="R34" s="69">
        <v>2.0913050988122848E-8</v>
      </c>
      <c r="S34" s="69"/>
      <c r="T34" s="69"/>
      <c r="U34" s="69"/>
      <c r="V34" s="69"/>
      <c r="W34" s="69"/>
      <c r="X34" s="69"/>
      <c r="Y34" s="69"/>
      <c r="Z34" s="69">
        <v>3489146420</v>
      </c>
      <c r="AA34" s="69"/>
      <c r="AB34" s="69"/>
      <c r="AC34" s="69"/>
      <c r="AD34" s="69"/>
      <c r="AE34" s="69"/>
      <c r="AF34" s="69"/>
      <c r="AG34" s="69"/>
      <c r="AH34" s="69"/>
      <c r="AI34" s="69">
        <v>1.9769740844150192</v>
      </c>
      <c r="AJ34" s="69"/>
      <c r="AK34" s="69"/>
      <c r="AL34" s="69"/>
      <c r="AM34" s="69"/>
      <c r="AN34" s="69"/>
    </row>
    <row r="35" spans="1:40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</row>
    <row r="36" spans="1:40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</row>
    <row r="37" spans="1:40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</row>
    <row r="38" spans="1:40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</row>
    <row r="39" spans="1:40" ht="20.25">
      <c r="A39" s="69"/>
      <c r="B39" s="83" t="str">
        <f>"𝑦 ̂="&amp;ROUND(AI31,4)&amp;"+"&amp;ROUND(AI32,4)&amp;"X1"&amp;"+"&amp;ROUND(AI33,4)&amp;"X2"&amp;"+"&amp;ROUND(AI34,4)&amp;"X3"</f>
        <v>𝑦 ̂=2027,3416+2134,719X1+-8,8862X2+1,977X3</v>
      </c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</row>
    <row r="40" spans="1:40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</row>
    <row r="41" spans="1:40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</row>
    <row r="42" spans="1:40" ht="18.75" thickBot="1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71" t="s">
        <v>73</v>
      </c>
      <c r="O42" s="69">
        <f>MMULT(V22:AL22,B4:B20)</f>
        <v>2771612410</v>
      </c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</row>
    <row r="43" spans="1:40">
      <c r="B43" s="39" t="s">
        <v>81</v>
      </c>
      <c r="C43" s="41"/>
      <c r="D43" s="41"/>
      <c r="E43" s="41"/>
      <c r="F43" s="41"/>
      <c r="G43" s="42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</row>
    <row r="44" spans="1:40">
      <c r="B44" s="43"/>
      <c r="C44" s="14"/>
      <c r="D44" s="14"/>
      <c r="E44" s="14">
        <f>O42-(O44^2*O46)</f>
        <v>1816352153.7647059</v>
      </c>
      <c r="F44" s="14"/>
      <c r="G44" s="45"/>
      <c r="H44" s="69"/>
      <c r="I44" s="69"/>
      <c r="J44" s="69"/>
      <c r="K44" s="69"/>
      <c r="L44" s="69"/>
      <c r="M44" s="69"/>
      <c r="N44" s="69" t="s">
        <v>74</v>
      </c>
      <c r="O44" s="69">
        <f>AVERAGE(B4:B20)</f>
        <v>7496.1176470588234</v>
      </c>
      <c r="P44" s="69"/>
      <c r="Q44" s="69"/>
      <c r="R44" s="69"/>
      <c r="S44" s="69"/>
      <c r="T44" s="69"/>
      <c r="U44" s="69"/>
      <c r="V44" s="69"/>
      <c r="W44" s="69"/>
      <c r="X44" s="69"/>
    </row>
    <row r="45" spans="1:40">
      <c r="B45" s="43"/>
      <c r="C45" s="14"/>
      <c r="D45" s="14"/>
      <c r="E45" s="14"/>
      <c r="F45" s="14"/>
      <c r="G45" s="45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</row>
    <row r="46" spans="1:40">
      <c r="B46" s="43"/>
      <c r="C46" s="14"/>
      <c r="D46" s="14"/>
      <c r="E46" s="14">
        <f>ROUND(O50-(O46*O44^2),4)</f>
        <v>1707622313.6607001</v>
      </c>
      <c r="F46" s="14"/>
      <c r="G46" s="45"/>
      <c r="H46" s="69"/>
      <c r="I46" s="69"/>
      <c r="J46" s="69"/>
      <c r="K46" s="69"/>
      <c r="L46" s="69"/>
      <c r="M46" s="69"/>
      <c r="N46" s="71" t="s">
        <v>19</v>
      </c>
      <c r="O46" s="69">
        <v>17</v>
      </c>
      <c r="P46" s="69"/>
      <c r="Q46" s="69"/>
      <c r="R46" s="69"/>
      <c r="S46" s="69"/>
      <c r="T46" s="69"/>
      <c r="U46" s="69"/>
      <c r="V46" s="69"/>
      <c r="W46" s="69"/>
      <c r="X46" s="69"/>
    </row>
    <row r="47" spans="1:40">
      <c r="B47" s="43"/>
      <c r="C47" s="14"/>
      <c r="D47" s="14"/>
      <c r="E47" s="14"/>
      <c r="F47" s="14"/>
      <c r="G47" s="45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</row>
    <row r="48" spans="1:40">
      <c r="B48" s="43"/>
      <c r="C48" s="14"/>
      <c r="D48" s="14"/>
      <c r="E48" s="14">
        <f>ROUND(O42-O50,4)</f>
        <v>108729840.104</v>
      </c>
      <c r="F48" s="14"/>
      <c r="G48" s="45"/>
      <c r="H48" s="69"/>
      <c r="I48" s="69"/>
      <c r="J48" s="69"/>
      <c r="K48" s="69"/>
      <c r="L48" s="69"/>
      <c r="M48" s="69"/>
      <c r="N48" s="69"/>
      <c r="O48" s="69">
        <f t="array" ref="O48:R48">TRANSPOSE(AI31:AI34)</f>
        <v>2027.3416358672548</v>
      </c>
      <c r="P48" s="69">
        <v>2134.7189977953676</v>
      </c>
      <c r="Q48" s="69">
        <v>-8.8862193700488206</v>
      </c>
      <c r="R48" s="69">
        <v>1.9769740844150192</v>
      </c>
      <c r="S48" s="69"/>
      <c r="T48" s="69"/>
      <c r="U48" s="69"/>
      <c r="V48" s="69"/>
      <c r="W48" s="69"/>
      <c r="X48" s="69"/>
    </row>
    <row r="49" spans="2:24">
      <c r="B49" s="43"/>
      <c r="C49" s="14"/>
      <c r="D49" s="14"/>
      <c r="E49" s="14"/>
      <c r="F49" s="14"/>
      <c r="G49" s="45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</row>
    <row r="50" spans="2:24">
      <c r="B50" s="43"/>
      <c r="C50" s="14"/>
      <c r="D50" s="14"/>
      <c r="E50" s="14"/>
      <c r="F50" s="14"/>
      <c r="G50" s="45"/>
      <c r="H50" s="69"/>
      <c r="I50" s="69"/>
      <c r="J50" s="69"/>
      <c r="K50" s="69"/>
      <c r="L50" s="69"/>
      <c r="M50" s="69"/>
      <c r="N50" s="69"/>
      <c r="O50" s="69">
        <f t="array" ref="O50">MMULT(O48:R48,Z31:Z34)</f>
        <v>2662882569.896039</v>
      </c>
      <c r="P50" s="69"/>
      <c r="Q50" s="69"/>
      <c r="R50" s="69"/>
      <c r="S50" s="69"/>
      <c r="T50" s="69"/>
      <c r="U50" s="69"/>
      <c r="V50" s="69"/>
      <c r="W50" s="69"/>
      <c r="X50" s="69"/>
    </row>
    <row r="51" spans="2:24">
      <c r="B51" s="43"/>
      <c r="C51" s="14"/>
      <c r="D51" s="14"/>
      <c r="E51" s="14">
        <f>E46/C63</f>
        <v>569207437.88690007</v>
      </c>
      <c r="F51" s="14"/>
      <c r="G51" s="45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</row>
    <row r="52" spans="2:24">
      <c r="B52" s="43"/>
      <c r="C52" s="14"/>
      <c r="D52" s="14"/>
      <c r="E52" s="14"/>
      <c r="F52" s="14"/>
      <c r="G52" s="45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</row>
    <row r="53" spans="2:24">
      <c r="B53" s="43"/>
      <c r="C53" s="14"/>
      <c r="D53" s="14"/>
      <c r="E53" s="14"/>
      <c r="F53" s="14"/>
      <c r="G53" s="45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</row>
    <row r="54" spans="2:24">
      <c r="B54" s="43"/>
      <c r="C54" s="14"/>
      <c r="D54" s="14"/>
      <c r="E54" s="14">
        <f>E48/(O46-(C63+1))</f>
        <v>8363833.8541538464</v>
      </c>
      <c r="F54" s="14"/>
      <c r="G54" s="45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</row>
    <row r="55" spans="2:24">
      <c r="B55" s="43"/>
      <c r="C55" s="14"/>
      <c r="D55" s="14"/>
      <c r="E55" s="14"/>
      <c r="F55" s="14"/>
      <c r="G55" s="45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</row>
    <row r="56" spans="2:24">
      <c r="B56" s="43"/>
      <c r="C56" s="14"/>
      <c r="D56" s="14"/>
      <c r="E56" s="14"/>
      <c r="F56" s="14"/>
      <c r="G56" s="45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</row>
    <row r="57" spans="2:24">
      <c r="B57" s="43"/>
      <c r="C57" s="14"/>
      <c r="D57" s="14"/>
      <c r="E57" s="14">
        <f>E51/E54</f>
        <v>68.055804050221141</v>
      </c>
      <c r="F57" s="14"/>
      <c r="G57" s="45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</row>
    <row r="58" spans="2:24">
      <c r="B58" s="43"/>
      <c r="C58" s="14"/>
      <c r="D58" s="14"/>
      <c r="E58" s="14"/>
      <c r="F58" s="14"/>
      <c r="G58" s="45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</row>
    <row r="59" spans="2:24">
      <c r="B59" s="43"/>
      <c r="C59" s="14"/>
      <c r="D59" s="14"/>
      <c r="E59" s="14"/>
      <c r="F59" s="14"/>
      <c r="G59" s="45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</row>
    <row r="60" spans="2:24">
      <c r="B60" s="43"/>
      <c r="C60" s="14"/>
      <c r="D60" s="14"/>
      <c r="E60" s="14"/>
      <c r="F60" s="14"/>
      <c r="G60" s="45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</row>
    <row r="61" spans="2:24" ht="13.5" thickBot="1">
      <c r="B61" s="43" t="s">
        <v>44</v>
      </c>
      <c r="C61" s="14"/>
      <c r="D61" s="14"/>
      <c r="E61" s="14"/>
      <c r="F61" s="14"/>
      <c r="G61" s="45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</row>
    <row r="62" spans="2:24">
      <c r="B62" s="56"/>
      <c r="C62" s="20" t="s">
        <v>48</v>
      </c>
      <c r="D62" s="20" t="s">
        <v>49</v>
      </c>
      <c r="E62" s="20" t="s">
        <v>50</v>
      </c>
      <c r="F62" s="20" t="s">
        <v>51</v>
      </c>
      <c r="G62" s="57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</row>
    <row r="63" spans="2:24">
      <c r="B63" s="58" t="s">
        <v>45</v>
      </c>
      <c r="C63" s="69">
        <v>3</v>
      </c>
      <c r="D63" s="18">
        <f>E46</f>
        <v>1707622313.6607001</v>
      </c>
      <c r="E63" s="18">
        <f>E51</f>
        <v>569207437.88690007</v>
      </c>
      <c r="F63" s="18">
        <f>E63/E64</f>
        <v>68.055804050221141</v>
      </c>
      <c r="G63" s="5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</row>
    <row r="64" spans="2:24">
      <c r="B64" s="58" t="s">
        <v>46</v>
      </c>
      <c r="C64" s="69">
        <v>13</v>
      </c>
      <c r="D64" s="18">
        <f>E48</f>
        <v>108729840.104</v>
      </c>
      <c r="E64" s="18">
        <f>E54</f>
        <v>8363833.8541538464</v>
      </c>
      <c r="F64" s="18"/>
      <c r="G64" s="5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</row>
    <row r="65" spans="2:24" ht="13.5" thickBot="1">
      <c r="B65" s="60" t="s">
        <v>47</v>
      </c>
      <c r="C65" s="28">
        <v>16</v>
      </c>
      <c r="D65" s="19">
        <f>E44</f>
        <v>1816352153.7647059</v>
      </c>
      <c r="E65" s="19"/>
      <c r="F65" s="19"/>
      <c r="G65" s="5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</row>
    <row r="66" spans="2:24" ht="13.5" thickBot="1">
      <c r="B66" s="47"/>
      <c r="C66" s="28"/>
      <c r="D66" s="28"/>
      <c r="E66" s="28"/>
      <c r="F66" s="28"/>
      <c r="G66" s="4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</row>
    <row r="67" spans="2:24" ht="13.5" thickBot="1"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</row>
    <row r="68" spans="2:24">
      <c r="B68" s="39" t="s">
        <v>75</v>
      </c>
      <c r="C68" s="41"/>
      <c r="D68" s="41"/>
      <c r="E68" s="41"/>
      <c r="F68" s="41"/>
      <c r="G68" s="42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</row>
    <row r="69" spans="2:24">
      <c r="B69" s="43"/>
      <c r="C69" s="14"/>
      <c r="D69" s="14"/>
      <c r="E69" s="14"/>
      <c r="F69" s="14"/>
      <c r="G69" s="45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</row>
    <row r="70" spans="2:24">
      <c r="B70" s="43"/>
      <c r="C70" s="14"/>
      <c r="D70" s="14"/>
      <c r="E70" s="14"/>
      <c r="F70" s="14"/>
      <c r="G70" s="45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</row>
    <row r="71" spans="2:24">
      <c r="B71" s="43"/>
      <c r="C71" s="14"/>
      <c r="D71" s="14"/>
      <c r="E71" s="14"/>
      <c r="F71" s="14"/>
      <c r="G71" s="45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</row>
    <row r="72" spans="2:24">
      <c r="B72" s="43"/>
      <c r="C72" s="14"/>
      <c r="D72" s="14"/>
      <c r="E72" s="14"/>
      <c r="F72" s="14"/>
      <c r="G72" s="45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</row>
    <row r="73" spans="2:24">
      <c r="B73" s="43"/>
      <c r="C73" s="14"/>
      <c r="D73" s="14"/>
      <c r="E73" s="14"/>
      <c r="F73" s="14"/>
      <c r="G73" s="45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</row>
    <row r="74" spans="2:24">
      <c r="B74" s="43"/>
      <c r="C74" s="14"/>
      <c r="D74" s="14"/>
      <c r="E74" s="14"/>
      <c r="F74" s="14"/>
      <c r="G74" s="45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</row>
    <row r="75" spans="2:24">
      <c r="B75" s="43"/>
      <c r="C75" s="14"/>
      <c r="D75" s="14"/>
      <c r="E75" s="14"/>
      <c r="F75" s="14"/>
      <c r="G75" s="45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</row>
    <row r="76" spans="2:24">
      <c r="B76" s="43"/>
      <c r="C76" s="14"/>
      <c r="D76" s="14"/>
      <c r="E76" s="14"/>
      <c r="F76" s="14"/>
      <c r="G76" s="45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</row>
    <row r="77" spans="2:24">
      <c r="B77" s="43"/>
      <c r="C77" s="14"/>
      <c r="D77" s="14"/>
      <c r="E77" s="14"/>
      <c r="F77" s="14"/>
      <c r="G77" s="45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</row>
    <row r="78" spans="2:24">
      <c r="B78" s="43"/>
      <c r="C78" s="29" t="s">
        <v>76</v>
      </c>
      <c r="D78" s="14">
        <f>E46/E44</f>
        <v>0.94013834823899967</v>
      </c>
      <c r="E78" s="14"/>
      <c r="F78" s="14"/>
      <c r="G78" s="45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</row>
    <row r="79" spans="2:24">
      <c r="B79" s="43"/>
      <c r="C79" s="29" t="s">
        <v>77</v>
      </c>
      <c r="D79" s="14">
        <f>1  -         (       (E48/(O46-C63+1))     /           (E44/(O46-1))              )</f>
        <v>0.93614757145493632</v>
      </c>
      <c r="E79" s="14"/>
      <c r="F79" s="14"/>
      <c r="G79" s="45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</row>
    <row r="80" spans="2:24" ht="13.5" thickBot="1">
      <c r="B80" s="47"/>
      <c r="C80" s="28"/>
      <c r="D80" s="28"/>
      <c r="E80" s="28"/>
      <c r="F80" s="28"/>
      <c r="G80" s="4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</row>
    <row r="81" spans="2:24" ht="13.5" thickBot="1"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</row>
    <row r="82" spans="2:24">
      <c r="B82" s="39" t="s">
        <v>79</v>
      </c>
      <c r="C82" s="41"/>
      <c r="D82" s="41"/>
      <c r="E82" s="41"/>
      <c r="F82" s="41"/>
      <c r="G82" s="41"/>
      <c r="H82" s="41"/>
      <c r="I82" s="41"/>
      <c r="J82" s="41"/>
      <c r="K82" s="42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</row>
    <row r="83" spans="2:24">
      <c r="B83" s="43"/>
      <c r="C83" s="14"/>
      <c r="D83" s="14"/>
      <c r="E83" s="14"/>
      <c r="F83" s="14"/>
      <c r="G83" s="14"/>
      <c r="H83" s="14"/>
      <c r="I83" s="14"/>
      <c r="J83" s="14"/>
      <c r="K83" s="45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</row>
    <row r="84" spans="2:24">
      <c r="B84" s="46" t="s">
        <v>80</v>
      </c>
      <c r="C84" s="14">
        <v>0.05</v>
      </c>
      <c r="D84" s="14"/>
      <c r="E84" s="14"/>
      <c r="F84" s="14"/>
      <c r="G84" s="14"/>
      <c r="H84" s="14"/>
      <c r="I84" s="14"/>
      <c r="J84" s="14"/>
      <c r="K84" s="45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</row>
    <row r="85" spans="2:24">
      <c r="B85" s="43"/>
      <c r="C85" s="14"/>
      <c r="D85" s="14"/>
      <c r="E85" s="14"/>
      <c r="F85" s="14"/>
      <c r="G85" s="14"/>
      <c r="H85" s="14"/>
      <c r="I85" s="14"/>
      <c r="J85" s="14"/>
      <c r="K85" s="45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</row>
    <row r="86" spans="2:24">
      <c r="B86" s="43" t="str">
        <f>"f(0,05);("&amp;C63&amp;","&amp;C64&amp;")="</f>
        <v>f(0,05);(3,13)=</v>
      </c>
      <c r="C86" s="29"/>
      <c r="D86" s="14">
        <f>ROUND(_xlfn.F.INV.RT(C84,C63,C64),4)</f>
        <v>3.4104999999999999</v>
      </c>
      <c r="E86" s="14"/>
      <c r="F86" s="14"/>
      <c r="G86" s="14"/>
      <c r="H86" s="14"/>
      <c r="I86" s="14"/>
      <c r="J86" s="14"/>
      <c r="K86" s="45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</row>
    <row r="87" spans="2:24">
      <c r="B87" s="43"/>
      <c r="C87" s="14"/>
      <c r="D87" s="14"/>
      <c r="E87" s="14"/>
      <c r="F87" s="14"/>
      <c r="G87" s="14"/>
      <c r="H87" s="14"/>
      <c r="I87" s="14"/>
      <c r="J87" s="14"/>
      <c r="K87" s="45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</row>
    <row r="88" spans="2:24">
      <c r="B88" s="43" t="str">
        <f>IF(D86&lt;=F63, "R: Como  " &amp;ROUND(D86,4) &amp;" &lt; "&amp;ROUND(F63,4)&amp;" o modelo é significativo","R: Como  " &amp;ROUND(D86,4) &amp;" &gt; "&amp;ROUND(F63,4)&amp;" o modelo não é significativo" )</f>
        <v>R: Como  3,4105 &lt; 68,0558 o modelo é significativo</v>
      </c>
      <c r="C88" s="14"/>
      <c r="D88" s="14"/>
      <c r="E88" s="14"/>
      <c r="F88" s="14"/>
      <c r="G88" s="14"/>
      <c r="H88" s="14"/>
      <c r="I88" s="14"/>
      <c r="J88" s="14"/>
      <c r="K88" s="45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</row>
    <row r="89" spans="2:24" ht="13.5" thickBot="1">
      <c r="B89" s="47"/>
      <c r="C89" s="28"/>
      <c r="D89" s="28"/>
      <c r="E89" s="28"/>
      <c r="F89" s="28"/>
      <c r="G89" s="28"/>
      <c r="H89" s="28"/>
      <c r="I89" s="28"/>
      <c r="J89" s="28"/>
      <c r="K89" s="4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</row>
    <row r="90" spans="2:24"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</row>
    <row r="91" spans="2:24"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</row>
    <row r="92" spans="2:24" ht="13.5" thickBot="1"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</row>
    <row r="93" spans="2:24">
      <c r="B93" s="21" t="s">
        <v>78</v>
      </c>
      <c r="C93" s="39"/>
      <c r="D93" s="40" t="s">
        <v>61</v>
      </c>
      <c r="E93" s="41">
        <v>0.95</v>
      </c>
      <c r="F93" s="41"/>
      <c r="G93" s="41"/>
      <c r="H93" s="41"/>
      <c r="I93" s="41"/>
      <c r="J93" s="41"/>
      <c r="K93" s="41"/>
      <c r="L93" s="42"/>
      <c r="M93" s="69"/>
      <c r="N93" s="69"/>
      <c r="O93" s="39"/>
      <c r="P93" s="40" t="s">
        <v>61</v>
      </c>
      <c r="Q93" s="41">
        <v>0.9</v>
      </c>
      <c r="R93" s="41"/>
      <c r="S93" s="41"/>
      <c r="T93" s="41"/>
      <c r="U93" s="41"/>
      <c r="V93" s="41"/>
      <c r="W93" s="41"/>
      <c r="X93" s="42"/>
    </row>
    <row r="94" spans="2:24">
      <c r="B94" s="69" t="s">
        <v>82</v>
      </c>
      <c r="C94" s="43"/>
      <c r="D94" s="44" t="s">
        <v>62</v>
      </c>
      <c r="E94" s="14">
        <f>1-E93</f>
        <v>5.0000000000000044E-2</v>
      </c>
      <c r="F94" s="14"/>
      <c r="G94" s="14"/>
      <c r="H94" s="29" t="str">
        <f>B97&amp;"="</f>
        <v>β0=</v>
      </c>
      <c r="I94" s="14">
        <f>AI31</f>
        <v>2027.3416358672548</v>
      </c>
      <c r="J94" s="14"/>
      <c r="K94" s="14"/>
      <c r="L94" s="45"/>
      <c r="M94" s="69"/>
      <c r="N94" s="69"/>
      <c r="O94" s="43"/>
      <c r="P94" s="44" t="s">
        <v>62</v>
      </c>
      <c r="Q94" s="14">
        <f>1-Q93</f>
        <v>9.9999999999999978E-2</v>
      </c>
      <c r="R94" s="14"/>
      <c r="S94" s="14"/>
      <c r="T94" s="29" t="str">
        <f>H94</f>
        <v>β0=</v>
      </c>
      <c r="U94" s="29">
        <f>I94</f>
        <v>2027.3416358672548</v>
      </c>
      <c r="V94" s="14"/>
      <c r="W94" s="14"/>
      <c r="X94" s="45"/>
    </row>
    <row r="95" spans="2:24">
      <c r="B95" s="21" t="s">
        <v>83</v>
      </c>
      <c r="C95" s="43"/>
      <c r="D95" s="14"/>
      <c r="E95" s="14">
        <f>ROUND(_xlfn.T.INV(1-E94/2,17-(6+1)),2)</f>
        <v>2.23</v>
      </c>
      <c r="F95" s="14"/>
      <c r="G95" s="14"/>
      <c r="H95" s="14"/>
      <c r="I95" s="14"/>
      <c r="J95" s="14"/>
      <c r="K95" s="14"/>
      <c r="L95" s="45"/>
      <c r="M95" s="69"/>
      <c r="N95" s="69"/>
      <c r="O95" s="43"/>
      <c r="P95" s="14"/>
      <c r="Q95" s="14">
        <f>ROUND(_xlfn.T.INV(1-Q94/2,17-(6+1)),2)</f>
        <v>1.81</v>
      </c>
      <c r="R95" s="14"/>
      <c r="S95" s="14"/>
      <c r="T95" s="14"/>
      <c r="U95" s="14"/>
      <c r="V95" s="14"/>
      <c r="W95" s="14"/>
      <c r="X95" s="45"/>
    </row>
    <row r="96" spans="2:24">
      <c r="B96" s="69" t="s">
        <v>45</v>
      </c>
      <c r="C96" s="43"/>
      <c r="D96" s="14"/>
      <c r="E96" s="14"/>
      <c r="F96" s="14"/>
      <c r="G96" s="14"/>
      <c r="H96" s="71" t="s">
        <v>109</v>
      </c>
      <c r="I96" s="14">
        <f>SQRT(E97*E99)</f>
        <v>9619.5779596147331</v>
      </c>
      <c r="J96" s="14"/>
      <c r="K96" s="14"/>
      <c r="L96" s="45"/>
      <c r="M96" s="69"/>
      <c r="N96" s="69"/>
      <c r="O96" s="43"/>
      <c r="P96" s="14"/>
      <c r="Q96" s="14"/>
      <c r="R96" s="14"/>
      <c r="S96" s="14"/>
      <c r="T96" s="76" t="s">
        <v>109</v>
      </c>
      <c r="U96" s="29">
        <f>I96</f>
        <v>9619.5779596147331</v>
      </c>
      <c r="V96" s="14"/>
      <c r="W96" s="14"/>
      <c r="X96" s="45"/>
    </row>
    <row r="97" spans="2:24">
      <c r="B97" s="21" t="s">
        <v>84</v>
      </c>
      <c r="C97" s="43"/>
      <c r="D97" s="14"/>
      <c r="E97" s="14">
        <f>E54</f>
        <v>8363833.8541538464</v>
      </c>
      <c r="F97" s="14"/>
      <c r="G97" s="14"/>
      <c r="H97" s="14"/>
      <c r="I97" s="14"/>
      <c r="J97" s="14"/>
      <c r="K97" s="14"/>
      <c r="L97" s="45"/>
      <c r="M97" s="69"/>
      <c r="N97" s="69"/>
      <c r="O97" s="43"/>
      <c r="P97" s="14"/>
      <c r="Q97" s="29">
        <f>E97</f>
        <v>8363833.8541538464</v>
      </c>
      <c r="R97" s="14"/>
      <c r="S97" s="14"/>
      <c r="T97" s="14"/>
      <c r="U97" s="14"/>
      <c r="V97" s="14"/>
      <c r="W97" s="14"/>
      <c r="X97" s="45"/>
    </row>
    <row r="98" spans="2:24">
      <c r="B98" s="69"/>
      <c r="C98" s="43"/>
      <c r="D98" s="14"/>
      <c r="E98" s="14"/>
      <c r="F98" s="14"/>
      <c r="G98" s="14"/>
      <c r="H98" s="14"/>
      <c r="I98" s="14"/>
      <c r="J98" s="14"/>
      <c r="K98" s="14"/>
      <c r="L98" s="45"/>
      <c r="M98" s="69"/>
      <c r="N98" s="69"/>
      <c r="O98" s="43"/>
      <c r="P98" s="14"/>
      <c r="Q98" s="14"/>
      <c r="R98" s="14"/>
      <c r="S98" s="14"/>
      <c r="T98" s="14"/>
      <c r="U98" s="14"/>
      <c r="V98" s="14"/>
      <c r="W98" s="14"/>
      <c r="X98" s="45"/>
    </row>
    <row r="99" spans="2:24">
      <c r="B99" s="69"/>
      <c r="C99" s="43"/>
      <c r="D99" s="14"/>
      <c r="E99" s="14">
        <f>O31</f>
        <v>11.06385919839237</v>
      </c>
      <c r="F99" s="14"/>
      <c r="G99" s="14"/>
      <c r="H99" s="14"/>
      <c r="I99" s="14"/>
      <c r="J99" s="14"/>
      <c r="K99" s="14"/>
      <c r="L99" s="45"/>
      <c r="M99" s="69"/>
      <c r="N99" s="69"/>
      <c r="O99" s="43"/>
      <c r="P99" s="14"/>
      <c r="Q99" s="29">
        <f>E99</f>
        <v>11.06385919839237</v>
      </c>
      <c r="R99" s="14"/>
      <c r="S99" s="14"/>
      <c r="T99" s="14"/>
      <c r="U99" s="14"/>
      <c r="V99" s="14"/>
      <c r="W99" s="14"/>
      <c r="X99" s="45"/>
    </row>
    <row r="100" spans="2:24">
      <c r="B100" s="69"/>
      <c r="C100" s="43"/>
      <c r="D100" s="14"/>
      <c r="E100" s="14"/>
      <c r="F100" s="14"/>
      <c r="G100" s="29" t="s">
        <v>67</v>
      </c>
      <c r="H100" s="14">
        <f>I94-E101</f>
        <v>-19424.317214073599</v>
      </c>
      <c r="I100" s="14"/>
      <c r="J100" s="14"/>
      <c r="K100" s="14"/>
      <c r="L100" s="45"/>
      <c r="M100" s="69"/>
      <c r="N100" s="69"/>
      <c r="O100" s="43"/>
      <c r="P100" s="14"/>
      <c r="Q100" s="14"/>
      <c r="R100" s="14"/>
      <c r="S100" s="29" t="s">
        <v>67</v>
      </c>
      <c r="T100" s="14">
        <f>U94-Q101</f>
        <v>-15384.094471035412</v>
      </c>
      <c r="U100" s="14"/>
      <c r="V100" s="14"/>
      <c r="W100" s="14"/>
      <c r="X100" s="45"/>
    </row>
    <row r="101" spans="2:24" ht="13.5" thickBot="1">
      <c r="B101" s="69"/>
      <c r="C101" s="47"/>
      <c r="D101" s="48" t="s">
        <v>60</v>
      </c>
      <c r="E101" s="28">
        <f>E95*SQRT(E97*E99)</f>
        <v>21451.658849940854</v>
      </c>
      <c r="F101" s="28"/>
      <c r="G101" s="48" t="s">
        <v>68</v>
      </c>
      <c r="H101" s="28">
        <f>I94+E101</f>
        <v>23479.000485808108</v>
      </c>
      <c r="I101" s="28"/>
      <c r="J101" s="28"/>
      <c r="K101" s="28"/>
      <c r="L101" s="49"/>
      <c r="M101" s="69"/>
      <c r="N101" s="69"/>
      <c r="O101" s="47"/>
      <c r="P101" s="48" t="s">
        <v>60</v>
      </c>
      <c r="Q101" s="28">
        <f>Q95*SQRT(Q97*Q99)</f>
        <v>17411.436106902667</v>
      </c>
      <c r="R101" s="28"/>
      <c r="S101" s="48" t="s">
        <v>68</v>
      </c>
      <c r="T101" s="28">
        <f>U94+Q101</f>
        <v>19438.777742769922</v>
      </c>
      <c r="U101" s="28"/>
      <c r="V101" s="28"/>
      <c r="W101" s="28"/>
      <c r="X101" s="49"/>
    </row>
    <row r="102" spans="2:24" ht="13.5" thickBot="1"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77"/>
      <c r="P102" s="77"/>
      <c r="Q102" s="77"/>
      <c r="R102" s="77"/>
      <c r="S102" s="77"/>
      <c r="T102" s="77"/>
      <c r="U102" s="77"/>
      <c r="V102" s="77"/>
      <c r="W102" s="77"/>
      <c r="X102" s="77"/>
    </row>
    <row r="103" spans="2:24">
      <c r="B103" s="21" t="s">
        <v>78</v>
      </c>
      <c r="C103" s="39"/>
      <c r="D103" s="40" t="s">
        <v>61</v>
      </c>
      <c r="E103" s="41">
        <v>0.95</v>
      </c>
      <c r="F103" s="41"/>
      <c r="G103" s="41"/>
      <c r="H103" s="41"/>
      <c r="I103" s="41"/>
      <c r="J103" s="41"/>
      <c r="K103" s="41"/>
      <c r="L103" s="42"/>
      <c r="M103" s="69"/>
      <c r="N103" s="69"/>
      <c r="O103" s="39"/>
      <c r="P103" s="40" t="s">
        <v>61</v>
      </c>
      <c r="Q103" s="41">
        <v>0.9</v>
      </c>
      <c r="R103" s="41"/>
      <c r="S103" s="41"/>
      <c r="T103" s="41"/>
      <c r="U103" s="41"/>
      <c r="V103" s="41"/>
      <c r="W103" s="41"/>
      <c r="X103" s="42"/>
    </row>
    <row r="104" spans="2:24">
      <c r="B104" s="69" t="s">
        <v>82</v>
      </c>
      <c r="C104" s="43"/>
      <c r="D104" s="44" t="s">
        <v>62</v>
      </c>
      <c r="E104" s="14">
        <f>1-E103</f>
        <v>5.0000000000000044E-2</v>
      </c>
      <c r="F104" s="14"/>
      <c r="G104" s="14"/>
      <c r="H104" s="29" t="str">
        <f>B107&amp;"="</f>
        <v>β1=</v>
      </c>
      <c r="I104" s="14">
        <f>AI32</f>
        <v>2134.7189977953676</v>
      </c>
      <c r="J104" s="14"/>
      <c r="K104" s="14"/>
      <c r="L104" s="45"/>
      <c r="M104" s="69"/>
      <c r="N104" s="69"/>
      <c r="O104" s="43"/>
      <c r="P104" s="44" t="s">
        <v>62</v>
      </c>
      <c r="Q104" s="14">
        <f>1-Q103</f>
        <v>9.9999999999999978E-2</v>
      </c>
      <c r="R104" s="14"/>
      <c r="S104" s="14"/>
      <c r="T104" s="29" t="str">
        <f>H104</f>
        <v>β1=</v>
      </c>
      <c r="U104" s="29">
        <f>I104</f>
        <v>2134.7189977953676</v>
      </c>
      <c r="V104" s="14"/>
      <c r="W104" s="14"/>
      <c r="X104" s="45"/>
    </row>
    <row r="105" spans="2:24">
      <c r="B105" s="21" t="s">
        <v>83</v>
      </c>
      <c r="C105" s="43"/>
      <c r="D105" s="14"/>
      <c r="E105" s="14">
        <f>ROUND(_xlfn.T.INV(1-E104/2,120-(6+1)),2)</f>
        <v>1.98</v>
      </c>
      <c r="F105" s="14"/>
      <c r="G105" s="14"/>
      <c r="H105" s="14"/>
      <c r="I105" s="14"/>
      <c r="J105" s="14"/>
      <c r="K105" s="14"/>
      <c r="L105" s="45"/>
      <c r="M105" s="69"/>
      <c r="N105" s="69"/>
      <c r="O105" s="43"/>
      <c r="P105" s="14"/>
      <c r="Q105" s="14">
        <f>ROUND(_xlfn.T.INV(1-Q104/2,120-(6+1)),2)</f>
        <v>1.66</v>
      </c>
      <c r="R105" s="14"/>
      <c r="S105" s="14"/>
      <c r="T105" s="14"/>
      <c r="U105" s="14"/>
      <c r="V105" s="14"/>
      <c r="W105" s="14"/>
      <c r="X105" s="45"/>
    </row>
    <row r="106" spans="2:24">
      <c r="B106" s="69" t="s">
        <v>45</v>
      </c>
      <c r="C106" s="43"/>
      <c r="D106" s="14"/>
      <c r="E106" s="14"/>
      <c r="F106" s="14"/>
      <c r="G106" s="14"/>
      <c r="H106" s="71" t="s">
        <v>109</v>
      </c>
      <c r="I106" s="14">
        <f>SQRT(E107*E109)</f>
        <v>8614.2823004336678</v>
      </c>
      <c r="J106" s="14"/>
      <c r="K106" s="14"/>
      <c r="L106" s="45"/>
      <c r="M106" s="69"/>
      <c r="N106" s="69"/>
      <c r="O106" s="43"/>
      <c r="P106" s="14"/>
      <c r="Q106" s="14"/>
      <c r="R106" s="14"/>
      <c r="S106" s="14"/>
      <c r="T106" s="76" t="s">
        <v>109</v>
      </c>
      <c r="U106" s="14">
        <f>SQRT(Q107*Q109)</f>
        <v>8614.2823004336678</v>
      </c>
      <c r="V106" s="14"/>
      <c r="W106" s="14"/>
      <c r="X106" s="45"/>
    </row>
    <row r="107" spans="2:24">
      <c r="B107" s="21" t="s">
        <v>85</v>
      </c>
      <c r="C107" s="43"/>
      <c r="D107" s="14"/>
      <c r="E107" s="14">
        <f>E54</f>
        <v>8363833.8541538464</v>
      </c>
      <c r="F107" s="14"/>
      <c r="G107" s="14"/>
      <c r="H107" s="14"/>
      <c r="I107" s="14"/>
      <c r="J107" s="14"/>
      <c r="K107" s="14"/>
      <c r="L107" s="45"/>
      <c r="M107" s="69"/>
      <c r="N107" s="69"/>
      <c r="O107" s="43"/>
      <c r="P107" s="14"/>
      <c r="Q107" s="29">
        <f>E107</f>
        <v>8363833.8541538464</v>
      </c>
      <c r="R107" s="14"/>
      <c r="S107" s="14"/>
      <c r="T107" s="14"/>
      <c r="U107" s="14"/>
      <c r="V107" s="14"/>
      <c r="W107" s="14"/>
      <c r="X107" s="45"/>
    </row>
    <row r="108" spans="2:24">
      <c r="B108" s="69"/>
      <c r="C108" s="43"/>
      <c r="D108" s="14"/>
      <c r="E108" s="14"/>
      <c r="F108" s="14"/>
      <c r="G108" s="14"/>
      <c r="H108" s="14"/>
      <c r="I108" s="14"/>
      <c r="J108" s="14"/>
      <c r="K108" s="14"/>
      <c r="L108" s="45"/>
      <c r="M108" s="69"/>
      <c r="N108" s="69"/>
      <c r="O108" s="43"/>
      <c r="P108" s="14"/>
      <c r="Q108" s="14"/>
      <c r="R108" s="14"/>
      <c r="S108" s="14"/>
      <c r="T108" s="14"/>
      <c r="U108" s="14"/>
      <c r="V108" s="14"/>
      <c r="W108" s="14"/>
      <c r="X108" s="45"/>
    </row>
    <row r="109" spans="2:24">
      <c r="B109" s="69"/>
      <c r="C109" s="43"/>
      <c r="D109" s="14"/>
      <c r="E109" s="14">
        <f>P32</f>
        <v>8.8722302290487143</v>
      </c>
      <c r="F109" s="14"/>
      <c r="G109" s="14"/>
      <c r="H109" s="14"/>
      <c r="I109" s="14"/>
      <c r="J109" s="14"/>
      <c r="K109" s="14"/>
      <c r="L109" s="45"/>
      <c r="M109" s="69"/>
      <c r="N109" s="69"/>
      <c r="O109" s="43"/>
      <c r="P109" s="14"/>
      <c r="Q109" s="29">
        <f>E109</f>
        <v>8.8722302290487143</v>
      </c>
      <c r="R109" s="14"/>
      <c r="S109" s="14"/>
      <c r="T109" s="14"/>
      <c r="U109" s="14"/>
      <c r="V109" s="14"/>
      <c r="W109" s="14"/>
      <c r="X109" s="45"/>
    </row>
    <row r="110" spans="2:24">
      <c r="B110" s="69"/>
      <c r="C110" s="43"/>
      <c r="D110" s="14"/>
      <c r="E110" s="14"/>
      <c r="F110" s="14"/>
      <c r="G110" s="29" t="s">
        <v>67</v>
      </c>
      <c r="H110" s="14">
        <f>I104-E111</f>
        <v>-14921.559957063295</v>
      </c>
      <c r="I110" s="14"/>
      <c r="J110" s="14"/>
      <c r="K110" s="14"/>
      <c r="L110" s="45"/>
      <c r="M110" s="69"/>
      <c r="N110" s="69"/>
      <c r="O110" s="43"/>
      <c r="P110" s="14"/>
      <c r="Q110" s="14"/>
      <c r="R110" s="14"/>
      <c r="S110" s="29" t="s">
        <v>67</v>
      </c>
      <c r="T110" s="14">
        <f>U104-Q111</f>
        <v>-12164.98962092452</v>
      </c>
      <c r="U110" s="14"/>
      <c r="V110" s="14"/>
      <c r="W110" s="14"/>
      <c r="X110" s="45"/>
    </row>
    <row r="111" spans="2:24" ht="13.5" thickBot="1">
      <c r="B111" s="69"/>
      <c r="C111" s="47"/>
      <c r="D111" s="48" t="s">
        <v>60</v>
      </c>
      <c r="E111" s="28">
        <f>E105*SQRT(E107*E109)</f>
        <v>17056.278954858662</v>
      </c>
      <c r="F111" s="28"/>
      <c r="G111" s="48" t="s">
        <v>68</v>
      </c>
      <c r="H111" s="28">
        <f>I104+E111</f>
        <v>19190.99795265403</v>
      </c>
      <c r="I111" s="28"/>
      <c r="J111" s="28"/>
      <c r="K111" s="28"/>
      <c r="L111" s="49"/>
      <c r="M111" s="69"/>
      <c r="N111" s="69"/>
      <c r="O111" s="47"/>
      <c r="P111" s="48" t="s">
        <v>60</v>
      </c>
      <c r="Q111" s="28">
        <f>Q105*SQRT(Q107*Q109)</f>
        <v>14299.708618719887</v>
      </c>
      <c r="R111" s="28"/>
      <c r="S111" s="48" t="s">
        <v>68</v>
      </c>
      <c r="T111" s="28">
        <f>U104+Q111</f>
        <v>16434.427616515255</v>
      </c>
      <c r="U111" s="28"/>
      <c r="V111" s="28"/>
      <c r="W111" s="28"/>
      <c r="X111" s="49"/>
    </row>
    <row r="112" spans="2:24" ht="13.5" thickBot="1"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77"/>
      <c r="P112" s="77"/>
      <c r="Q112" s="77"/>
      <c r="R112" s="77"/>
      <c r="S112" s="77"/>
      <c r="T112" s="77"/>
      <c r="U112" s="77"/>
      <c r="V112" s="77"/>
      <c r="W112" s="77"/>
      <c r="X112" s="77"/>
    </row>
    <row r="113" spans="2:24">
      <c r="B113" s="21" t="s">
        <v>78</v>
      </c>
      <c r="C113" s="39"/>
      <c r="D113" s="40" t="s">
        <v>61</v>
      </c>
      <c r="E113" s="41">
        <v>0.95</v>
      </c>
      <c r="F113" s="41"/>
      <c r="G113" s="41"/>
      <c r="H113" s="41"/>
      <c r="I113" s="41"/>
      <c r="J113" s="41"/>
      <c r="K113" s="41"/>
      <c r="L113" s="42"/>
      <c r="M113" s="69"/>
      <c r="N113" s="69"/>
      <c r="O113" s="39"/>
      <c r="P113" s="40" t="s">
        <v>61</v>
      </c>
      <c r="Q113" s="41">
        <v>0.9</v>
      </c>
      <c r="R113" s="41"/>
      <c r="S113" s="41"/>
      <c r="T113" s="41"/>
      <c r="U113" s="41"/>
      <c r="V113" s="41"/>
      <c r="W113" s="41"/>
      <c r="X113" s="42"/>
    </row>
    <row r="114" spans="2:24">
      <c r="B114" s="69" t="s">
        <v>82</v>
      </c>
      <c r="C114" s="43"/>
      <c r="D114" s="44" t="s">
        <v>62</v>
      </c>
      <c r="E114" s="14">
        <f>1-E113</f>
        <v>5.0000000000000044E-2</v>
      </c>
      <c r="F114" s="14"/>
      <c r="G114" s="14"/>
      <c r="H114" s="29" t="str">
        <f>B117&amp;"="</f>
        <v>β2=</v>
      </c>
      <c r="I114" s="14">
        <f>AI33</f>
        <v>-8.8862193700488206</v>
      </c>
      <c r="J114" s="14"/>
      <c r="K114" s="14"/>
      <c r="L114" s="45"/>
      <c r="M114" s="69"/>
      <c r="N114" s="69"/>
      <c r="O114" s="43"/>
      <c r="P114" s="44" t="s">
        <v>62</v>
      </c>
      <c r="Q114" s="14">
        <f>1-Q113</f>
        <v>9.9999999999999978E-2</v>
      </c>
      <c r="R114" s="14"/>
      <c r="S114" s="14"/>
      <c r="T114" s="29" t="str">
        <f>H114</f>
        <v>β2=</v>
      </c>
      <c r="U114" s="29">
        <f>I114</f>
        <v>-8.8862193700488206</v>
      </c>
      <c r="V114" s="14"/>
      <c r="W114" s="14"/>
      <c r="X114" s="45"/>
    </row>
    <row r="115" spans="2:24">
      <c r="B115" s="21" t="s">
        <v>83</v>
      </c>
      <c r="C115" s="43"/>
      <c r="D115" s="14"/>
      <c r="E115" s="14">
        <f>ROUND(_xlfn.T.INV(1-E114/2,17-(6+1)),2)</f>
        <v>2.23</v>
      </c>
      <c r="F115" s="14"/>
      <c r="G115" s="14"/>
      <c r="H115" s="14"/>
      <c r="I115" s="14"/>
      <c r="J115" s="14"/>
      <c r="K115" s="14"/>
      <c r="L115" s="45"/>
      <c r="M115" s="69"/>
      <c r="N115" s="69"/>
      <c r="O115" s="43"/>
      <c r="P115" s="14"/>
      <c r="Q115" s="14">
        <f>ROUND(_xlfn.T.INV(1-Q114/2,17-(6+1)),2)</f>
        <v>1.81</v>
      </c>
      <c r="R115" s="14"/>
      <c r="S115" s="14"/>
      <c r="T115" s="14"/>
      <c r="U115" s="14"/>
      <c r="V115" s="14"/>
      <c r="W115" s="14"/>
      <c r="X115" s="45"/>
    </row>
    <row r="116" spans="2:24">
      <c r="B116" s="69" t="s">
        <v>45</v>
      </c>
      <c r="C116" s="43"/>
      <c r="D116" s="14"/>
      <c r="E116" s="14"/>
      <c r="F116" s="14"/>
      <c r="G116" s="14"/>
      <c r="H116" s="71" t="s">
        <v>109</v>
      </c>
      <c r="I116" s="14">
        <f>SQRT(E117*E119)</f>
        <v>3.5116264004884705</v>
      </c>
      <c r="J116" s="14"/>
      <c r="K116" s="14"/>
      <c r="L116" s="45"/>
      <c r="M116" s="69"/>
      <c r="N116" s="69"/>
      <c r="O116" s="43"/>
      <c r="P116" s="14"/>
      <c r="Q116" s="14"/>
      <c r="R116" s="14"/>
      <c r="S116" s="14"/>
      <c r="T116" s="76" t="s">
        <v>109</v>
      </c>
      <c r="U116" s="29">
        <f>I116</f>
        <v>3.5116264004884705</v>
      </c>
      <c r="V116" s="14"/>
      <c r="W116" s="14"/>
      <c r="X116" s="45"/>
    </row>
    <row r="117" spans="2:24">
      <c r="B117" s="21" t="s">
        <v>86</v>
      </c>
      <c r="C117" s="43"/>
      <c r="D117" s="14"/>
      <c r="E117" s="14">
        <f>E54</f>
        <v>8363833.8541538464</v>
      </c>
      <c r="F117" s="14"/>
      <c r="G117" s="14"/>
      <c r="H117" s="14"/>
      <c r="I117" s="14"/>
      <c r="J117" s="14"/>
      <c r="K117" s="14"/>
      <c r="L117" s="45"/>
      <c r="M117" s="69"/>
      <c r="N117" s="69"/>
      <c r="O117" s="43"/>
      <c r="P117" s="14"/>
      <c r="Q117" s="29">
        <f>E117</f>
        <v>8363833.8541538464</v>
      </c>
      <c r="R117" s="14"/>
      <c r="S117" s="14"/>
      <c r="T117" s="14"/>
      <c r="U117" s="14"/>
      <c r="V117" s="14"/>
      <c r="W117" s="14"/>
      <c r="X117" s="45"/>
    </row>
    <row r="118" spans="2:24">
      <c r="B118" s="69"/>
      <c r="C118" s="43"/>
      <c r="D118" s="14"/>
      <c r="E118" s="14"/>
      <c r="F118" s="14"/>
      <c r="G118" s="14"/>
      <c r="H118" s="14"/>
      <c r="I118" s="14"/>
      <c r="J118" s="14"/>
      <c r="K118" s="14"/>
      <c r="L118" s="45"/>
      <c r="M118" s="69"/>
      <c r="N118" s="69"/>
      <c r="O118" s="43"/>
      <c r="P118" s="14"/>
      <c r="Q118" s="14"/>
      <c r="R118" s="14"/>
      <c r="S118" s="14"/>
      <c r="T118" s="14"/>
      <c r="U118" s="14"/>
      <c r="V118" s="14"/>
      <c r="W118" s="14"/>
      <c r="X118" s="45"/>
    </row>
    <row r="119" spans="2:24">
      <c r="B119" s="69"/>
      <c r="C119" s="43"/>
      <c r="D119" s="14"/>
      <c r="E119" s="14">
        <f>Q33</f>
        <v>1.4743860520953844E-6</v>
      </c>
      <c r="F119" s="14"/>
      <c r="G119" s="14"/>
      <c r="H119" s="14"/>
      <c r="I119" s="14"/>
      <c r="J119" s="14"/>
      <c r="K119" s="14"/>
      <c r="L119" s="45"/>
      <c r="M119" s="69"/>
      <c r="N119" s="69"/>
      <c r="O119" s="43"/>
      <c r="P119" s="14"/>
      <c r="Q119" s="29">
        <f>E119</f>
        <v>1.4743860520953844E-6</v>
      </c>
      <c r="R119" s="14"/>
      <c r="S119" s="14"/>
      <c r="T119" s="14"/>
      <c r="U119" s="14"/>
      <c r="V119" s="14"/>
      <c r="W119" s="14"/>
      <c r="X119" s="45"/>
    </row>
    <row r="120" spans="2:24">
      <c r="B120" s="69"/>
      <c r="C120" s="43"/>
      <c r="D120" s="14"/>
      <c r="E120" s="14"/>
      <c r="F120" s="14"/>
      <c r="G120" s="29" t="s">
        <v>67</v>
      </c>
      <c r="H120" s="14">
        <f>I114-E121</f>
        <v>-16.71714624313811</v>
      </c>
      <c r="I120" s="14"/>
      <c r="J120" s="14"/>
      <c r="K120" s="14"/>
      <c r="L120" s="45"/>
      <c r="M120" s="69"/>
      <c r="N120" s="69"/>
      <c r="O120" s="43"/>
      <c r="P120" s="14"/>
      <c r="Q120" s="14"/>
      <c r="R120" s="14"/>
      <c r="S120" s="29" t="s">
        <v>67</v>
      </c>
      <c r="T120" s="14">
        <f>U114-Q121</f>
        <v>-15.242263154932953</v>
      </c>
      <c r="U120" s="14"/>
      <c r="V120" s="14"/>
      <c r="W120" s="14"/>
      <c r="X120" s="45"/>
    </row>
    <row r="121" spans="2:24" ht="13.5" thickBot="1">
      <c r="B121" s="69"/>
      <c r="C121" s="47"/>
      <c r="D121" s="48" t="s">
        <v>60</v>
      </c>
      <c r="E121" s="28">
        <f>E115*SQRT(E117*E119)</f>
        <v>7.8309268730892896</v>
      </c>
      <c r="F121" s="28"/>
      <c r="G121" s="48" t="s">
        <v>68</v>
      </c>
      <c r="H121" s="28">
        <f>I114+E121</f>
        <v>-1.055292496959531</v>
      </c>
      <c r="I121" s="28"/>
      <c r="J121" s="28"/>
      <c r="K121" s="28"/>
      <c r="L121" s="49"/>
      <c r="M121" s="69"/>
      <c r="N121" s="69"/>
      <c r="O121" s="47"/>
      <c r="P121" s="48" t="s">
        <v>60</v>
      </c>
      <c r="Q121" s="28">
        <f>Q115*SQRT(Q117*Q119)</f>
        <v>6.3560437848841316</v>
      </c>
      <c r="R121" s="28"/>
      <c r="S121" s="48" t="s">
        <v>68</v>
      </c>
      <c r="T121" s="28">
        <f>U114+Q121</f>
        <v>-2.530175585164689</v>
      </c>
      <c r="U121" s="28"/>
      <c r="V121" s="28"/>
      <c r="W121" s="28"/>
      <c r="X121" s="49"/>
    </row>
    <row r="122" spans="2:24" ht="13.5" thickBot="1"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77"/>
      <c r="P122" s="77"/>
      <c r="Q122" s="77"/>
      <c r="R122" s="77"/>
      <c r="S122" s="77"/>
      <c r="T122" s="77"/>
      <c r="U122" s="77"/>
      <c r="V122" s="77"/>
      <c r="W122" s="77"/>
      <c r="X122" s="77"/>
    </row>
    <row r="123" spans="2:24">
      <c r="B123" s="21" t="s">
        <v>78</v>
      </c>
      <c r="C123" s="39"/>
      <c r="D123" s="40" t="s">
        <v>61</v>
      </c>
      <c r="E123" s="41">
        <v>0.95</v>
      </c>
      <c r="F123" s="41"/>
      <c r="G123" s="41"/>
      <c r="H123" s="41"/>
      <c r="I123" s="41"/>
      <c r="J123" s="41"/>
      <c r="K123" s="41"/>
      <c r="L123" s="42"/>
      <c r="M123" s="69"/>
      <c r="N123" s="69"/>
      <c r="O123" s="39"/>
      <c r="P123" s="40" t="s">
        <v>61</v>
      </c>
      <c r="Q123" s="41">
        <v>0.9</v>
      </c>
      <c r="R123" s="41"/>
      <c r="S123" s="41"/>
      <c r="T123" s="41"/>
      <c r="U123" s="41"/>
      <c r="V123" s="41"/>
      <c r="W123" s="41"/>
      <c r="X123" s="42"/>
    </row>
    <row r="124" spans="2:24">
      <c r="B124" s="69" t="s">
        <v>82</v>
      </c>
      <c r="C124" s="43"/>
      <c r="D124" s="44" t="s">
        <v>62</v>
      </c>
      <c r="E124" s="14">
        <f>1-E123</f>
        <v>5.0000000000000044E-2</v>
      </c>
      <c r="F124" s="14"/>
      <c r="G124" s="14"/>
      <c r="H124" s="29" t="str">
        <f>B127&amp;"="</f>
        <v>β3=</v>
      </c>
      <c r="I124" s="14">
        <f>AI34</f>
        <v>1.9769740844150192</v>
      </c>
      <c r="J124" s="14"/>
      <c r="K124" s="14"/>
      <c r="L124" s="45"/>
      <c r="M124" s="69"/>
      <c r="N124" s="69"/>
      <c r="O124" s="43"/>
      <c r="P124" s="44" t="s">
        <v>62</v>
      </c>
      <c r="Q124" s="14">
        <f>1-Q123</f>
        <v>9.9999999999999978E-2</v>
      </c>
      <c r="R124" s="14"/>
      <c r="S124" s="14"/>
      <c r="T124" s="29" t="str">
        <f>H124</f>
        <v>β3=</v>
      </c>
      <c r="U124" s="29">
        <f>I124</f>
        <v>1.9769740844150192</v>
      </c>
      <c r="V124" s="14"/>
      <c r="W124" s="14"/>
      <c r="X124" s="45"/>
    </row>
    <row r="125" spans="2:24">
      <c r="B125" s="21" t="s">
        <v>83</v>
      </c>
      <c r="C125" s="43"/>
      <c r="D125" s="14"/>
      <c r="E125" s="14">
        <f>ROUND(_xlfn.T.INV(1-E124/2,17-(6+1)),2)</f>
        <v>2.23</v>
      </c>
      <c r="F125" s="14"/>
      <c r="G125" s="14"/>
      <c r="H125" s="14"/>
      <c r="I125" s="14"/>
      <c r="J125" s="14"/>
      <c r="K125" s="14"/>
      <c r="L125" s="45"/>
      <c r="M125" s="69"/>
      <c r="N125" s="69"/>
      <c r="O125" s="43"/>
      <c r="P125" s="14"/>
      <c r="Q125" s="14">
        <f>ROUND(_xlfn.T.INV(1-Q124/2,17-(6+1)),2)</f>
        <v>1.81</v>
      </c>
      <c r="R125" s="14"/>
      <c r="S125" s="14"/>
      <c r="T125" s="14"/>
      <c r="U125" s="14"/>
      <c r="V125" s="14"/>
      <c r="W125" s="14"/>
      <c r="X125" s="45"/>
    </row>
    <row r="126" spans="2:24">
      <c r="B126" s="69" t="s">
        <v>45</v>
      </c>
      <c r="C126" s="43"/>
      <c r="D126" s="14"/>
      <c r="E126" s="14"/>
      <c r="F126" s="14"/>
      <c r="G126" s="14"/>
      <c r="H126" s="71" t="s">
        <v>109</v>
      </c>
      <c r="I126" s="14">
        <f>SQRT(E127*E129)</f>
        <v>0.41822635479857967</v>
      </c>
      <c r="J126" s="14"/>
      <c r="K126" s="14"/>
      <c r="L126" s="45"/>
      <c r="M126" s="69"/>
      <c r="N126" s="69"/>
      <c r="O126" s="43"/>
      <c r="P126" s="14"/>
      <c r="Q126" s="14"/>
      <c r="R126" s="14"/>
      <c r="S126" s="14"/>
      <c r="T126" s="76" t="s">
        <v>109</v>
      </c>
      <c r="U126" s="14">
        <f>SQRT(Q127*Q129)</f>
        <v>0.41822635479857967</v>
      </c>
      <c r="V126" s="14"/>
      <c r="W126" s="14"/>
      <c r="X126" s="45"/>
    </row>
    <row r="127" spans="2:24">
      <c r="B127" s="21" t="s">
        <v>87</v>
      </c>
      <c r="C127" s="43"/>
      <c r="D127" s="14"/>
      <c r="E127" s="14">
        <f>E54</f>
        <v>8363833.8541538464</v>
      </c>
      <c r="F127" s="14"/>
      <c r="G127" s="14"/>
      <c r="H127" s="14"/>
      <c r="I127" s="14"/>
      <c r="J127" s="14"/>
      <c r="K127" s="14"/>
      <c r="L127" s="45"/>
      <c r="M127" s="69"/>
      <c r="N127" s="69"/>
      <c r="O127" s="43"/>
      <c r="P127" s="14"/>
      <c r="Q127" s="29">
        <f>E127</f>
        <v>8363833.8541538464</v>
      </c>
      <c r="R127" s="14"/>
      <c r="S127" s="14"/>
      <c r="T127" s="14"/>
      <c r="U127" s="14"/>
      <c r="V127" s="14"/>
      <c r="W127" s="14"/>
      <c r="X127" s="45"/>
    </row>
    <row r="128" spans="2:24">
      <c r="B128" s="69"/>
      <c r="C128" s="43"/>
      <c r="D128" s="14"/>
      <c r="E128" s="14"/>
      <c r="F128" s="14"/>
      <c r="G128" s="14"/>
      <c r="H128" s="14"/>
      <c r="I128" s="14"/>
      <c r="J128" s="14"/>
      <c r="K128" s="14"/>
      <c r="L128" s="45"/>
      <c r="M128" s="69"/>
      <c r="N128" s="69"/>
      <c r="O128" s="43"/>
      <c r="P128" s="14"/>
      <c r="Q128" s="14"/>
      <c r="R128" s="14"/>
      <c r="S128" s="14"/>
      <c r="T128" s="14"/>
      <c r="U128" s="14"/>
      <c r="V128" s="14"/>
      <c r="W128" s="14"/>
      <c r="X128" s="45"/>
    </row>
    <row r="129" spans="2:24">
      <c r="B129" s="69"/>
      <c r="C129" s="43"/>
      <c r="D129" s="14"/>
      <c r="E129" s="14">
        <f>R34</f>
        <v>2.0913050988122848E-8</v>
      </c>
      <c r="F129" s="14"/>
      <c r="G129" s="14"/>
      <c r="H129" s="14"/>
      <c r="I129" s="14"/>
      <c r="J129" s="14"/>
      <c r="K129" s="14"/>
      <c r="L129" s="45"/>
      <c r="M129" s="69"/>
      <c r="N129" s="69"/>
      <c r="O129" s="43"/>
      <c r="P129" s="14"/>
      <c r="Q129" s="29">
        <f>E129</f>
        <v>2.0913050988122848E-8</v>
      </c>
      <c r="R129" s="14"/>
      <c r="S129" s="14"/>
      <c r="T129" s="14"/>
      <c r="U129" s="14"/>
      <c r="V129" s="14"/>
      <c r="W129" s="14"/>
      <c r="X129" s="45"/>
    </row>
    <row r="130" spans="2:24">
      <c r="B130" s="69"/>
      <c r="C130" s="43"/>
      <c r="D130" s="14"/>
      <c r="E130" s="14"/>
      <c r="F130" s="14"/>
      <c r="G130" s="29" t="s">
        <v>67</v>
      </c>
      <c r="H130" s="14">
        <f>I124-E131</f>
        <v>1.0443293132141864</v>
      </c>
      <c r="I130" s="14"/>
      <c r="J130" s="14"/>
      <c r="K130" s="14"/>
      <c r="L130" s="45"/>
      <c r="M130" s="69"/>
      <c r="N130" s="69"/>
      <c r="O130" s="43"/>
      <c r="P130" s="14"/>
      <c r="Q130" s="14"/>
      <c r="R130" s="14"/>
      <c r="S130" s="29" t="s">
        <v>67</v>
      </c>
      <c r="T130" s="14">
        <f>U124-Q131</f>
        <v>1.2199843822295899</v>
      </c>
      <c r="U130" s="14"/>
      <c r="V130" s="14"/>
      <c r="W130" s="14"/>
      <c r="X130" s="45"/>
    </row>
    <row r="131" spans="2:24" ht="13.5" thickBot="1">
      <c r="B131" s="69"/>
      <c r="C131" s="47"/>
      <c r="D131" s="48" t="s">
        <v>60</v>
      </c>
      <c r="E131" s="28">
        <f>E125*SQRT(E127*E129)</f>
        <v>0.93264477120083267</v>
      </c>
      <c r="F131" s="28"/>
      <c r="G131" s="48" t="s">
        <v>68</v>
      </c>
      <c r="H131" s="28">
        <f>I124+E131</f>
        <v>2.909618855615852</v>
      </c>
      <c r="I131" s="28"/>
      <c r="J131" s="28"/>
      <c r="K131" s="28"/>
      <c r="L131" s="49"/>
      <c r="M131" s="69"/>
      <c r="N131" s="69"/>
      <c r="O131" s="47"/>
      <c r="P131" s="48" t="s">
        <v>60</v>
      </c>
      <c r="Q131" s="28">
        <f>Q125*SQRT(Q127*Q129)</f>
        <v>0.75698970218542927</v>
      </c>
      <c r="R131" s="28"/>
      <c r="S131" s="48" t="s">
        <v>68</v>
      </c>
      <c r="T131" s="28">
        <f>U124+Q131</f>
        <v>2.7339637866004485</v>
      </c>
      <c r="U131" s="28"/>
      <c r="V131" s="28"/>
      <c r="W131" s="28"/>
      <c r="X131" s="49"/>
    </row>
    <row r="132" spans="2:24" ht="13.5" thickBot="1"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77"/>
      <c r="P132" s="77"/>
      <c r="Q132" s="77"/>
      <c r="R132" s="77"/>
      <c r="S132" s="77"/>
      <c r="T132" s="77"/>
      <c r="U132" s="77"/>
      <c r="V132" s="77"/>
      <c r="W132" s="77"/>
      <c r="X132" s="77"/>
    </row>
    <row r="133" spans="2:24">
      <c r="B133" s="21" t="s">
        <v>78</v>
      </c>
      <c r="C133" s="39"/>
      <c r="D133" s="40" t="s">
        <v>61</v>
      </c>
      <c r="E133" s="41">
        <v>0.95</v>
      </c>
      <c r="F133" s="41"/>
      <c r="G133" s="64" t="s">
        <v>95</v>
      </c>
      <c r="H133" s="41">
        <f>C4</f>
        <v>0.68710000000000004</v>
      </c>
      <c r="I133" s="41"/>
      <c r="J133" s="41">
        <f>E54</f>
        <v>8363833.8541538464</v>
      </c>
      <c r="K133" s="41"/>
      <c r="L133" s="42"/>
      <c r="M133" s="69"/>
      <c r="N133" s="69"/>
      <c r="O133" s="39"/>
      <c r="P133" s="40" t="s">
        <v>61</v>
      </c>
      <c r="Q133" s="41">
        <v>0.9</v>
      </c>
      <c r="R133" s="41"/>
      <c r="S133" s="64" t="s">
        <v>95</v>
      </c>
      <c r="T133" s="29">
        <f>H133</f>
        <v>0.68710000000000004</v>
      </c>
      <c r="U133" s="41"/>
      <c r="V133" s="29">
        <f>J133</f>
        <v>8363833.8541538464</v>
      </c>
      <c r="W133" s="41"/>
      <c r="X133" s="42"/>
    </row>
    <row r="134" spans="2:24">
      <c r="B134" s="21" t="s">
        <v>91</v>
      </c>
      <c r="C134" s="43"/>
      <c r="D134" s="44" t="s">
        <v>62</v>
      </c>
      <c r="E134" s="14">
        <f>1-E133</f>
        <v>5.0000000000000044E-2</v>
      </c>
      <c r="F134" s="14"/>
      <c r="G134" s="29" t="s">
        <v>96</v>
      </c>
      <c r="H134" s="14">
        <f>D4</f>
        <v>6117</v>
      </c>
      <c r="I134" s="14"/>
      <c r="J134" s="14"/>
      <c r="K134" s="14"/>
      <c r="L134" s="45"/>
      <c r="M134" s="69"/>
      <c r="N134" s="69"/>
      <c r="O134" s="43"/>
      <c r="P134" s="44" t="s">
        <v>62</v>
      </c>
      <c r="Q134" s="14">
        <f>1-Q133</f>
        <v>9.9999999999999978E-2</v>
      </c>
      <c r="R134" s="14"/>
      <c r="S134" s="29" t="s">
        <v>96</v>
      </c>
      <c r="T134" s="29">
        <f>H134</f>
        <v>6117</v>
      </c>
      <c r="U134" s="14"/>
      <c r="V134" s="14"/>
      <c r="W134" s="14"/>
      <c r="X134" s="45"/>
    </row>
    <row r="135" spans="2:24">
      <c r="B135" s="21" t="s">
        <v>92</v>
      </c>
      <c r="C135" s="43"/>
      <c r="D135" s="14"/>
      <c r="E135" s="14">
        <f>ROUND(_xlfn.T.INV(1-E134/2,17-(6+1)),2)</f>
        <v>2.23</v>
      </c>
      <c r="F135" s="14"/>
      <c r="G135" s="29" t="s">
        <v>97</v>
      </c>
      <c r="H135" s="14">
        <f>E4</f>
        <v>45642</v>
      </c>
      <c r="I135" s="14"/>
      <c r="J135" s="14"/>
      <c r="K135" s="14"/>
      <c r="L135" s="45"/>
      <c r="M135" s="69"/>
      <c r="N135" s="69"/>
      <c r="O135" s="43"/>
      <c r="P135" s="14"/>
      <c r="Q135" s="14">
        <f>ROUND(_xlfn.T.INV(1-Q134/2,17-(6+1)),2)</f>
        <v>1.81</v>
      </c>
      <c r="R135" s="14"/>
      <c r="S135" s="29" t="s">
        <v>97</v>
      </c>
      <c r="T135" s="29">
        <f>H135</f>
        <v>45642</v>
      </c>
      <c r="U135" s="14"/>
      <c r="V135" s="14"/>
      <c r="W135" s="14"/>
      <c r="X135" s="45"/>
    </row>
    <row r="136" spans="2:24">
      <c r="B136" s="21" t="s">
        <v>93</v>
      </c>
      <c r="C136" s="43"/>
      <c r="D136" s="14"/>
      <c r="E136" s="14"/>
      <c r="F136" s="14"/>
      <c r="G136" s="14"/>
      <c r="H136" s="14"/>
      <c r="I136" s="14"/>
      <c r="J136" s="14"/>
      <c r="K136" s="14">
        <f>E137</f>
        <v>1</v>
      </c>
      <c r="L136" s="45"/>
      <c r="M136" s="69"/>
      <c r="N136" s="69"/>
      <c r="O136" s="43"/>
      <c r="P136" s="14"/>
      <c r="Q136" s="14"/>
      <c r="R136" s="14"/>
      <c r="S136" s="14"/>
      <c r="T136" s="14"/>
      <c r="U136" s="14"/>
      <c r="V136" s="14"/>
      <c r="W136" s="14">
        <f>Q137</f>
        <v>1</v>
      </c>
      <c r="X136" s="45"/>
    </row>
    <row r="137" spans="2:24">
      <c r="B137" s="21" t="s">
        <v>94</v>
      </c>
      <c r="C137" s="43"/>
      <c r="D137" s="14"/>
      <c r="E137" s="14">
        <v>1</v>
      </c>
      <c r="F137" s="14">
        <f>H133</f>
        <v>0.68710000000000004</v>
      </c>
      <c r="G137" s="14">
        <f>H134</f>
        <v>6117</v>
      </c>
      <c r="H137" s="14">
        <f>H135</f>
        <v>45642</v>
      </c>
      <c r="I137" s="14"/>
      <c r="J137" s="14"/>
      <c r="K137" s="14">
        <f>F137</f>
        <v>0.68710000000000004</v>
      </c>
      <c r="L137" s="45"/>
      <c r="M137" s="69"/>
      <c r="N137" s="69"/>
      <c r="O137" s="43"/>
      <c r="P137" s="14"/>
      <c r="Q137" s="14">
        <v>1</v>
      </c>
      <c r="R137" s="14">
        <f>T133</f>
        <v>0.68710000000000004</v>
      </c>
      <c r="S137" s="14">
        <f>T134</f>
        <v>6117</v>
      </c>
      <c r="T137" s="14">
        <f>T135</f>
        <v>45642</v>
      </c>
      <c r="U137" s="14"/>
      <c r="V137" s="14"/>
      <c r="W137" s="14">
        <f>R137</f>
        <v>0.68710000000000004</v>
      </c>
      <c r="X137" s="45"/>
    </row>
    <row r="138" spans="2:24">
      <c r="B138" s="69"/>
      <c r="C138" s="43"/>
      <c r="D138" s="14"/>
      <c r="E138" s="14"/>
      <c r="F138" s="14"/>
      <c r="G138" s="14"/>
      <c r="H138" s="14"/>
      <c r="I138" s="14"/>
      <c r="J138" s="14"/>
      <c r="K138" s="14">
        <f>G137</f>
        <v>6117</v>
      </c>
      <c r="L138" s="45"/>
      <c r="M138" s="69"/>
      <c r="N138" s="69"/>
      <c r="O138" s="43"/>
      <c r="P138" s="14"/>
      <c r="Q138" s="14"/>
      <c r="R138" s="14"/>
      <c r="S138" s="14"/>
      <c r="T138" s="14"/>
      <c r="U138" s="14"/>
      <c r="V138" s="14"/>
      <c r="W138" s="14">
        <f>S137</f>
        <v>6117</v>
      </c>
      <c r="X138" s="45"/>
    </row>
    <row r="139" spans="2:24">
      <c r="B139" s="69"/>
      <c r="C139" s="43"/>
      <c r="D139" s="14"/>
      <c r="E139" s="14">
        <f>ROUND(MMULT(E137:H137,AI31:AI34),4)</f>
        <v>39370.154300000002</v>
      </c>
      <c r="F139" s="14"/>
      <c r="G139" s="14"/>
      <c r="H139" s="14"/>
      <c r="I139" s="14"/>
      <c r="J139" s="14"/>
      <c r="K139" s="14">
        <f>H137</f>
        <v>45642</v>
      </c>
      <c r="L139" s="45"/>
      <c r="M139" s="69"/>
      <c r="N139" s="69"/>
      <c r="O139" s="43"/>
      <c r="P139" s="14"/>
      <c r="Q139" s="29">
        <f>E139</f>
        <v>39370.154300000002</v>
      </c>
      <c r="R139" s="14"/>
      <c r="S139" s="14"/>
      <c r="T139" s="14"/>
      <c r="U139" s="14"/>
      <c r="V139" s="14"/>
      <c r="W139" s="14">
        <f>T137</f>
        <v>45642</v>
      </c>
      <c r="X139" s="45"/>
    </row>
    <row r="140" spans="2:24">
      <c r="B140" s="69"/>
      <c r="C140" s="43"/>
      <c r="D140" s="14"/>
      <c r="E140" s="14"/>
      <c r="F140" s="14"/>
      <c r="G140" s="14"/>
      <c r="H140" s="14"/>
      <c r="I140" s="14"/>
      <c r="J140" s="14"/>
      <c r="K140" s="14"/>
      <c r="L140" s="45"/>
      <c r="M140" s="69"/>
      <c r="N140" s="69"/>
      <c r="O140" s="43"/>
      <c r="P140" s="14"/>
      <c r="Q140" s="14"/>
      <c r="R140" s="14"/>
      <c r="S140" s="14"/>
      <c r="T140" s="14"/>
      <c r="U140" s="14"/>
      <c r="V140" s="14"/>
      <c r="W140" s="14"/>
      <c r="X140" s="45"/>
    </row>
    <row r="141" spans="2:24">
      <c r="B141" s="69"/>
      <c r="C141" s="43"/>
      <c r="D141" s="14"/>
      <c r="E141" s="14">
        <f>MMULT(MMULT(E137:H137,O31:R34),K136:K139)</f>
        <v>0.7105225016303045</v>
      </c>
      <c r="F141" s="14"/>
      <c r="G141" s="14"/>
      <c r="H141" s="14"/>
      <c r="I141" s="14"/>
      <c r="J141" s="14"/>
      <c r="K141" s="14"/>
      <c r="L141" s="45"/>
      <c r="M141" s="69"/>
      <c r="N141" s="69"/>
      <c r="O141" s="43"/>
      <c r="P141" s="14"/>
      <c r="Q141" s="29">
        <f>E141</f>
        <v>0.7105225016303045</v>
      </c>
      <c r="R141" s="14"/>
      <c r="S141" s="14"/>
      <c r="T141" s="14"/>
      <c r="U141" s="14"/>
      <c r="V141" s="14"/>
      <c r="W141" s="14"/>
      <c r="X141" s="45"/>
    </row>
    <row r="142" spans="2:24">
      <c r="B142" s="69"/>
      <c r="C142" s="43"/>
      <c r="D142" s="14"/>
      <c r="E142" s="14"/>
      <c r="F142" s="14"/>
      <c r="G142" s="14"/>
      <c r="H142" s="14"/>
      <c r="I142" s="14"/>
      <c r="J142" s="14"/>
      <c r="K142" s="14"/>
      <c r="L142" s="45"/>
      <c r="M142" s="69"/>
      <c r="N142" s="69"/>
      <c r="O142" s="43"/>
      <c r="P142" s="14"/>
      <c r="Q142" s="14"/>
      <c r="R142" s="14"/>
      <c r="S142" s="14"/>
      <c r="T142" s="14"/>
      <c r="U142" s="14"/>
      <c r="V142" s="14"/>
      <c r="W142" s="14"/>
      <c r="X142" s="45"/>
    </row>
    <row r="143" spans="2:24">
      <c r="B143" s="69"/>
      <c r="C143" s="43"/>
      <c r="D143" s="14"/>
      <c r="E143" s="14">
        <f>J133*E141</f>
        <v>5942692.1532736225</v>
      </c>
      <c r="F143" s="14"/>
      <c r="G143" s="14"/>
      <c r="H143" s="14"/>
      <c r="I143" s="14"/>
      <c r="J143" s="14"/>
      <c r="K143" s="14"/>
      <c r="L143" s="45"/>
      <c r="M143" s="69"/>
      <c r="N143" s="69"/>
      <c r="O143" s="43"/>
      <c r="P143" s="14"/>
      <c r="Q143" s="14">
        <f>V133*Q141</f>
        <v>5942692.1532736225</v>
      </c>
      <c r="R143" s="14"/>
      <c r="S143" s="14"/>
      <c r="T143" s="14"/>
      <c r="U143" s="14"/>
      <c r="V143" s="14"/>
      <c r="W143" s="14"/>
      <c r="X143" s="45"/>
    </row>
    <row r="144" spans="2:24" ht="15.75">
      <c r="B144" s="69"/>
      <c r="C144" s="43"/>
      <c r="D144" s="14"/>
      <c r="E144" s="14"/>
      <c r="F144" s="14"/>
      <c r="G144" s="29" t="s">
        <v>67</v>
      </c>
      <c r="H144" s="14">
        <f>E139-E145</f>
        <v>33933.941100000004</v>
      </c>
      <c r="I144" s="14"/>
      <c r="J144" s="69" t="s">
        <v>98</v>
      </c>
      <c r="K144" s="65" t="str">
        <f>"]"&amp;H144&amp;";"&amp;H145&amp;"["</f>
        <v>]33933,9411;44806,3675[</v>
      </c>
      <c r="L144" s="45"/>
      <c r="M144" s="69"/>
      <c r="N144" s="69"/>
      <c r="O144" s="43"/>
      <c r="P144" s="14"/>
      <c r="Q144" s="14"/>
      <c r="R144" s="14"/>
      <c r="S144" s="29" t="s">
        <v>67</v>
      </c>
      <c r="T144" s="14">
        <f>Q139-Q145</f>
        <v>34957.801900000006</v>
      </c>
      <c r="U144" s="14"/>
      <c r="V144" s="77" t="s">
        <v>139</v>
      </c>
      <c r="W144" s="65" t="str">
        <f>"]"&amp;T144&amp;";"&amp;T145&amp;"["</f>
        <v>]34957,8019;43782,5067[</v>
      </c>
      <c r="X144" s="45"/>
    </row>
    <row r="145" spans="2:24" ht="13.5" thickBot="1">
      <c r="B145" s="69"/>
      <c r="C145" s="47"/>
      <c r="D145" s="48" t="s">
        <v>60</v>
      </c>
      <c r="E145" s="28">
        <f>ROUND(E135*SQRT(E143),4)</f>
        <v>5436.2132000000001</v>
      </c>
      <c r="F145" s="28"/>
      <c r="G145" s="48" t="s">
        <v>68</v>
      </c>
      <c r="H145" s="28">
        <f>E139+E145</f>
        <v>44806.3675</v>
      </c>
      <c r="I145" s="28"/>
      <c r="J145" s="28"/>
      <c r="K145" s="28"/>
      <c r="L145" s="49"/>
      <c r="M145" s="69"/>
      <c r="N145" s="69"/>
      <c r="O145" s="47"/>
      <c r="P145" s="48" t="s">
        <v>60</v>
      </c>
      <c r="Q145" s="28">
        <f>ROUND(Q135*SQRT(Q143),4)</f>
        <v>4412.3523999999998</v>
      </c>
      <c r="R145" s="28"/>
      <c r="S145" s="48" t="s">
        <v>68</v>
      </c>
      <c r="T145" s="28">
        <f>Q139+Q145</f>
        <v>43782.506699999998</v>
      </c>
      <c r="U145" s="28"/>
      <c r="V145" s="28"/>
      <c r="W145" s="28"/>
      <c r="X145" s="49"/>
    </row>
    <row r="146" spans="2:24" ht="13.5" thickBot="1"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77"/>
      <c r="P146" s="77"/>
      <c r="Q146" s="77"/>
      <c r="R146" s="77"/>
      <c r="S146" s="77"/>
      <c r="T146" s="77"/>
      <c r="U146" s="77"/>
      <c r="V146" s="77"/>
      <c r="W146" s="77"/>
      <c r="X146" s="77"/>
    </row>
    <row r="147" spans="2:24">
      <c r="B147" s="21" t="s">
        <v>78</v>
      </c>
      <c r="C147" s="39"/>
      <c r="D147" s="40" t="s">
        <v>61</v>
      </c>
      <c r="E147" s="41">
        <v>0.95</v>
      </c>
      <c r="F147" s="41"/>
      <c r="G147" s="64" t="s">
        <v>95</v>
      </c>
      <c r="H147" s="41">
        <f>H133</f>
        <v>0.68710000000000004</v>
      </c>
      <c r="I147" s="41"/>
      <c r="J147" s="41">
        <f>E54</f>
        <v>8363833.8541538464</v>
      </c>
      <c r="K147" s="41"/>
      <c r="L147" s="42"/>
      <c r="M147" s="69"/>
      <c r="N147" s="69"/>
      <c r="O147" s="39"/>
      <c r="P147" s="40" t="s">
        <v>61</v>
      </c>
      <c r="Q147" s="41">
        <v>0.9</v>
      </c>
      <c r="R147" s="41"/>
      <c r="S147" s="64" t="s">
        <v>95</v>
      </c>
      <c r="T147" s="41">
        <f>T133</f>
        <v>0.68710000000000004</v>
      </c>
      <c r="U147" s="41"/>
      <c r="V147" s="29">
        <f>J147</f>
        <v>8363833.8541538464</v>
      </c>
      <c r="W147" s="41"/>
      <c r="X147" s="42"/>
    </row>
    <row r="148" spans="2:24">
      <c r="B148" s="21" t="s">
        <v>99</v>
      </c>
      <c r="C148" s="43"/>
      <c r="D148" s="44" t="s">
        <v>62</v>
      </c>
      <c r="E148" s="14">
        <f>1-E147</f>
        <v>5.0000000000000044E-2</v>
      </c>
      <c r="F148" s="14"/>
      <c r="G148" s="29" t="s">
        <v>96</v>
      </c>
      <c r="H148" s="14">
        <f>H134</f>
        <v>6117</v>
      </c>
      <c r="I148" s="14"/>
      <c r="J148" s="14"/>
      <c r="K148" s="14"/>
      <c r="L148" s="45"/>
      <c r="M148" s="69"/>
      <c r="N148" s="69"/>
      <c r="O148" s="43"/>
      <c r="P148" s="44" t="s">
        <v>62</v>
      </c>
      <c r="Q148" s="14">
        <f>1-Q147</f>
        <v>9.9999999999999978E-2</v>
      </c>
      <c r="R148" s="14"/>
      <c r="S148" s="29" t="s">
        <v>96</v>
      </c>
      <c r="T148" s="14">
        <f>T134</f>
        <v>6117</v>
      </c>
      <c r="U148" s="14"/>
      <c r="V148" s="14"/>
      <c r="W148" s="14"/>
      <c r="X148" s="45"/>
    </row>
    <row r="149" spans="2:24">
      <c r="B149" s="21" t="s">
        <v>100</v>
      </c>
      <c r="C149" s="43"/>
      <c r="D149" s="14"/>
      <c r="E149" s="14">
        <f>ROUND(_xlfn.T.INV(1-E148/2,17-(6+1)),2)</f>
        <v>2.23</v>
      </c>
      <c r="F149" s="14"/>
      <c r="G149" s="29" t="s">
        <v>97</v>
      </c>
      <c r="H149" s="14">
        <f>H135</f>
        <v>45642</v>
      </c>
      <c r="I149" s="14"/>
      <c r="J149" s="14"/>
      <c r="K149" s="14"/>
      <c r="L149" s="45"/>
      <c r="M149" s="69"/>
      <c r="N149" s="69"/>
      <c r="O149" s="43"/>
      <c r="P149" s="14"/>
      <c r="Q149" s="14">
        <f>ROUND(_xlfn.T.INV(1-Q148/2,17-(6+1)),2)</f>
        <v>1.81</v>
      </c>
      <c r="R149" s="14"/>
      <c r="S149" s="29" t="s">
        <v>97</v>
      </c>
      <c r="T149" s="14">
        <f>T135</f>
        <v>45642</v>
      </c>
      <c r="U149" s="14"/>
      <c r="V149" s="14"/>
      <c r="W149" s="14"/>
      <c r="X149" s="45"/>
    </row>
    <row r="150" spans="2:24">
      <c r="B150" s="21" t="s">
        <v>101</v>
      </c>
      <c r="C150" s="43"/>
      <c r="D150" s="14"/>
      <c r="E150" s="14"/>
      <c r="F150" s="14"/>
      <c r="G150" s="14"/>
      <c r="H150" s="14"/>
      <c r="I150" s="14"/>
      <c r="J150" s="14"/>
      <c r="K150" s="14">
        <f>E151</f>
        <v>1</v>
      </c>
      <c r="L150" s="45"/>
      <c r="M150" s="69"/>
      <c r="N150" s="69"/>
      <c r="O150" s="43"/>
      <c r="P150" s="14"/>
      <c r="Q150" s="14"/>
      <c r="R150" s="14"/>
      <c r="S150" s="14"/>
      <c r="T150" s="14"/>
      <c r="U150" s="14"/>
      <c r="V150" s="14"/>
      <c r="W150" s="14">
        <f>Q151</f>
        <v>1</v>
      </c>
      <c r="X150" s="45"/>
    </row>
    <row r="151" spans="2:24">
      <c r="B151" s="21" t="s">
        <v>102</v>
      </c>
      <c r="C151" s="43"/>
      <c r="D151" s="14"/>
      <c r="E151" s="14">
        <v>1</v>
      </c>
      <c r="F151" s="14">
        <f>H147</f>
        <v>0.68710000000000004</v>
      </c>
      <c r="G151" s="14">
        <f>H148</f>
        <v>6117</v>
      </c>
      <c r="H151" s="14">
        <f>H149</f>
        <v>45642</v>
      </c>
      <c r="I151" s="14"/>
      <c r="J151" s="14"/>
      <c r="K151" s="14">
        <f>F151</f>
        <v>0.68710000000000004</v>
      </c>
      <c r="L151" s="45"/>
      <c r="M151" s="69"/>
      <c r="N151" s="69"/>
      <c r="O151" s="43"/>
      <c r="P151" s="14"/>
      <c r="Q151" s="14">
        <v>1</v>
      </c>
      <c r="R151" s="14">
        <f>T147</f>
        <v>0.68710000000000004</v>
      </c>
      <c r="S151" s="14">
        <f>T148</f>
        <v>6117</v>
      </c>
      <c r="T151" s="14">
        <f>T149</f>
        <v>45642</v>
      </c>
      <c r="U151" s="14"/>
      <c r="V151" s="14"/>
      <c r="W151" s="14">
        <f>R151</f>
        <v>0.68710000000000004</v>
      </c>
      <c r="X151" s="45"/>
    </row>
    <row r="152" spans="2:24">
      <c r="B152" s="21" t="s">
        <v>94</v>
      </c>
      <c r="C152" s="43"/>
      <c r="D152" s="14"/>
      <c r="E152" s="14"/>
      <c r="F152" s="14"/>
      <c r="G152" s="14"/>
      <c r="H152" s="14"/>
      <c r="I152" s="14"/>
      <c r="J152" s="14"/>
      <c r="K152" s="14">
        <f>G151</f>
        <v>6117</v>
      </c>
      <c r="L152" s="45"/>
      <c r="M152" s="69"/>
      <c r="N152" s="69"/>
      <c r="O152" s="43"/>
      <c r="P152" s="14"/>
      <c r="Q152" s="14"/>
      <c r="R152" s="14"/>
      <c r="S152" s="14"/>
      <c r="T152" s="14"/>
      <c r="U152" s="14"/>
      <c r="V152" s="14"/>
      <c r="W152" s="14">
        <f>S151</f>
        <v>6117</v>
      </c>
      <c r="X152" s="45"/>
    </row>
    <row r="153" spans="2:24">
      <c r="B153" s="69"/>
      <c r="C153" s="43"/>
      <c r="D153" s="14"/>
      <c r="E153" s="14">
        <f>ROUND(MMULT(E137:H137,AI31:AI34),4)</f>
        <v>39370.154300000002</v>
      </c>
      <c r="F153" s="14"/>
      <c r="G153" s="14"/>
      <c r="H153" s="14"/>
      <c r="I153" s="14"/>
      <c r="J153" s="14"/>
      <c r="K153" s="14">
        <f>H151</f>
        <v>45642</v>
      </c>
      <c r="L153" s="45"/>
      <c r="M153" s="69"/>
      <c r="N153" s="69"/>
      <c r="O153" s="43"/>
      <c r="P153" s="14"/>
      <c r="Q153" s="29">
        <f>E153</f>
        <v>39370.154300000002</v>
      </c>
      <c r="R153" s="14"/>
      <c r="S153" s="14"/>
      <c r="T153" s="14"/>
      <c r="U153" s="14"/>
      <c r="V153" s="14"/>
      <c r="W153" s="14">
        <f>T151</f>
        <v>45642</v>
      </c>
      <c r="X153" s="45"/>
    </row>
    <row r="154" spans="2:24">
      <c r="B154" s="69"/>
      <c r="C154" s="43"/>
      <c r="D154" s="14"/>
      <c r="E154" s="14"/>
      <c r="F154" s="14"/>
      <c r="G154" s="14"/>
      <c r="H154" s="14"/>
      <c r="I154" s="14"/>
      <c r="J154" s="14"/>
      <c r="K154" s="14"/>
      <c r="L154" s="45"/>
      <c r="M154" s="69"/>
      <c r="N154" s="69"/>
      <c r="O154" s="43"/>
      <c r="P154" s="14"/>
      <c r="Q154" s="14"/>
      <c r="R154" s="14"/>
      <c r="S154" s="14"/>
      <c r="T154" s="14"/>
      <c r="U154" s="14"/>
      <c r="V154" s="14"/>
      <c r="W154" s="14"/>
      <c r="X154" s="45"/>
    </row>
    <row r="155" spans="2:24">
      <c r="B155" s="69"/>
      <c r="C155" s="43"/>
      <c r="D155" s="14"/>
      <c r="E155" s="14">
        <f>MMULT(MMULT(E137:H137,O31:R34),K136:K139)</f>
        <v>0.7105225016303045</v>
      </c>
      <c r="F155" s="14"/>
      <c r="G155" s="14"/>
      <c r="H155" s="14"/>
      <c r="I155" s="14"/>
      <c r="J155" s="14"/>
      <c r="K155" s="14"/>
      <c r="L155" s="45"/>
      <c r="M155" s="69"/>
      <c r="N155" s="69"/>
      <c r="O155" s="43"/>
      <c r="P155" s="14"/>
      <c r="Q155" s="29">
        <f>E155</f>
        <v>0.7105225016303045</v>
      </c>
      <c r="R155" s="14"/>
      <c r="S155" s="14"/>
      <c r="T155" s="14"/>
      <c r="U155" s="14"/>
      <c r="V155" s="14"/>
      <c r="W155" s="14"/>
      <c r="X155" s="45"/>
    </row>
    <row r="156" spans="2:24">
      <c r="B156" s="69"/>
      <c r="C156" s="43"/>
      <c r="D156" s="14"/>
      <c r="E156" s="14"/>
      <c r="F156" s="14"/>
      <c r="G156" s="14"/>
      <c r="H156" s="14"/>
      <c r="I156" s="14"/>
      <c r="J156" s="14"/>
      <c r="K156" s="14"/>
      <c r="L156" s="45"/>
      <c r="M156" s="69"/>
      <c r="N156" s="69"/>
      <c r="O156" s="43"/>
      <c r="P156" s="14"/>
      <c r="Q156" s="14"/>
      <c r="R156" s="14"/>
      <c r="S156" s="14"/>
      <c r="T156" s="14"/>
      <c r="U156" s="14"/>
      <c r="V156" s="14"/>
      <c r="W156" s="14"/>
      <c r="X156" s="45"/>
    </row>
    <row r="157" spans="2:24">
      <c r="B157" s="69"/>
      <c r="C157" s="43"/>
      <c r="D157" s="14"/>
      <c r="E157" s="14">
        <f>J147*(1+E155)</f>
        <v>14306526.007427469</v>
      </c>
      <c r="F157" s="14"/>
      <c r="G157" s="14"/>
      <c r="H157" s="14"/>
      <c r="I157" s="14"/>
      <c r="J157" s="14"/>
      <c r="K157" s="14"/>
      <c r="L157" s="45"/>
      <c r="M157" s="69"/>
      <c r="N157" s="69"/>
      <c r="O157" s="43"/>
      <c r="P157" s="14"/>
      <c r="Q157" s="14">
        <f>V147*(1+Q155)</f>
        <v>14306526.007427469</v>
      </c>
      <c r="R157" s="14"/>
      <c r="S157" s="14"/>
      <c r="T157" s="14"/>
      <c r="U157" s="14"/>
      <c r="V157" s="14"/>
      <c r="W157" s="14"/>
      <c r="X157" s="45"/>
    </row>
    <row r="158" spans="2:24" ht="15.75">
      <c r="B158" s="69"/>
      <c r="C158" s="43"/>
      <c r="D158" s="14"/>
      <c r="E158" s="14"/>
      <c r="F158" s="14"/>
      <c r="G158" s="29" t="s">
        <v>67</v>
      </c>
      <c r="H158" s="14">
        <f>E153-E159</f>
        <v>30935.409299999999</v>
      </c>
      <c r="I158" s="14"/>
      <c r="J158" s="69" t="s">
        <v>98</v>
      </c>
      <c r="K158" s="65" t="str">
        <f>"]"&amp;H158&amp;";"&amp;H159&amp;"["</f>
        <v>]30935,4093;47804,8993[</v>
      </c>
      <c r="L158" s="45"/>
      <c r="M158" s="69"/>
      <c r="N158" s="69"/>
      <c r="O158" s="43"/>
      <c r="P158" s="14"/>
      <c r="Q158" s="14"/>
      <c r="R158" s="14"/>
      <c r="S158" s="29" t="s">
        <v>67</v>
      </c>
      <c r="T158" s="14">
        <f>Q153-Q159</f>
        <v>32524.016000000003</v>
      </c>
      <c r="U158" s="14"/>
      <c r="V158" s="77" t="s">
        <v>139</v>
      </c>
      <c r="W158" s="65" t="str">
        <f>"]"&amp;T158&amp;";"&amp;T159&amp;"["</f>
        <v>]32524,016;46216,2926[</v>
      </c>
      <c r="X158" s="45"/>
    </row>
    <row r="159" spans="2:24" ht="13.5" thickBot="1">
      <c r="B159" s="69"/>
      <c r="C159" s="47"/>
      <c r="D159" s="48" t="s">
        <v>60</v>
      </c>
      <c r="E159" s="28">
        <f>ROUND(E149*SQRT(E157),4)</f>
        <v>8434.7450000000008</v>
      </c>
      <c r="F159" s="28"/>
      <c r="G159" s="48" t="s">
        <v>68</v>
      </c>
      <c r="H159" s="28">
        <f>E153+E159</f>
        <v>47804.899300000005</v>
      </c>
      <c r="I159" s="28"/>
      <c r="J159" s="28"/>
      <c r="K159" s="28"/>
      <c r="L159" s="49"/>
      <c r="M159" s="69"/>
      <c r="N159" s="69"/>
      <c r="O159" s="47"/>
      <c r="P159" s="48" t="s">
        <v>60</v>
      </c>
      <c r="Q159" s="28">
        <f>ROUND(Q149*SQRT(Q157),4)</f>
        <v>6846.1382999999996</v>
      </c>
      <c r="R159" s="28"/>
      <c r="S159" s="48" t="s">
        <v>68</v>
      </c>
      <c r="T159" s="28">
        <f>Q153+Q159</f>
        <v>46216.292600000001</v>
      </c>
      <c r="U159" s="28"/>
      <c r="V159" s="28"/>
      <c r="W159" s="28"/>
      <c r="X159" s="49"/>
    </row>
    <row r="160" spans="2:24" ht="13.5" thickBot="1"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</row>
    <row r="161" spans="2:25">
      <c r="B161" s="69"/>
      <c r="C161" s="39"/>
      <c r="D161" s="41"/>
      <c r="E161" s="41"/>
      <c r="F161" s="41"/>
      <c r="G161" s="41"/>
      <c r="H161" s="41"/>
      <c r="I161" s="41"/>
      <c r="J161" s="41"/>
      <c r="K161" s="41"/>
      <c r="L161" s="41"/>
      <c r="M161" s="42"/>
      <c r="N161" s="69"/>
      <c r="O161" s="39"/>
      <c r="P161" s="41"/>
      <c r="Q161" s="41"/>
      <c r="R161" s="41"/>
      <c r="S161" s="41"/>
      <c r="T161" s="41"/>
      <c r="U161" s="41"/>
      <c r="V161" s="41"/>
      <c r="W161" s="41"/>
      <c r="X161" s="41"/>
      <c r="Y161" s="42"/>
    </row>
    <row r="162" spans="2:25">
      <c r="B162" s="21" t="s">
        <v>103</v>
      </c>
      <c r="C162" s="43"/>
      <c r="D162" s="14"/>
      <c r="E162" s="14"/>
      <c r="F162" s="14"/>
      <c r="G162" s="14"/>
      <c r="H162" s="29" t="str">
        <f>B165&amp;"="</f>
        <v>β0=</v>
      </c>
      <c r="I162" s="14">
        <f>AI31</f>
        <v>2027.3416358672548</v>
      </c>
      <c r="J162" s="14"/>
      <c r="K162" s="14"/>
      <c r="L162" s="14"/>
      <c r="M162" s="45"/>
      <c r="N162" s="69"/>
      <c r="O162" s="43"/>
      <c r="P162" s="14"/>
      <c r="Q162" s="14"/>
      <c r="R162" s="14"/>
      <c r="S162" s="14"/>
      <c r="T162" s="29" t="str">
        <f>H162</f>
        <v>β0=</v>
      </c>
      <c r="U162" s="29">
        <f>I162</f>
        <v>2027.3416358672548</v>
      </c>
      <c r="V162" s="14"/>
      <c r="W162" s="14"/>
      <c r="X162" s="14"/>
      <c r="Y162" s="45"/>
    </row>
    <row r="163" spans="2:25">
      <c r="B163" s="21" t="s">
        <v>83</v>
      </c>
      <c r="C163" s="43"/>
      <c r="D163" s="14"/>
      <c r="E163" s="14"/>
      <c r="F163" s="14"/>
      <c r="G163" s="14"/>
      <c r="H163" s="14"/>
      <c r="I163" s="14"/>
      <c r="J163" s="14"/>
      <c r="K163" s="14"/>
      <c r="L163" s="14"/>
      <c r="M163" s="45"/>
      <c r="N163" s="69"/>
      <c r="O163" s="43"/>
      <c r="P163" s="14"/>
      <c r="Q163" s="14"/>
      <c r="R163" s="14"/>
      <c r="S163" s="14"/>
      <c r="T163" s="14"/>
      <c r="U163" s="14"/>
      <c r="V163" s="14"/>
      <c r="W163" s="14"/>
      <c r="X163" s="14"/>
      <c r="Y163" s="45"/>
    </row>
    <row r="164" spans="2:25">
      <c r="B164" s="21" t="s">
        <v>104</v>
      </c>
      <c r="C164" s="43"/>
      <c r="D164" s="14"/>
      <c r="E164" s="14"/>
      <c r="F164" s="14"/>
      <c r="G164" s="14"/>
      <c r="H164" s="14"/>
      <c r="I164" s="14">
        <f>O31</f>
        <v>11.06385919839237</v>
      </c>
      <c r="J164" s="14"/>
      <c r="K164" s="14"/>
      <c r="L164" s="14"/>
      <c r="M164" s="45"/>
      <c r="N164" s="69"/>
      <c r="O164" s="43"/>
      <c r="P164" s="14"/>
      <c r="Q164" s="14"/>
      <c r="R164" s="14"/>
      <c r="S164" s="14"/>
      <c r="T164" s="14"/>
      <c r="U164" s="29">
        <f>I164</f>
        <v>11.06385919839237</v>
      </c>
      <c r="V164" s="14"/>
      <c r="W164" s="14"/>
      <c r="X164" s="14"/>
      <c r="Y164" s="45"/>
    </row>
    <row r="165" spans="2:25">
      <c r="B165" s="21" t="s">
        <v>84</v>
      </c>
      <c r="C165" s="43"/>
      <c r="D165" s="14"/>
      <c r="E165" s="14"/>
      <c r="F165" s="14"/>
      <c r="G165" s="14"/>
      <c r="H165" s="14"/>
      <c r="I165" s="14"/>
      <c r="J165" s="14"/>
      <c r="K165" s="14"/>
      <c r="L165" s="14"/>
      <c r="M165" s="45"/>
      <c r="N165" s="69"/>
      <c r="O165" s="43"/>
      <c r="P165" s="14"/>
      <c r="Q165" s="14"/>
      <c r="R165" s="14"/>
      <c r="S165" s="14"/>
      <c r="T165" s="14"/>
      <c r="U165" s="14"/>
      <c r="V165" s="14"/>
      <c r="W165" s="14"/>
      <c r="X165" s="14"/>
      <c r="Y165" s="45"/>
    </row>
    <row r="166" spans="2:25">
      <c r="B166" s="69"/>
      <c r="C166" s="43"/>
      <c r="D166" s="14"/>
      <c r="E166" s="14"/>
      <c r="F166" s="14"/>
      <c r="G166" s="14"/>
      <c r="H166" s="14"/>
      <c r="I166" s="14"/>
      <c r="J166" s="14"/>
      <c r="K166" s="14"/>
      <c r="L166" s="14"/>
      <c r="M166" s="45"/>
      <c r="N166" s="69"/>
      <c r="O166" s="43"/>
      <c r="P166" s="14"/>
      <c r="Q166" s="14"/>
      <c r="R166" s="14"/>
      <c r="S166" s="14"/>
      <c r="T166" s="14"/>
      <c r="U166" s="14"/>
      <c r="V166" s="14"/>
      <c r="W166" s="14"/>
      <c r="X166" s="14"/>
      <c r="Y166" s="45"/>
    </row>
    <row r="167" spans="2:25">
      <c r="B167" s="69"/>
      <c r="C167" s="43"/>
      <c r="D167" s="14">
        <f>E54</f>
        <v>8363833.8541538464</v>
      </c>
      <c r="E167" s="14"/>
      <c r="F167" s="14"/>
      <c r="G167" s="14"/>
      <c r="H167" s="14"/>
      <c r="I167" s="14"/>
      <c r="J167" s="14"/>
      <c r="K167" s="14"/>
      <c r="L167" s="14"/>
      <c r="M167" s="45"/>
      <c r="N167" s="69"/>
      <c r="O167" s="43"/>
      <c r="P167" s="29">
        <f>D167</f>
        <v>8363833.8541538464</v>
      </c>
      <c r="Q167" s="14"/>
      <c r="R167" s="14"/>
      <c r="S167" s="14"/>
      <c r="T167" s="14"/>
      <c r="U167" s="14"/>
      <c r="V167" s="14"/>
      <c r="W167" s="14"/>
      <c r="X167" s="14"/>
      <c r="Y167" s="45"/>
    </row>
    <row r="168" spans="2:25">
      <c r="B168" s="69"/>
      <c r="C168" s="43"/>
      <c r="D168" s="14"/>
      <c r="E168" s="14"/>
      <c r="F168" s="14"/>
      <c r="G168" s="14"/>
      <c r="H168" s="14"/>
      <c r="I168" s="14"/>
      <c r="J168" s="14"/>
      <c r="K168" s="14"/>
      <c r="L168" s="14"/>
      <c r="M168" s="45"/>
      <c r="N168" s="69"/>
      <c r="O168" s="43"/>
      <c r="P168" s="14"/>
      <c r="Q168" s="14"/>
      <c r="R168" s="14"/>
      <c r="S168" s="14"/>
      <c r="T168" s="14"/>
      <c r="U168" s="14"/>
      <c r="V168" s="14"/>
      <c r="W168" s="14"/>
      <c r="X168" s="14"/>
      <c r="Y168" s="45"/>
    </row>
    <row r="169" spans="2:25">
      <c r="B169" s="69"/>
      <c r="C169" s="43"/>
      <c r="D169" s="44" t="s">
        <v>105</v>
      </c>
      <c r="E169" s="14">
        <v>0.05</v>
      </c>
      <c r="F169" s="14"/>
      <c r="G169" s="14"/>
      <c r="H169" s="29" t="s">
        <v>108</v>
      </c>
      <c r="I169" s="14" t="str">
        <f>"]-∞;-"&amp;ROUND(E171,4)&amp;"[ U ]"&amp;ROUND(E171,4)&amp;";+∞["</f>
        <v>]-∞;-2,23[ U ]2,23;+∞[</v>
      </c>
      <c r="J169" s="14"/>
      <c r="K169" s="14"/>
      <c r="L169" s="14"/>
      <c r="M169" s="45"/>
      <c r="N169" s="69"/>
      <c r="O169" s="43"/>
      <c r="P169" s="44" t="s">
        <v>105</v>
      </c>
      <c r="Q169" s="14">
        <v>0.01</v>
      </c>
      <c r="R169" s="14"/>
      <c r="S169" s="14"/>
      <c r="T169" s="29" t="s">
        <v>108</v>
      </c>
      <c r="U169" s="14" t="str">
        <f>"]-∞;-"&amp;ROUND(Q171,4)&amp;"[ U ]"&amp;ROUND(Q171,4)&amp;";+∞["</f>
        <v>]-∞;-3,17[ U ]3,17;+∞[</v>
      </c>
      <c r="V169" s="14"/>
      <c r="W169" s="14"/>
      <c r="X169" s="14"/>
      <c r="Y169" s="45"/>
    </row>
    <row r="170" spans="2:25">
      <c r="B170" s="69"/>
      <c r="C170" s="43"/>
      <c r="D170" s="44"/>
      <c r="E170" s="14"/>
      <c r="F170" s="14"/>
      <c r="G170" s="14"/>
      <c r="H170" s="14"/>
      <c r="I170" s="14"/>
      <c r="J170" s="14"/>
      <c r="K170" s="14"/>
      <c r="L170" s="14"/>
      <c r="M170" s="45"/>
      <c r="N170" s="69"/>
      <c r="O170" s="43"/>
      <c r="P170" s="44"/>
      <c r="Q170" s="14"/>
      <c r="R170" s="14"/>
      <c r="S170" s="14"/>
      <c r="T170" s="14"/>
      <c r="U170" s="14"/>
      <c r="V170" s="14"/>
      <c r="W170" s="14"/>
      <c r="X170" s="14"/>
      <c r="Y170" s="45"/>
    </row>
    <row r="171" spans="2:25">
      <c r="B171" s="69"/>
      <c r="C171" s="43"/>
      <c r="D171" s="14"/>
      <c r="E171" s="14">
        <f>ROUND(_xlfn.T.INV(1-E169/2,17-(6+1)),2)</f>
        <v>2.23</v>
      </c>
      <c r="F171" s="14"/>
      <c r="G171" s="14"/>
      <c r="H171" s="14"/>
      <c r="I171" s="14"/>
      <c r="J171" s="14"/>
      <c r="K171" s="14"/>
      <c r="L171" s="14"/>
      <c r="M171" s="45"/>
      <c r="N171" s="69"/>
      <c r="O171" s="43"/>
      <c r="P171" s="14"/>
      <c r="Q171" s="14">
        <f>ROUND(_xlfn.T.INV(1-Q169/2,17-(6+1)),2)</f>
        <v>3.17</v>
      </c>
      <c r="R171" s="14"/>
      <c r="S171" s="14"/>
      <c r="T171" s="14"/>
      <c r="U171" s="14"/>
      <c r="V171" s="14"/>
      <c r="W171" s="14"/>
      <c r="X171" s="14"/>
      <c r="Y171" s="45"/>
    </row>
    <row r="172" spans="2:25">
      <c r="B172" s="69"/>
      <c r="C172" s="43"/>
      <c r="D172" s="29"/>
      <c r="E172" s="14"/>
      <c r="F172" s="14"/>
      <c r="G172" s="14"/>
      <c r="H172" s="14"/>
      <c r="I172" s="14"/>
      <c r="J172" s="14"/>
      <c r="K172" s="14"/>
      <c r="L172" s="14"/>
      <c r="M172" s="45"/>
      <c r="N172" s="69"/>
      <c r="O172" s="43"/>
      <c r="P172" s="29"/>
      <c r="Q172" s="14"/>
      <c r="R172" s="14"/>
      <c r="S172" s="14"/>
      <c r="T172" s="14"/>
      <c r="U172" s="14"/>
      <c r="V172" s="14"/>
      <c r="W172" s="14"/>
      <c r="X172" s="14"/>
      <c r="Y172" s="45"/>
    </row>
    <row r="173" spans="2:25">
      <c r="B173" s="69"/>
      <c r="C173" s="43"/>
      <c r="D173" s="14"/>
      <c r="E173" s="14"/>
      <c r="F173" s="14"/>
      <c r="G173" s="14"/>
      <c r="H173" s="14"/>
      <c r="I173" s="14"/>
      <c r="J173" s="14"/>
      <c r="K173" s="14"/>
      <c r="L173" s="14"/>
      <c r="M173" s="45"/>
      <c r="N173" s="69"/>
      <c r="O173" s="43"/>
      <c r="P173" s="14"/>
      <c r="Q173" s="14"/>
      <c r="R173" s="14"/>
      <c r="S173" s="14"/>
      <c r="T173" s="14"/>
      <c r="U173" s="14"/>
      <c r="V173" s="14"/>
      <c r="W173" s="14"/>
      <c r="X173" s="14"/>
      <c r="Y173" s="45"/>
    </row>
    <row r="174" spans="2:25">
      <c r="B174" s="69"/>
      <c r="C174" s="43"/>
      <c r="D174" s="14"/>
      <c r="E174" s="14"/>
      <c r="F174" s="14"/>
      <c r="G174" s="14"/>
      <c r="H174" s="14"/>
      <c r="I174" s="14"/>
      <c r="J174" s="14"/>
      <c r="K174" s="14"/>
      <c r="L174" s="14"/>
      <c r="M174" s="45"/>
      <c r="N174" s="69"/>
      <c r="O174" s="43"/>
      <c r="P174" s="14"/>
      <c r="Q174" s="14"/>
      <c r="R174" s="14"/>
      <c r="S174" s="14"/>
      <c r="T174" s="14"/>
      <c r="U174" s="14"/>
      <c r="V174" s="14"/>
      <c r="W174" s="14"/>
      <c r="X174" s="14"/>
      <c r="Y174" s="45"/>
    </row>
    <row r="175" spans="2:25">
      <c r="B175" s="69"/>
      <c r="C175" s="43"/>
      <c r="D175" s="29" t="s">
        <v>106</v>
      </c>
      <c r="E175" s="14">
        <f>ROUND(I162/SQRT(D167*I164),4)</f>
        <v>0.21079999999999999</v>
      </c>
      <c r="F175" s="14"/>
      <c r="G175" s="14"/>
      <c r="H175" s="14"/>
      <c r="I175" s="14"/>
      <c r="J175" s="14"/>
      <c r="K175" s="14"/>
      <c r="L175" s="14"/>
      <c r="M175" s="45"/>
      <c r="N175" s="69"/>
      <c r="O175" s="43"/>
      <c r="P175" s="29" t="s">
        <v>106</v>
      </c>
      <c r="Q175" s="14">
        <f>ROUND(U162/SQRT(P167*U164),4)</f>
        <v>0.21079999999999999</v>
      </c>
      <c r="R175" s="14"/>
      <c r="S175" s="14"/>
      <c r="T175" s="14"/>
      <c r="U175" s="14"/>
      <c r="V175" s="14"/>
      <c r="W175" s="14"/>
      <c r="X175" s="14"/>
      <c r="Y175" s="45"/>
    </row>
    <row r="176" spans="2:25">
      <c r="B176" s="69"/>
      <c r="C176" s="43"/>
      <c r="D176" s="29" t="s">
        <v>107</v>
      </c>
      <c r="E176" s="14">
        <f>ABS(E175)</f>
        <v>0.21079999999999999</v>
      </c>
      <c r="F176" s="14"/>
      <c r="G176" s="14"/>
      <c r="H176" s="14"/>
      <c r="I176" s="14"/>
      <c r="J176" s="14"/>
      <c r="K176" s="14"/>
      <c r="L176" s="14"/>
      <c r="M176" s="45"/>
      <c r="N176" s="69"/>
      <c r="O176" s="43"/>
      <c r="P176" s="29" t="s">
        <v>107</v>
      </c>
      <c r="Q176" s="14">
        <f>ABS(Q175)</f>
        <v>0.21079999999999999</v>
      </c>
      <c r="R176" s="14"/>
      <c r="S176" s="14"/>
      <c r="T176" s="14"/>
      <c r="U176" s="14"/>
      <c r="V176" s="14"/>
      <c r="W176" s="14"/>
      <c r="X176" s="14"/>
      <c r="Y176" s="45"/>
    </row>
    <row r="177" spans="2:25" ht="13.5" thickBot="1">
      <c r="B177" s="69"/>
      <c r="C177" s="47" t="str">
        <f>IF(ABS(E175)&gt;ROUND(E171,4), "Como |"&amp;ROUND(E175,2)&amp;"| &gt; "&amp;ROUND(E171,4)&amp;" então rejeita-se H0, logo a um nível de significância de "&amp;E169*100&amp;"% há evidencia estatística suficiente para se concluir que "&amp;H162&amp;" é não nulo","Como |"&amp;ROUND(E175,2)&amp;"|  ≤ "&amp;ROUND(E171,4)&amp;" então não se rejeita H0, logo a um nível de significância de "&amp;E169*100&amp;"% há evidencia estatística suficiente para se concluir que "&amp;H162&amp;" é nulo")</f>
        <v>Como |0,21|  ≤ 2,23 então não se rejeita H0, logo a um nível de significância de 5% há evidencia estatística suficiente para se concluir que β0= é nulo</v>
      </c>
      <c r="D177" s="28"/>
      <c r="E177" s="28"/>
      <c r="F177" s="28"/>
      <c r="G177" s="28"/>
      <c r="H177" s="28"/>
      <c r="I177" s="28"/>
      <c r="J177" s="28"/>
      <c r="K177" s="28"/>
      <c r="L177" s="49"/>
      <c r="M177" s="49"/>
      <c r="N177" s="69"/>
      <c r="O177" s="47" t="str">
        <f>IF(ABS(Q175)&gt;ROUND(Q171,4), "Como |"&amp;ROUND(Q175,2)&amp;"| &gt; "&amp;ROUND(Q171,4)&amp;" então rejeita-se H0, logo a um nível de significância de "&amp;Q169*100&amp;"% há evidencia estatística suficiente para se concluir que "&amp;T162&amp;" é não nulo","Como |"&amp;ROUND(Q175,2)&amp;"|  ≤ "&amp;ROUND(Q171,4)&amp;" então não se rejeita H0, logo a um nível de significância de "&amp;Q169*100&amp;"% há evidencia estatística suficiente para se concluir que "&amp;T162&amp;" é nulo")</f>
        <v>Como |0,21|  ≤ 3,17 então não se rejeita H0, logo a um nível de significância de 1% há evidencia estatística suficiente para se concluir que β0= é nulo</v>
      </c>
      <c r="P177" s="28"/>
      <c r="Q177" s="28"/>
      <c r="R177" s="28"/>
      <c r="S177" s="28"/>
      <c r="T177" s="28"/>
      <c r="U177" s="28"/>
      <c r="V177" s="28"/>
      <c r="W177" s="28"/>
      <c r="X177" s="49"/>
      <c r="Y177" s="49"/>
    </row>
    <row r="178" spans="2:25" ht="13.5" thickBot="1"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</row>
    <row r="179" spans="2:25">
      <c r="B179" s="69"/>
      <c r="C179" s="39"/>
      <c r="D179" s="41"/>
      <c r="E179" s="41"/>
      <c r="F179" s="41"/>
      <c r="G179" s="41"/>
      <c r="H179" s="41"/>
      <c r="I179" s="41"/>
      <c r="J179" s="41"/>
      <c r="K179" s="41"/>
      <c r="L179" s="41"/>
      <c r="M179" s="42"/>
      <c r="N179" s="69"/>
      <c r="O179" s="39"/>
      <c r="P179" s="41"/>
      <c r="Q179" s="41"/>
      <c r="R179" s="41"/>
      <c r="S179" s="41"/>
      <c r="T179" s="41"/>
      <c r="U179" s="41"/>
      <c r="V179" s="41"/>
      <c r="W179" s="41"/>
      <c r="X179" s="41"/>
      <c r="Y179" s="42"/>
    </row>
    <row r="180" spans="2:25">
      <c r="B180" s="21" t="s">
        <v>103</v>
      </c>
      <c r="C180" s="43"/>
      <c r="D180" s="14"/>
      <c r="E180" s="14"/>
      <c r="F180" s="14"/>
      <c r="G180" s="14"/>
      <c r="H180" s="29" t="str">
        <f>B183&amp;"="</f>
        <v>β1=</v>
      </c>
      <c r="I180" s="14">
        <f>AI32</f>
        <v>2134.7189977953676</v>
      </c>
      <c r="J180" s="14"/>
      <c r="K180" s="14"/>
      <c r="L180" s="14"/>
      <c r="M180" s="45"/>
      <c r="N180" s="69"/>
      <c r="O180" s="43"/>
      <c r="P180" s="14"/>
      <c r="Q180" s="14"/>
      <c r="R180" s="14"/>
      <c r="S180" s="14"/>
      <c r="T180" s="29" t="str">
        <f>H180</f>
        <v>β1=</v>
      </c>
      <c r="U180" s="29">
        <f>I180</f>
        <v>2134.7189977953676</v>
      </c>
      <c r="V180" s="14"/>
      <c r="W180" s="14"/>
      <c r="X180" s="14"/>
      <c r="Y180" s="45"/>
    </row>
    <row r="181" spans="2:25">
      <c r="B181" s="21" t="s">
        <v>83</v>
      </c>
      <c r="C181" s="43"/>
      <c r="D181" s="14"/>
      <c r="E181" s="14"/>
      <c r="F181" s="14"/>
      <c r="G181" s="14"/>
      <c r="H181" s="14"/>
      <c r="I181" s="14"/>
      <c r="J181" s="14"/>
      <c r="K181" s="14"/>
      <c r="L181" s="14"/>
      <c r="M181" s="45"/>
      <c r="N181" s="69"/>
      <c r="O181" s="43"/>
      <c r="P181" s="14"/>
      <c r="Q181" s="14"/>
      <c r="R181" s="14"/>
      <c r="S181" s="14"/>
      <c r="T181" s="14"/>
      <c r="U181" s="14"/>
      <c r="V181" s="14"/>
      <c r="W181" s="14"/>
      <c r="X181" s="14"/>
      <c r="Y181" s="45"/>
    </row>
    <row r="182" spans="2:25">
      <c r="B182" s="21" t="s">
        <v>104</v>
      </c>
      <c r="C182" s="43"/>
      <c r="D182" s="14"/>
      <c r="E182" s="14"/>
      <c r="F182" s="14"/>
      <c r="G182" s="14"/>
      <c r="H182" s="14"/>
      <c r="I182" s="14">
        <f>P32</f>
        <v>8.8722302290487143</v>
      </c>
      <c r="J182" s="14"/>
      <c r="K182" s="14"/>
      <c r="L182" s="14"/>
      <c r="M182" s="45"/>
      <c r="N182" s="69"/>
      <c r="O182" s="43"/>
      <c r="P182" s="14"/>
      <c r="Q182" s="14"/>
      <c r="R182" s="14"/>
      <c r="S182" s="14"/>
      <c r="T182" s="14"/>
      <c r="U182" s="29">
        <f>I182</f>
        <v>8.8722302290487143</v>
      </c>
      <c r="V182" s="14"/>
      <c r="W182" s="14"/>
      <c r="X182" s="14"/>
      <c r="Y182" s="45"/>
    </row>
    <row r="183" spans="2:25">
      <c r="B183" s="21" t="s">
        <v>85</v>
      </c>
      <c r="C183" s="43"/>
      <c r="D183" s="14"/>
      <c r="E183" s="14"/>
      <c r="F183" s="14"/>
      <c r="G183" s="14"/>
      <c r="H183" s="14"/>
      <c r="I183" s="14"/>
      <c r="J183" s="14"/>
      <c r="K183" s="14"/>
      <c r="L183" s="14"/>
      <c r="M183" s="45"/>
      <c r="N183" s="69"/>
      <c r="O183" s="43"/>
      <c r="P183" s="14"/>
      <c r="Q183" s="14"/>
      <c r="R183" s="14"/>
      <c r="S183" s="14"/>
      <c r="T183" s="14"/>
      <c r="U183" s="14"/>
      <c r="V183" s="14"/>
      <c r="W183" s="14"/>
      <c r="X183" s="14"/>
      <c r="Y183" s="45"/>
    </row>
    <row r="184" spans="2:25">
      <c r="B184" s="69"/>
      <c r="C184" s="43"/>
      <c r="D184" s="14"/>
      <c r="E184" s="14"/>
      <c r="F184" s="14"/>
      <c r="G184" s="14"/>
      <c r="H184" s="14"/>
      <c r="I184" s="14"/>
      <c r="J184" s="14"/>
      <c r="K184" s="14"/>
      <c r="L184" s="14"/>
      <c r="M184" s="45"/>
      <c r="N184" s="69"/>
      <c r="O184" s="43"/>
      <c r="P184" s="14"/>
      <c r="Q184" s="14"/>
      <c r="R184" s="14"/>
      <c r="S184" s="14"/>
      <c r="T184" s="14"/>
      <c r="U184" s="14"/>
      <c r="V184" s="14"/>
      <c r="W184" s="14"/>
      <c r="X184" s="14"/>
      <c r="Y184" s="45"/>
    </row>
    <row r="185" spans="2:25">
      <c r="B185" s="69"/>
      <c r="C185" s="43"/>
      <c r="D185" s="14">
        <f>E54</f>
        <v>8363833.8541538464</v>
      </c>
      <c r="E185" s="14"/>
      <c r="F185" s="14"/>
      <c r="G185" s="14"/>
      <c r="H185" s="14"/>
      <c r="I185" s="14"/>
      <c r="J185" s="14"/>
      <c r="K185" s="14"/>
      <c r="L185" s="14"/>
      <c r="M185" s="45"/>
      <c r="N185" s="69"/>
      <c r="O185" s="43"/>
      <c r="P185" s="29">
        <f>D185</f>
        <v>8363833.8541538464</v>
      </c>
      <c r="Q185" s="14"/>
      <c r="R185" s="14"/>
      <c r="S185" s="14"/>
      <c r="T185" s="14"/>
      <c r="U185" s="14"/>
      <c r="V185" s="14"/>
      <c r="W185" s="14"/>
      <c r="X185" s="14"/>
      <c r="Y185" s="45"/>
    </row>
    <row r="186" spans="2:25">
      <c r="B186" s="69"/>
      <c r="C186" s="43"/>
      <c r="D186" s="14"/>
      <c r="E186" s="14"/>
      <c r="F186" s="14"/>
      <c r="G186" s="14"/>
      <c r="H186" s="14"/>
      <c r="I186" s="14"/>
      <c r="J186" s="14"/>
      <c r="K186" s="14"/>
      <c r="L186" s="14"/>
      <c r="M186" s="45"/>
      <c r="N186" s="69"/>
      <c r="O186" s="43"/>
      <c r="P186" s="14"/>
      <c r="Q186" s="14"/>
      <c r="R186" s="14"/>
      <c r="S186" s="14"/>
      <c r="T186" s="14"/>
      <c r="U186" s="14"/>
      <c r="V186" s="14"/>
      <c r="W186" s="14"/>
      <c r="X186" s="14"/>
      <c r="Y186" s="45"/>
    </row>
    <row r="187" spans="2:25">
      <c r="B187" s="69"/>
      <c r="C187" s="43"/>
      <c r="D187" s="44" t="s">
        <v>105</v>
      </c>
      <c r="E187" s="14">
        <v>0.05</v>
      </c>
      <c r="F187" s="14"/>
      <c r="G187" s="14"/>
      <c r="H187" s="29" t="s">
        <v>108</v>
      </c>
      <c r="I187" s="14" t="str">
        <f>"]-∞;-"&amp;ROUND(E189,4)&amp;"[ U ]"&amp;ROUND(E189,4)&amp;";+∞["</f>
        <v>]-∞;-2,23[ U ]2,23;+∞[</v>
      </c>
      <c r="J187" s="14"/>
      <c r="K187" s="14"/>
      <c r="L187" s="14"/>
      <c r="M187" s="45"/>
      <c r="N187" s="69"/>
      <c r="O187" s="43"/>
      <c r="P187" s="44" t="s">
        <v>105</v>
      </c>
      <c r="Q187" s="14">
        <v>0.01</v>
      </c>
      <c r="R187" s="14"/>
      <c r="S187" s="14"/>
      <c r="T187" s="29" t="s">
        <v>108</v>
      </c>
      <c r="U187" s="14" t="str">
        <f>"]-∞;-"&amp;ROUND(Q189,4)&amp;"[ U ]"&amp;ROUND(Q189,4)&amp;";+∞["</f>
        <v>]-∞;-3,17[ U ]3,17;+∞[</v>
      </c>
      <c r="V187" s="14"/>
      <c r="W187" s="14"/>
      <c r="X187" s="14"/>
      <c r="Y187" s="45"/>
    </row>
    <row r="188" spans="2:25">
      <c r="B188" s="69"/>
      <c r="C188" s="43"/>
      <c r="D188" s="44"/>
      <c r="E188" s="14"/>
      <c r="F188" s="14"/>
      <c r="G188" s="14"/>
      <c r="H188" s="14"/>
      <c r="I188" s="14"/>
      <c r="J188" s="14"/>
      <c r="K188" s="14"/>
      <c r="L188" s="14"/>
      <c r="M188" s="45"/>
      <c r="N188" s="69"/>
      <c r="O188" s="43"/>
      <c r="P188" s="44"/>
      <c r="Q188" s="14"/>
      <c r="R188" s="14"/>
      <c r="S188" s="14"/>
      <c r="T188" s="14"/>
      <c r="U188" s="14"/>
      <c r="V188" s="14"/>
      <c r="W188" s="14"/>
      <c r="X188" s="14"/>
      <c r="Y188" s="45"/>
    </row>
    <row r="189" spans="2:25">
      <c r="B189" s="69"/>
      <c r="C189" s="43"/>
      <c r="D189" s="14"/>
      <c r="E189" s="14">
        <f>ROUND(_xlfn.T.INV(1-E187/2,17-(6+1)),2)</f>
        <v>2.23</v>
      </c>
      <c r="F189" s="14"/>
      <c r="G189" s="14"/>
      <c r="H189" s="14"/>
      <c r="I189" s="14"/>
      <c r="J189" s="14"/>
      <c r="K189" s="14"/>
      <c r="L189" s="14"/>
      <c r="M189" s="45"/>
      <c r="N189" s="69"/>
      <c r="O189" s="43"/>
      <c r="P189" s="14"/>
      <c r="Q189" s="14">
        <f>ROUND(_xlfn.T.INV(1-Q187/2,17-(6+1)),2)</f>
        <v>3.17</v>
      </c>
      <c r="R189" s="14"/>
      <c r="S189" s="14"/>
      <c r="T189" s="14"/>
      <c r="U189" s="14"/>
      <c r="V189" s="14"/>
      <c r="W189" s="14"/>
      <c r="X189" s="14"/>
      <c r="Y189" s="45"/>
    </row>
    <row r="190" spans="2:25">
      <c r="B190" s="69"/>
      <c r="C190" s="43"/>
      <c r="D190" s="29"/>
      <c r="E190" s="14"/>
      <c r="F190" s="14"/>
      <c r="G190" s="14"/>
      <c r="H190" s="14"/>
      <c r="I190" s="14"/>
      <c r="J190" s="14"/>
      <c r="K190" s="14"/>
      <c r="L190" s="14"/>
      <c r="M190" s="45"/>
      <c r="N190" s="69"/>
      <c r="O190" s="43"/>
      <c r="P190" s="29"/>
      <c r="Q190" s="14"/>
      <c r="R190" s="14"/>
      <c r="S190" s="14"/>
      <c r="T190" s="14"/>
      <c r="U190" s="14"/>
      <c r="V190" s="14"/>
      <c r="W190" s="14"/>
      <c r="X190" s="14"/>
      <c r="Y190" s="45"/>
    </row>
    <row r="191" spans="2:25">
      <c r="B191" s="69"/>
      <c r="C191" s="43"/>
      <c r="D191" s="14"/>
      <c r="E191" s="14"/>
      <c r="F191" s="14"/>
      <c r="G191" s="14"/>
      <c r="H191" s="14"/>
      <c r="I191" s="14"/>
      <c r="J191" s="14"/>
      <c r="K191" s="14"/>
      <c r="L191" s="14"/>
      <c r="M191" s="45"/>
      <c r="N191" s="69"/>
      <c r="O191" s="43"/>
      <c r="P191" s="14"/>
      <c r="Q191" s="14"/>
      <c r="R191" s="14"/>
      <c r="S191" s="14"/>
      <c r="T191" s="14"/>
      <c r="U191" s="14"/>
      <c r="V191" s="14"/>
      <c r="W191" s="14"/>
      <c r="X191" s="14"/>
      <c r="Y191" s="45"/>
    </row>
    <row r="192" spans="2:25">
      <c r="B192" s="69"/>
      <c r="C192" s="43"/>
      <c r="D192" s="14"/>
      <c r="E192" s="14"/>
      <c r="F192" s="14"/>
      <c r="G192" s="14"/>
      <c r="H192" s="14"/>
      <c r="I192" s="14"/>
      <c r="J192" s="14"/>
      <c r="K192" s="14"/>
      <c r="L192" s="14"/>
      <c r="M192" s="45"/>
      <c r="N192" s="69"/>
      <c r="O192" s="43"/>
      <c r="P192" s="14"/>
      <c r="Q192" s="14"/>
      <c r="R192" s="14"/>
      <c r="S192" s="14"/>
      <c r="T192" s="14"/>
      <c r="U192" s="14"/>
      <c r="V192" s="14"/>
      <c r="W192" s="14"/>
      <c r="X192" s="14"/>
      <c r="Y192" s="45"/>
    </row>
    <row r="193" spans="2:25">
      <c r="B193" s="69"/>
      <c r="C193" s="43"/>
      <c r="D193" s="29" t="s">
        <v>106</v>
      </c>
      <c r="E193" s="14">
        <f>ROUND(I180/SQRT(D185*I182),4)</f>
        <v>0.24779999999999999</v>
      </c>
      <c r="F193" s="14"/>
      <c r="G193" s="14"/>
      <c r="H193" s="14"/>
      <c r="I193" s="14"/>
      <c r="J193" s="14"/>
      <c r="K193" s="14"/>
      <c r="L193" s="14"/>
      <c r="M193" s="45"/>
      <c r="N193" s="69"/>
      <c r="O193" s="43"/>
      <c r="P193" s="29" t="s">
        <v>106</v>
      </c>
      <c r="Q193" s="14">
        <f>ROUND(U180/SQRT(P185*U182),4)</f>
        <v>0.24779999999999999</v>
      </c>
      <c r="R193" s="14"/>
      <c r="S193" s="14"/>
      <c r="T193" s="14"/>
      <c r="U193" s="14"/>
      <c r="V193" s="14"/>
      <c r="W193" s="14"/>
      <c r="X193" s="14"/>
      <c r="Y193" s="45"/>
    </row>
    <row r="194" spans="2:25">
      <c r="B194" s="69"/>
      <c r="C194" s="43"/>
      <c r="D194" s="29" t="s">
        <v>107</v>
      </c>
      <c r="E194" s="14">
        <f>ABS(E193)</f>
        <v>0.24779999999999999</v>
      </c>
      <c r="F194" s="14"/>
      <c r="G194" s="14"/>
      <c r="H194" s="14"/>
      <c r="I194" s="14"/>
      <c r="J194" s="14"/>
      <c r="K194" s="14"/>
      <c r="L194" s="14"/>
      <c r="M194" s="45"/>
      <c r="N194" s="69"/>
      <c r="O194" s="43"/>
      <c r="P194" s="29" t="s">
        <v>107</v>
      </c>
      <c r="Q194" s="14">
        <f>ABS(Q193)</f>
        <v>0.24779999999999999</v>
      </c>
      <c r="R194" s="14"/>
      <c r="S194" s="14"/>
      <c r="T194" s="14"/>
      <c r="U194" s="14"/>
      <c r="V194" s="14"/>
      <c r="W194" s="14"/>
      <c r="X194" s="14"/>
      <c r="Y194" s="45"/>
    </row>
    <row r="195" spans="2:25" ht="13.5" thickBot="1">
      <c r="B195" s="69"/>
      <c r="C195" s="47" t="str">
        <f>IF(ABS(E193)&gt;ROUND(E189,4), "Como |"&amp;ROUND(E193,2)&amp;"| &gt; "&amp;ROUND(E189,4)&amp;" então rejeita-se H0, logo a um nível de significância de "&amp;E187*100&amp;"% há evidencia estatística suficiente para se concluir que "&amp;H180&amp;" é não nulo","Como |"&amp;ROUND(E193,2)&amp;"|  ≤ "&amp;ROUND(E189,4)&amp;" então não se rejeita H0, logo a um nível de significância de "&amp;E187*100&amp;"% há evidencia estatística suficiente para se concluir que "&amp;H180&amp;" é nulo")</f>
        <v>Como |0,25|  ≤ 2,23 então não se rejeita H0, logo a um nível de significância de 5% há evidencia estatística suficiente para se concluir que β1= é nulo</v>
      </c>
      <c r="D195" s="28"/>
      <c r="E195" s="28"/>
      <c r="F195" s="28"/>
      <c r="G195" s="28"/>
      <c r="H195" s="28"/>
      <c r="I195" s="28"/>
      <c r="J195" s="28"/>
      <c r="K195" s="28"/>
      <c r="L195" s="49"/>
      <c r="M195" s="49"/>
      <c r="N195" s="69"/>
      <c r="O195" s="47" t="str">
        <f>IF(ABS(Q193)&gt;ROUND(Q189,4), "Como |"&amp;ROUND(Q193,2)&amp;"| &gt; "&amp;ROUND(Q189,4)&amp;" então rejeita-se H0, logo a um nível de significância de "&amp;Q187*100&amp;"% há evidencia estatística suficiente para se concluir que "&amp;T180&amp;" é não nulo","Como |"&amp;ROUND(Q193,2)&amp;"|  ≤ "&amp;ROUND(Q189,4)&amp;" então não se rejeita H0, logo a um nível de significância de "&amp;Q187*100&amp;"% há evidencia estatística suficiente para se concluir que "&amp;T180&amp;" é nulo")</f>
        <v>Como |0,25|  ≤ 3,17 então não se rejeita H0, logo a um nível de significância de 1% há evidencia estatística suficiente para se concluir que β1= é nulo</v>
      </c>
      <c r="P195" s="28"/>
      <c r="Q195" s="28"/>
      <c r="R195" s="28"/>
      <c r="S195" s="28"/>
      <c r="T195" s="28"/>
      <c r="U195" s="28"/>
      <c r="V195" s="28"/>
      <c r="W195" s="28"/>
      <c r="X195" s="49"/>
      <c r="Y195" s="49"/>
    </row>
    <row r="196" spans="2:25" ht="13.5" thickBot="1"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</row>
    <row r="197" spans="2:25">
      <c r="B197" s="69"/>
      <c r="C197" s="39"/>
      <c r="D197" s="41"/>
      <c r="E197" s="41"/>
      <c r="F197" s="41"/>
      <c r="G197" s="41"/>
      <c r="H197" s="41"/>
      <c r="I197" s="41"/>
      <c r="J197" s="41"/>
      <c r="K197" s="41"/>
      <c r="L197" s="41"/>
      <c r="M197" s="42"/>
      <c r="N197" s="69"/>
      <c r="O197" s="39"/>
      <c r="P197" s="41"/>
      <c r="Q197" s="41"/>
      <c r="R197" s="41"/>
      <c r="S197" s="41"/>
      <c r="T197" s="41"/>
      <c r="U197" s="41"/>
      <c r="V197" s="41"/>
      <c r="W197" s="41"/>
      <c r="X197" s="41"/>
      <c r="Y197" s="42"/>
    </row>
    <row r="198" spans="2:25">
      <c r="B198" s="21" t="s">
        <v>103</v>
      </c>
      <c r="C198" s="43"/>
      <c r="D198" s="14"/>
      <c r="E198" s="14"/>
      <c r="F198" s="14"/>
      <c r="G198" s="14"/>
      <c r="H198" s="29" t="str">
        <f>B201&amp;"="</f>
        <v>β2=</v>
      </c>
      <c r="I198" s="14">
        <f>AI33</f>
        <v>-8.8862193700488206</v>
      </c>
      <c r="J198" s="14"/>
      <c r="K198" s="14"/>
      <c r="L198" s="14"/>
      <c r="M198" s="45"/>
      <c r="N198" s="69"/>
      <c r="O198" s="43"/>
      <c r="P198" s="14"/>
      <c r="Q198" s="14"/>
      <c r="R198" s="14"/>
      <c r="S198" s="14"/>
      <c r="T198" s="29" t="str">
        <f>H198</f>
        <v>β2=</v>
      </c>
      <c r="U198" s="29">
        <f>I198</f>
        <v>-8.8862193700488206</v>
      </c>
      <c r="V198" s="14"/>
      <c r="W198" s="14"/>
      <c r="X198" s="14"/>
      <c r="Y198" s="45"/>
    </row>
    <row r="199" spans="2:25">
      <c r="B199" s="21" t="s">
        <v>83</v>
      </c>
      <c r="C199" s="43"/>
      <c r="D199" s="14"/>
      <c r="E199" s="14"/>
      <c r="F199" s="14"/>
      <c r="G199" s="14"/>
      <c r="H199" s="14"/>
      <c r="I199" s="14"/>
      <c r="J199" s="14"/>
      <c r="K199" s="14"/>
      <c r="L199" s="14"/>
      <c r="M199" s="45"/>
      <c r="N199" s="69"/>
      <c r="O199" s="43"/>
      <c r="P199" s="14"/>
      <c r="Q199" s="14"/>
      <c r="R199" s="14"/>
      <c r="S199" s="14"/>
      <c r="T199" s="14"/>
      <c r="U199" s="14"/>
      <c r="V199" s="14"/>
      <c r="W199" s="14"/>
      <c r="X199" s="14"/>
      <c r="Y199" s="45"/>
    </row>
    <row r="200" spans="2:25">
      <c r="B200" s="21" t="s">
        <v>104</v>
      </c>
      <c r="C200" s="43"/>
      <c r="D200" s="14"/>
      <c r="E200" s="14"/>
      <c r="F200" s="14"/>
      <c r="G200" s="14"/>
      <c r="H200" s="14"/>
      <c r="I200" s="14">
        <f>Q33</f>
        <v>1.4743860520953844E-6</v>
      </c>
      <c r="J200" s="14"/>
      <c r="K200" s="14"/>
      <c r="L200" s="14"/>
      <c r="M200" s="45"/>
      <c r="N200" s="69"/>
      <c r="O200" s="43"/>
      <c r="P200" s="14"/>
      <c r="Q200" s="14"/>
      <c r="R200" s="14"/>
      <c r="S200" s="14"/>
      <c r="T200" s="14"/>
      <c r="U200" s="29">
        <f>I200</f>
        <v>1.4743860520953844E-6</v>
      </c>
      <c r="V200" s="14"/>
      <c r="W200" s="14"/>
      <c r="X200" s="14"/>
      <c r="Y200" s="45"/>
    </row>
    <row r="201" spans="2:25">
      <c r="B201" s="21" t="s">
        <v>86</v>
      </c>
      <c r="C201" s="43"/>
      <c r="D201" s="14"/>
      <c r="E201" s="14"/>
      <c r="F201" s="14"/>
      <c r="G201" s="14"/>
      <c r="H201" s="14"/>
      <c r="I201" s="14"/>
      <c r="J201" s="14"/>
      <c r="K201" s="14"/>
      <c r="L201" s="14"/>
      <c r="M201" s="45"/>
      <c r="N201" s="69"/>
      <c r="O201" s="43"/>
      <c r="P201" s="14"/>
      <c r="Q201" s="14"/>
      <c r="R201" s="14"/>
      <c r="S201" s="14"/>
      <c r="T201" s="14"/>
      <c r="U201" s="14"/>
      <c r="V201" s="14"/>
      <c r="W201" s="14"/>
      <c r="X201" s="14"/>
      <c r="Y201" s="45"/>
    </row>
    <row r="202" spans="2:25">
      <c r="B202" s="69"/>
      <c r="C202" s="43"/>
      <c r="D202" s="14"/>
      <c r="E202" s="14"/>
      <c r="F202" s="14"/>
      <c r="G202" s="14"/>
      <c r="H202" s="14"/>
      <c r="I202" s="14"/>
      <c r="J202" s="14"/>
      <c r="K202" s="14"/>
      <c r="L202" s="14"/>
      <c r="M202" s="45"/>
      <c r="N202" s="69"/>
      <c r="O202" s="43"/>
      <c r="P202" s="14"/>
      <c r="Q202" s="14"/>
      <c r="R202" s="14"/>
      <c r="S202" s="14"/>
      <c r="T202" s="14"/>
      <c r="U202" s="14"/>
      <c r="V202" s="14"/>
      <c r="W202" s="14"/>
      <c r="X202" s="14"/>
      <c r="Y202" s="45"/>
    </row>
    <row r="203" spans="2:25">
      <c r="B203" s="69"/>
      <c r="C203" s="43"/>
      <c r="D203" s="14">
        <f>E54</f>
        <v>8363833.8541538464</v>
      </c>
      <c r="E203" s="14"/>
      <c r="F203" s="14"/>
      <c r="G203" s="14"/>
      <c r="H203" s="14"/>
      <c r="I203" s="14"/>
      <c r="J203" s="14"/>
      <c r="K203" s="14"/>
      <c r="L203" s="14"/>
      <c r="M203" s="45"/>
      <c r="N203" s="69"/>
      <c r="O203" s="43"/>
      <c r="P203" s="29">
        <f>D203</f>
        <v>8363833.8541538464</v>
      </c>
      <c r="Q203" s="14"/>
      <c r="R203" s="14"/>
      <c r="S203" s="14"/>
      <c r="T203" s="14"/>
      <c r="U203" s="14"/>
      <c r="V203" s="14"/>
      <c r="W203" s="14"/>
      <c r="X203" s="14"/>
      <c r="Y203" s="45"/>
    </row>
    <row r="204" spans="2:25">
      <c r="B204" s="69"/>
      <c r="C204" s="43"/>
      <c r="D204" s="14"/>
      <c r="E204" s="14"/>
      <c r="F204" s="14"/>
      <c r="G204" s="14"/>
      <c r="H204" s="14"/>
      <c r="I204" s="14"/>
      <c r="J204" s="14"/>
      <c r="K204" s="14"/>
      <c r="L204" s="14"/>
      <c r="M204" s="45"/>
      <c r="N204" s="69"/>
      <c r="O204" s="43"/>
      <c r="P204" s="14"/>
      <c r="Q204" s="14"/>
      <c r="R204" s="14"/>
      <c r="S204" s="14"/>
      <c r="T204" s="14"/>
      <c r="U204" s="14"/>
      <c r="V204" s="14"/>
      <c r="W204" s="14"/>
      <c r="X204" s="14"/>
      <c r="Y204" s="45"/>
    </row>
    <row r="205" spans="2:25">
      <c r="B205" s="69"/>
      <c r="C205" s="43"/>
      <c r="D205" s="44" t="s">
        <v>105</v>
      </c>
      <c r="E205" s="14">
        <v>0.05</v>
      </c>
      <c r="F205" s="14"/>
      <c r="G205" s="14"/>
      <c r="H205" s="29" t="s">
        <v>108</v>
      </c>
      <c r="I205" s="14" t="str">
        <f>"]-∞;-"&amp;ROUND(E207,4)&amp;"[ U ]"&amp;ROUND(E207,4)&amp;";+∞["</f>
        <v>]-∞;-2,23[ U ]2,23;+∞[</v>
      </c>
      <c r="J205" s="14"/>
      <c r="K205" s="14"/>
      <c r="L205" s="14"/>
      <c r="M205" s="45"/>
      <c r="N205" s="69"/>
      <c r="O205" s="43"/>
      <c r="P205" s="44" t="s">
        <v>105</v>
      </c>
      <c r="Q205" s="14">
        <v>0.01</v>
      </c>
      <c r="R205" s="14"/>
      <c r="S205" s="14"/>
      <c r="T205" s="29" t="s">
        <v>108</v>
      </c>
      <c r="U205" s="14" t="str">
        <f>"]-∞;-"&amp;ROUND(Q207,4)&amp;"[ U ]"&amp;ROUND(Q207,4)&amp;";+∞["</f>
        <v>]-∞;-3,17[ U ]3,17;+∞[</v>
      </c>
      <c r="V205" s="14"/>
      <c r="W205" s="14"/>
      <c r="X205" s="14"/>
      <c r="Y205" s="45"/>
    </row>
    <row r="206" spans="2:25">
      <c r="B206" s="69"/>
      <c r="C206" s="43"/>
      <c r="D206" s="44"/>
      <c r="E206" s="14"/>
      <c r="F206" s="14"/>
      <c r="G206" s="14"/>
      <c r="H206" s="14"/>
      <c r="I206" s="14"/>
      <c r="J206" s="14"/>
      <c r="K206" s="14"/>
      <c r="L206" s="14"/>
      <c r="M206" s="45"/>
      <c r="N206" s="69"/>
      <c r="O206" s="43"/>
      <c r="P206" s="44"/>
      <c r="Q206" s="14"/>
      <c r="R206" s="14"/>
      <c r="S206" s="14"/>
      <c r="T206" s="14"/>
      <c r="U206" s="14"/>
      <c r="V206" s="14"/>
      <c r="W206" s="14"/>
      <c r="X206" s="14"/>
      <c r="Y206" s="45"/>
    </row>
    <row r="207" spans="2:25">
      <c r="B207" s="69"/>
      <c r="C207" s="43"/>
      <c r="D207" s="14"/>
      <c r="E207" s="14">
        <f>ROUND(_xlfn.T.INV(1-E205/2,17-(6+1)),2)</f>
        <v>2.23</v>
      </c>
      <c r="F207" s="14"/>
      <c r="G207" s="14"/>
      <c r="H207" s="14"/>
      <c r="I207" s="14"/>
      <c r="J207" s="14"/>
      <c r="K207" s="14"/>
      <c r="L207" s="14"/>
      <c r="M207" s="45"/>
      <c r="N207" s="69"/>
      <c r="O207" s="43"/>
      <c r="P207" s="14"/>
      <c r="Q207" s="14">
        <f>ROUND(_xlfn.T.INV(1-Q205/2,17-(6+1)),2)</f>
        <v>3.17</v>
      </c>
      <c r="R207" s="14"/>
      <c r="S207" s="14"/>
      <c r="T207" s="14"/>
      <c r="U207" s="14"/>
      <c r="V207" s="14"/>
      <c r="W207" s="14"/>
      <c r="X207" s="14"/>
      <c r="Y207" s="45"/>
    </row>
    <row r="208" spans="2:25">
      <c r="B208" s="69"/>
      <c r="C208" s="43"/>
      <c r="D208" s="29"/>
      <c r="E208" s="14"/>
      <c r="F208" s="14"/>
      <c r="G208" s="14"/>
      <c r="H208" s="14"/>
      <c r="I208" s="14"/>
      <c r="J208" s="14"/>
      <c r="K208" s="14"/>
      <c r="L208" s="14"/>
      <c r="M208" s="45"/>
      <c r="N208" s="69"/>
      <c r="O208" s="43"/>
      <c r="P208" s="29"/>
      <c r="Q208" s="14"/>
      <c r="R208" s="14"/>
      <c r="S208" s="14"/>
      <c r="T208" s="14"/>
      <c r="U208" s="14"/>
      <c r="V208" s="14"/>
      <c r="W208" s="14"/>
      <c r="X208" s="14"/>
      <c r="Y208" s="45"/>
    </row>
    <row r="209" spans="2:25">
      <c r="B209" s="69"/>
      <c r="C209" s="43"/>
      <c r="D209" s="14"/>
      <c r="E209" s="14"/>
      <c r="F209" s="14"/>
      <c r="G209" s="14"/>
      <c r="H209" s="14"/>
      <c r="I209" s="14"/>
      <c r="J209" s="14"/>
      <c r="K209" s="14"/>
      <c r="L209" s="14"/>
      <c r="M209" s="45"/>
      <c r="N209" s="69"/>
      <c r="O209" s="43"/>
      <c r="P209" s="14"/>
      <c r="Q209" s="14"/>
      <c r="R209" s="14"/>
      <c r="S209" s="14"/>
      <c r="T209" s="14"/>
      <c r="U209" s="14"/>
      <c r="V209" s="14"/>
      <c r="W209" s="14"/>
      <c r="X209" s="14"/>
      <c r="Y209" s="45"/>
    </row>
    <row r="210" spans="2:25">
      <c r="B210" s="69"/>
      <c r="C210" s="43"/>
      <c r="D210" s="14"/>
      <c r="E210" s="14"/>
      <c r="F210" s="14"/>
      <c r="G210" s="14"/>
      <c r="H210" s="14"/>
      <c r="I210" s="14"/>
      <c r="J210" s="14"/>
      <c r="K210" s="14"/>
      <c r="L210" s="14"/>
      <c r="M210" s="45"/>
      <c r="N210" s="69"/>
      <c r="O210" s="43"/>
      <c r="P210" s="14"/>
      <c r="Q210" s="14"/>
      <c r="R210" s="14"/>
      <c r="S210" s="14"/>
      <c r="T210" s="14"/>
      <c r="U210" s="14"/>
      <c r="V210" s="14"/>
      <c r="W210" s="14"/>
      <c r="X210" s="14"/>
      <c r="Y210" s="45"/>
    </row>
    <row r="211" spans="2:25">
      <c r="B211" s="69"/>
      <c r="C211" s="43"/>
      <c r="D211" s="29" t="s">
        <v>106</v>
      </c>
      <c r="E211" s="14">
        <f>ROUND(I198/SQRT(D203*I200),4)</f>
        <v>-2.5305</v>
      </c>
      <c r="F211" s="14"/>
      <c r="G211" s="14"/>
      <c r="H211" s="14"/>
      <c r="I211" s="14"/>
      <c r="J211" s="14"/>
      <c r="K211" s="14"/>
      <c r="L211" s="14"/>
      <c r="M211" s="45"/>
      <c r="N211" s="69"/>
      <c r="O211" s="43"/>
      <c r="P211" s="29" t="s">
        <v>106</v>
      </c>
      <c r="Q211" s="14">
        <f>ROUND(U198/SQRT(P203*U200),4)</f>
        <v>-2.5305</v>
      </c>
      <c r="R211" s="14"/>
      <c r="S211" s="14"/>
      <c r="T211" s="14"/>
      <c r="U211" s="14"/>
      <c r="V211" s="14"/>
      <c r="W211" s="14"/>
      <c r="X211" s="14"/>
      <c r="Y211" s="45"/>
    </row>
    <row r="212" spans="2:25">
      <c r="B212" s="69"/>
      <c r="C212" s="43"/>
      <c r="D212" s="29" t="s">
        <v>107</v>
      </c>
      <c r="E212" s="14">
        <f>ABS(E211)</f>
        <v>2.5305</v>
      </c>
      <c r="F212" s="14"/>
      <c r="G212" s="14"/>
      <c r="H212" s="14"/>
      <c r="I212" s="14"/>
      <c r="J212" s="14"/>
      <c r="K212" s="14"/>
      <c r="L212" s="14"/>
      <c r="M212" s="45"/>
      <c r="N212" s="69"/>
      <c r="O212" s="43"/>
      <c r="P212" s="29" t="s">
        <v>107</v>
      </c>
      <c r="Q212" s="14">
        <f>ABS(Q211)</f>
        <v>2.5305</v>
      </c>
      <c r="R212" s="14"/>
      <c r="S212" s="14"/>
      <c r="T212" s="14"/>
      <c r="U212" s="14"/>
      <c r="V212" s="14"/>
      <c r="W212" s="14"/>
      <c r="X212" s="14"/>
      <c r="Y212" s="45"/>
    </row>
    <row r="213" spans="2:25" ht="13.5" thickBot="1">
      <c r="B213" s="69"/>
      <c r="C213" s="47" t="str">
        <f>IF(ABS(E211)&gt;ROUND(E207,4), "Como |"&amp;ROUND(E211,2)&amp;"| &gt; "&amp;ROUND(E207,4)&amp;" então rejeita-se H0, logo a um nível de significância de "&amp;E205*100&amp;"% há evidencia estatística suficiente para se concluir que "&amp;H198&amp;" é não nulo","Como |"&amp;ROUND(E211,2)&amp;"|  ≤ "&amp;ROUND(E207,4)&amp;" então não se rejeita H0, logo a um nível de significância de "&amp;E205*100&amp;"% há evidencia estatística suficiente para se concluir que "&amp;H198&amp;" é nulo")</f>
        <v>Como |-2,53| &gt; 2,23 então rejeita-se H0, logo a um nível de significância de 5% há evidencia estatística suficiente para se concluir que β2= é não nulo</v>
      </c>
      <c r="D213" s="28"/>
      <c r="E213" s="28"/>
      <c r="F213" s="28"/>
      <c r="G213" s="28"/>
      <c r="H213" s="28"/>
      <c r="I213" s="28"/>
      <c r="J213" s="28"/>
      <c r="K213" s="28"/>
      <c r="L213" s="49"/>
      <c r="M213" s="49"/>
      <c r="N213" s="69"/>
      <c r="O213" s="47" t="str">
        <f>IF(ABS(Q211)&gt;ROUND(Q207,4), "Como |"&amp;ROUND(Q211,2)&amp;"| &gt; "&amp;ROUND(Q207,4)&amp;" então rejeita-se H0, logo a um nível de significância de "&amp;Q205*100&amp;"% há evidencia estatística suficiente para se concluir que "&amp;T198&amp;" é não nulo","Como |"&amp;ROUND(Q211,2)&amp;"|  ≤ "&amp;ROUND(Q207,4)&amp;" então não se rejeita H0, logo a um nível de significância de "&amp;Q205*100&amp;"% há evidencia estatística suficiente para se concluir que "&amp;T198&amp;" é nulo")</f>
        <v>Como |-2,53|  ≤ 3,17 então não se rejeita H0, logo a um nível de significância de 1% há evidencia estatística suficiente para se concluir que β2= é nulo</v>
      </c>
      <c r="P213" s="28"/>
      <c r="Q213" s="28"/>
      <c r="R213" s="28"/>
      <c r="S213" s="28"/>
      <c r="T213" s="28"/>
      <c r="U213" s="28"/>
      <c r="V213" s="28"/>
      <c r="W213" s="28"/>
      <c r="X213" s="49"/>
      <c r="Y213" s="49"/>
    </row>
    <row r="214" spans="2:25" ht="13.5" thickBot="1"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</row>
    <row r="215" spans="2:25">
      <c r="B215" s="69"/>
      <c r="C215" s="39"/>
      <c r="D215" s="41"/>
      <c r="E215" s="41"/>
      <c r="F215" s="41"/>
      <c r="G215" s="41"/>
      <c r="H215" s="41"/>
      <c r="I215" s="41"/>
      <c r="J215" s="41"/>
      <c r="K215" s="41"/>
      <c r="L215" s="41"/>
      <c r="M215" s="42"/>
      <c r="N215" s="69"/>
      <c r="O215" s="39"/>
      <c r="P215" s="41"/>
      <c r="Q215" s="41"/>
      <c r="R215" s="41"/>
      <c r="S215" s="41"/>
      <c r="T215" s="41"/>
      <c r="U215" s="41"/>
      <c r="V215" s="41"/>
      <c r="W215" s="41"/>
      <c r="X215" s="41"/>
      <c r="Y215" s="42"/>
    </row>
    <row r="216" spans="2:25">
      <c r="B216" s="21" t="s">
        <v>103</v>
      </c>
      <c r="C216" s="43"/>
      <c r="D216" s="14"/>
      <c r="E216" s="14"/>
      <c r="F216" s="14"/>
      <c r="G216" s="14"/>
      <c r="H216" s="29" t="str">
        <f>B219&amp;"="</f>
        <v>β3=</v>
      </c>
      <c r="I216" s="14">
        <f>AI34</f>
        <v>1.9769740844150192</v>
      </c>
      <c r="J216" s="14"/>
      <c r="K216" s="14"/>
      <c r="L216" s="14"/>
      <c r="M216" s="45"/>
      <c r="N216" s="69"/>
      <c r="O216" s="43"/>
      <c r="P216" s="14"/>
      <c r="Q216" s="14"/>
      <c r="R216" s="14"/>
      <c r="S216" s="14"/>
      <c r="T216" s="29" t="str">
        <f>H216</f>
        <v>β3=</v>
      </c>
      <c r="U216" s="29">
        <f>I216</f>
        <v>1.9769740844150192</v>
      </c>
      <c r="V216" s="14"/>
      <c r="W216" s="14"/>
      <c r="X216" s="14"/>
      <c r="Y216" s="45"/>
    </row>
    <row r="217" spans="2:25">
      <c r="B217" s="21" t="s">
        <v>83</v>
      </c>
      <c r="C217" s="43"/>
      <c r="D217" s="14"/>
      <c r="E217" s="14"/>
      <c r="F217" s="14"/>
      <c r="G217" s="14"/>
      <c r="H217" s="14"/>
      <c r="I217" s="14"/>
      <c r="J217" s="14"/>
      <c r="K217" s="14"/>
      <c r="L217" s="14"/>
      <c r="M217" s="45"/>
      <c r="N217" s="69"/>
      <c r="O217" s="43"/>
      <c r="P217" s="14"/>
      <c r="Q217" s="14"/>
      <c r="R217" s="14"/>
      <c r="S217" s="14"/>
      <c r="T217" s="14"/>
      <c r="U217" s="14"/>
      <c r="V217" s="14"/>
      <c r="W217" s="14"/>
      <c r="X217" s="14"/>
      <c r="Y217" s="45"/>
    </row>
    <row r="218" spans="2:25">
      <c r="B218" s="21" t="s">
        <v>104</v>
      </c>
      <c r="C218" s="43"/>
      <c r="D218" s="14"/>
      <c r="E218" s="14"/>
      <c r="F218" s="14"/>
      <c r="G218" s="14"/>
      <c r="H218" s="14"/>
      <c r="I218" s="14">
        <f>R34</f>
        <v>2.0913050988122848E-8</v>
      </c>
      <c r="J218" s="14"/>
      <c r="K218" s="14"/>
      <c r="L218" s="14"/>
      <c r="M218" s="45"/>
      <c r="N218" s="69"/>
      <c r="O218" s="43"/>
      <c r="P218" s="14"/>
      <c r="Q218" s="14"/>
      <c r="R218" s="14"/>
      <c r="S218" s="14"/>
      <c r="T218" s="14"/>
      <c r="U218" s="29">
        <f>I218</f>
        <v>2.0913050988122848E-8</v>
      </c>
      <c r="V218" s="14"/>
      <c r="W218" s="14"/>
      <c r="X218" s="14"/>
      <c r="Y218" s="45"/>
    </row>
    <row r="219" spans="2:25">
      <c r="B219" s="21" t="s">
        <v>87</v>
      </c>
      <c r="C219" s="43"/>
      <c r="D219" s="14"/>
      <c r="E219" s="14"/>
      <c r="F219" s="14"/>
      <c r="G219" s="14"/>
      <c r="H219" s="14"/>
      <c r="I219" s="14"/>
      <c r="J219" s="14"/>
      <c r="K219" s="14"/>
      <c r="L219" s="14"/>
      <c r="M219" s="45"/>
      <c r="N219" s="69"/>
      <c r="O219" s="43"/>
      <c r="P219" s="14"/>
      <c r="Q219" s="14"/>
      <c r="R219" s="14"/>
      <c r="S219" s="14"/>
      <c r="T219" s="14"/>
      <c r="U219" s="14"/>
      <c r="V219" s="14"/>
      <c r="W219" s="14"/>
      <c r="X219" s="14"/>
      <c r="Y219" s="45"/>
    </row>
    <row r="220" spans="2:25">
      <c r="B220" s="69"/>
      <c r="C220" s="43"/>
      <c r="D220" s="14"/>
      <c r="E220" s="14"/>
      <c r="F220" s="14"/>
      <c r="G220" s="14"/>
      <c r="H220" s="14"/>
      <c r="I220" s="14"/>
      <c r="J220" s="14"/>
      <c r="K220" s="14"/>
      <c r="L220" s="14"/>
      <c r="M220" s="45"/>
      <c r="N220" s="69"/>
      <c r="O220" s="43"/>
      <c r="P220" s="14"/>
      <c r="Q220" s="14"/>
      <c r="R220" s="14"/>
      <c r="S220" s="14"/>
      <c r="T220" s="14"/>
      <c r="U220" s="14"/>
      <c r="V220" s="14"/>
      <c r="W220" s="14"/>
      <c r="X220" s="14"/>
      <c r="Y220" s="45"/>
    </row>
    <row r="221" spans="2:25">
      <c r="B221" s="69"/>
      <c r="C221" s="43"/>
      <c r="D221" s="14">
        <f>E54</f>
        <v>8363833.8541538464</v>
      </c>
      <c r="E221" s="14"/>
      <c r="F221" s="14"/>
      <c r="G221" s="14"/>
      <c r="H221" s="14"/>
      <c r="I221" s="14"/>
      <c r="J221" s="14"/>
      <c r="K221" s="14"/>
      <c r="L221" s="14"/>
      <c r="M221" s="45"/>
      <c r="N221" s="69"/>
      <c r="O221" s="43"/>
      <c r="P221" s="29">
        <f>D221</f>
        <v>8363833.8541538464</v>
      </c>
      <c r="Q221" s="14"/>
      <c r="R221" s="14"/>
      <c r="S221" s="14"/>
      <c r="T221" s="14"/>
      <c r="U221" s="14"/>
      <c r="V221" s="14"/>
      <c r="W221" s="14"/>
      <c r="X221" s="14"/>
      <c r="Y221" s="45"/>
    </row>
    <row r="222" spans="2:25">
      <c r="B222" s="69"/>
      <c r="C222" s="43"/>
      <c r="D222" s="14"/>
      <c r="E222" s="14"/>
      <c r="F222" s="14"/>
      <c r="G222" s="14"/>
      <c r="H222" s="14"/>
      <c r="I222" s="14"/>
      <c r="J222" s="14"/>
      <c r="K222" s="14"/>
      <c r="L222" s="14"/>
      <c r="M222" s="45"/>
      <c r="N222" s="69"/>
      <c r="O222" s="43"/>
      <c r="P222" s="14"/>
      <c r="Q222" s="14"/>
      <c r="R222" s="14"/>
      <c r="S222" s="14"/>
      <c r="T222" s="14"/>
      <c r="U222" s="14"/>
      <c r="V222" s="14"/>
      <c r="W222" s="14"/>
      <c r="X222" s="14"/>
      <c r="Y222" s="45"/>
    </row>
    <row r="223" spans="2:25">
      <c r="B223" s="69"/>
      <c r="C223" s="43"/>
      <c r="D223" s="44" t="s">
        <v>105</v>
      </c>
      <c r="E223" s="14">
        <v>0.05</v>
      </c>
      <c r="F223" s="14"/>
      <c r="G223" s="14"/>
      <c r="H223" s="29" t="s">
        <v>108</v>
      </c>
      <c r="I223" s="14" t="str">
        <f>"]-∞;-"&amp;ROUND(E225,4)&amp;"[ U ]"&amp;ROUND(E225,4)&amp;";+∞["</f>
        <v>]-∞;-2,23[ U ]2,23;+∞[</v>
      </c>
      <c r="J223" s="14"/>
      <c r="K223" s="14"/>
      <c r="L223" s="14"/>
      <c r="M223" s="45"/>
      <c r="N223" s="69"/>
      <c r="O223" s="43"/>
      <c r="P223" s="44" t="s">
        <v>105</v>
      </c>
      <c r="Q223" s="14">
        <v>0.01</v>
      </c>
      <c r="R223" s="14"/>
      <c r="S223" s="14"/>
      <c r="T223" s="29" t="s">
        <v>108</v>
      </c>
      <c r="U223" s="14" t="str">
        <f>"]-∞;-"&amp;ROUND(Q225,4)&amp;"[ U ]"&amp;ROUND(Q225,4)&amp;";+∞["</f>
        <v>]-∞;-3,17[ U ]3,17;+∞[</v>
      </c>
      <c r="V223" s="14"/>
      <c r="W223" s="14"/>
      <c r="X223" s="14"/>
      <c r="Y223" s="45"/>
    </row>
    <row r="224" spans="2:25">
      <c r="B224" s="69"/>
      <c r="C224" s="43"/>
      <c r="D224" s="44"/>
      <c r="E224" s="14"/>
      <c r="F224" s="14"/>
      <c r="G224" s="14"/>
      <c r="H224" s="14"/>
      <c r="I224" s="14"/>
      <c r="J224" s="14"/>
      <c r="K224" s="14"/>
      <c r="L224" s="14"/>
      <c r="M224" s="45"/>
      <c r="N224" s="69"/>
      <c r="O224" s="43"/>
      <c r="P224" s="44"/>
      <c r="Q224" s="14"/>
      <c r="R224" s="14"/>
      <c r="S224" s="14"/>
      <c r="T224" s="14"/>
      <c r="U224" s="14"/>
      <c r="V224" s="14"/>
      <c r="W224" s="14"/>
      <c r="X224" s="14"/>
      <c r="Y224" s="45"/>
    </row>
    <row r="225" spans="2:25">
      <c r="B225" s="69"/>
      <c r="C225" s="43"/>
      <c r="D225" s="14"/>
      <c r="E225" s="14">
        <f>ROUND(_xlfn.T.INV(1-E223/2,17-(6+1)),2)</f>
        <v>2.23</v>
      </c>
      <c r="F225" s="14"/>
      <c r="G225" s="14"/>
      <c r="H225" s="14"/>
      <c r="I225" s="14"/>
      <c r="J225" s="14"/>
      <c r="K225" s="14"/>
      <c r="L225" s="14"/>
      <c r="M225" s="45"/>
      <c r="N225" s="69"/>
      <c r="O225" s="43"/>
      <c r="P225" s="14"/>
      <c r="Q225" s="14">
        <f>ROUND(_xlfn.T.INV(1-Q223/2,17-(6+1)),2)</f>
        <v>3.17</v>
      </c>
      <c r="R225" s="14"/>
      <c r="S225" s="14"/>
      <c r="T225" s="14"/>
      <c r="U225" s="14"/>
      <c r="V225" s="14"/>
      <c r="W225" s="14"/>
      <c r="X225" s="14"/>
      <c r="Y225" s="45"/>
    </row>
    <row r="226" spans="2:25">
      <c r="B226" s="69"/>
      <c r="C226" s="43"/>
      <c r="D226" s="29"/>
      <c r="E226" s="14"/>
      <c r="F226" s="14"/>
      <c r="G226" s="14"/>
      <c r="H226" s="14"/>
      <c r="I226" s="14"/>
      <c r="J226" s="14"/>
      <c r="K226" s="14"/>
      <c r="L226" s="14"/>
      <c r="M226" s="45"/>
      <c r="N226" s="69"/>
      <c r="O226" s="43"/>
      <c r="P226" s="29"/>
      <c r="Q226" s="14"/>
      <c r="R226" s="14"/>
      <c r="S226" s="14"/>
      <c r="T226" s="14"/>
      <c r="U226" s="14"/>
      <c r="V226" s="14"/>
      <c r="W226" s="14"/>
      <c r="X226" s="14"/>
      <c r="Y226" s="45"/>
    </row>
    <row r="227" spans="2:25">
      <c r="B227" s="69"/>
      <c r="C227" s="43"/>
      <c r="D227" s="14"/>
      <c r="E227" s="14"/>
      <c r="F227" s="14"/>
      <c r="G227" s="14"/>
      <c r="H227" s="14"/>
      <c r="I227" s="14"/>
      <c r="J227" s="14"/>
      <c r="K227" s="14"/>
      <c r="L227" s="14"/>
      <c r="M227" s="45"/>
      <c r="N227" s="69"/>
      <c r="O227" s="43"/>
      <c r="P227" s="14"/>
      <c r="Q227" s="14"/>
      <c r="R227" s="14"/>
      <c r="S227" s="14"/>
      <c r="T227" s="14"/>
      <c r="U227" s="14"/>
      <c r="V227" s="14"/>
      <c r="W227" s="14"/>
      <c r="X227" s="14"/>
      <c r="Y227" s="45"/>
    </row>
    <row r="228" spans="2:25">
      <c r="B228" s="69"/>
      <c r="C228" s="43"/>
      <c r="D228" s="14"/>
      <c r="E228" s="14"/>
      <c r="F228" s="14"/>
      <c r="G228" s="14"/>
      <c r="H228" s="14"/>
      <c r="I228" s="14"/>
      <c r="J228" s="14"/>
      <c r="K228" s="14"/>
      <c r="L228" s="14"/>
      <c r="M228" s="45"/>
      <c r="N228" s="69"/>
      <c r="O228" s="43"/>
      <c r="P228" s="14"/>
      <c r="Q228" s="14"/>
      <c r="R228" s="14"/>
      <c r="S228" s="14"/>
      <c r="T228" s="14"/>
      <c r="U228" s="14"/>
      <c r="V228" s="14"/>
      <c r="W228" s="14"/>
      <c r="X228" s="14"/>
      <c r="Y228" s="45"/>
    </row>
    <row r="229" spans="2:25">
      <c r="B229" s="69"/>
      <c r="C229" s="43"/>
      <c r="D229" s="29" t="s">
        <v>106</v>
      </c>
      <c r="E229" s="14">
        <f>ROUND(I216/SQRT(D221*I218),4)</f>
        <v>4.7270000000000003</v>
      </c>
      <c r="F229" s="14"/>
      <c r="G229" s="14"/>
      <c r="H229" s="14"/>
      <c r="I229" s="14"/>
      <c r="J229" s="14"/>
      <c r="K229" s="14"/>
      <c r="L229" s="14"/>
      <c r="M229" s="45"/>
      <c r="N229" s="69"/>
      <c r="O229" s="43"/>
      <c r="P229" s="29" t="s">
        <v>106</v>
      </c>
      <c r="Q229" s="14">
        <f>ROUND(U216/SQRT(P221*U218),4)</f>
        <v>4.7270000000000003</v>
      </c>
      <c r="R229" s="14"/>
      <c r="S229" s="14"/>
      <c r="T229" s="14"/>
      <c r="U229" s="14"/>
      <c r="V229" s="14"/>
      <c r="W229" s="14"/>
      <c r="X229" s="14"/>
      <c r="Y229" s="45"/>
    </row>
    <row r="230" spans="2:25">
      <c r="B230" s="69"/>
      <c r="C230" s="43"/>
      <c r="D230" s="29" t="s">
        <v>107</v>
      </c>
      <c r="E230" s="14">
        <f>ABS(E229)</f>
        <v>4.7270000000000003</v>
      </c>
      <c r="F230" s="14"/>
      <c r="G230" s="14"/>
      <c r="H230" s="14"/>
      <c r="I230" s="14"/>
      <c r="J230" s="14"/>
      <c r="K230" s="14"/>
      <c r="L230" s="14"/>
      <c r="M230" s="45"/>
      <c r="N230" s="69"/>
      <c r="O230" s="43"/>
      <c r="P230" s="29" t="s">
        <v>107</v>
      </c>
      <c r="Q230" s="14">
        <f>ABS(Q229)</f>
        <v>4.7270000000000003</v>
      </c>
      <c r="R230" s="14"/>
      <c r="S230" s="14"/>
      <c r="T230" s="14"/>
      <c r="U230" s="14"/>
      <c r="V230" s="14"/>
      <c r="W230" s="14"/>
      <c r="X230" s="14"/>
      <c r="Y230" s="45"/>
    </row>
    <row r="231" spans="2:25" ht="13.5" thickBot="1">
      <c r="B231" s="69"/>
      <c r="C231" s="47" t="str">
        <f>IF(ABS(E229)&gt;ROUND(E225,4), "Como |"&amp;ROUND(E229,2)&amp;"| &gt; "&amp;ROUND(E225,4)&amp;" então rejeita-se H0, logo a um nível de significância de "&amp;E223*100&amp;"% há evidencia estatística suficiente para se concluir que "&amp;H216&amp;" é não nulo","Como |"&amp;ROUND(E229,2)&amp;"|  ≤ "&amp;ROUND(E225,4)&amp;" então não se rejeita H0, logo a um nível de significância de "&amp;E223*100&amp;"% há evidencia estatística suficiente para se concluir que "&amp;H216&amp;" é nulo")</f>
        <v>Como |4,73| &gt; 2,23 então rejeita-se H0, logo a um nível de significância de 5% há evidencia estatística suficiente para se concluir que β3= é não nulo</v>
      </c>
      <c r="D231" s="28"/>
      <c r="E231" s="28"/>
      <c r="F231" s="28"/>
      <c r="G231" s="28"/>
      <c r="H231" s="28"/>
      <c r="I231" s="28"/>
      <c r="J231" s="28"/>
      <c r="K231" s="28"/>
      <c r="L231" s="49"/>
      <c r="M231" s="49"/>
      <c r="N231" s="69"/>
      <c r="O231" s="47" t="str">
        <f>IF(ABS(Q229)&gt;ROUND(Q225,4), "Como |"&amp;ROUND(Q229,2)&amp;"| &gt; "&amp;ROUND(Q225,4)&amp;" então rejeita-se H0, logo a um nível de significância de "&amp;Q223*100&amp;"% há evidencia estatística suficiente para se concluir que "&amp;T216&amp;" é não nulo","Como |"&amp;ROUND(Q229,2)&amp;"|  ≤ "&amp;ROUND(Q225,4)&amp;" então não se rejeita H0, logo a um nível de significância de "&amp;Q223*100&amp;"% há evidencia estatística suficiente para se concluir que "&amp;T216&amp;" é nulo")</f>
        <v>Como |4,73| &gt; 3,17 então rejeita-se H0, logo a um nível de significância de 1% há evidencia estatística suficiente para se concluir que β3= é não nulo</v>
      </c>
      <c r="P231" s="28"/>
      <c r="Q231" s="28"/>
      <c r="R231" s="28"/>
      <c r="S231" s="28"/>
      <c r="T231" s="28"/>
      <c r="U231" s="28"/>
      <c r="V231" s="28"/>
      <c r="W231" s="28"/>
      <c r="X231" s="49"/>
      <c r="Y231" s="49"/>
    </row>
  </sheetData>
  <mergeCells count="1">
    <mergeCell ref="B39:O3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2C83F-9007-426B-A722-176295DA98A5}">
  <dimension ref="B2:AL231"/>
  <sheetViews>
    <sheetView topLeftCell="A192" zoomScale="73" zoomScaleNormal="73" workbookViewId="0">
      <selection activeCell="G213" sqref="G213"/>
    </sheetView>
  </sheetViews>
  <sheetFormatPr defaultRowHeight="12.75"/>
  <cols>
    <col min="1" max="1" width="9.140625" style="69"/>
    <col min="2" max="2" width="11.28515625" style="69" customWidth="1"/>
    <col min="3" max="3" width="16.42578125" style="69" customWidth="1"/>
    <col min="4" max="4" width="11.42578125" style="69" customWidth="1"/>
    <col min="5" max="5" width="12.7109375" style="69" bestFit="1" customWidth="1"/>
    <col min="6" max="6" width="10" style="69" bestFit="1" customWidth="1"/>
    <col min="7" max="7" width="11.42578125" style="69" customWidth="1"/>
    <col min="8" max="8" width="19.85546875" style="69" customWidth="1"/>
    <col min="9" max="9" width="12.42578125" style="69" bestFit="1" customWidth="1"/>
    <col min="10" max="14" width="9.140625" style="69"/>
    <col min="15" max="15" width="11" style="69" bestFit="1" customWidth="1"/>
    <col min="16" max="25" width="9.140625" style="69"/>
    <col min="26" max="26" width="11" style="69" bestFit="1" customWidth="1"/>
    <col min="27" max="16384" width="9.140625" style="69"/>
  </cols>
  <sheetData>
    <row r="2" spans="2:38">
      <c r="B2" s="2" t="s">
        <v>10</v>
      </c>
      <c r="C2" s="2" t="s">
        <v>33</v>
      </c>
      <c r="D2" s="2" t="s">
        <v>34</v>
      </c>
      <c r="E2" s="2" t="s">
        <v>35</v>
      </c>
      <c r="F2" s="2"/>
      <c r="G2" s="3"/>
      <c r="H2" s="3"/>
    </row>
    <row r="3" spans="2:38">
      <c r="B3" s="4" t="s">
        <v>2</v>
      </c>
      <c r="C3" s="4" t="s">
        <v>3</v>
      </c>
      <c r="D3" s="4" t="s">
        <v>4</v>
      </c>
      <c r="E3" s="4" t="s">
        <v>5</v>
      </c>
      <c r="F3" s="4"/>
      <c r="G3" s="14"/>
      <c r="H3" s="14"/>
    </row>
    <row r="4" spans="2:38">
      <c r="B4" s="4">
        <v>1676</v>
      </c>
      <c r="C4" s="4">
        <v>0.68710000000000004</v>
      </c>
      <c r="D4" s="4">
        <v>6117</v>
      </c>
      <c r="E4" s="4">
        <v>45642</v>
      </c>
      <c r="F4" s="4">
        <f>ROUND($AI$31,4)+ROUND($AI$32,4)*C4+ROUND($AI$33,4)*D4+ROUND($AI$34,4)*E4</f>
        <v>1616.9763985</v>
      </c>
      <c r="G4" s="14"/>
      <c r="H4" s="14"/>
    </row>
    <row r="5" spans="2:38">
      <c r="B5" s="4">
        <v>1163</v>
      </c>
      <c r="C5" s="4">
        <v>0.50429999999999997</v>
      </c>
      <c r="D5" s="4">
        <v>5872</v>
      </c>
      <c r="E5" s="4">
        <v>38719</v>
      </c>
      <c r="F5" s="4">
        <f t="shared" ref="F5:F20" si="0">ROUND($AI$31,4)+ROUND($AI$32,4)*C5+ROUND($AI$33,4)*D5+ROUND($AI$34,4)*E5</f>
        <v>1220.5447005000003</v>
      </c>
      <c r="G5" s="14"/>
      <c r="H5" s="14"/>
    </row>
    <row r="6" spans="2:38">
      <c r="B6" s="4">
        <v>641</v>
      </c>
      <c r="C6" s="4">
        <v>0.47710000000000002</v>
      </c>
      <c r="D6" s="4">
        <v>4906</v>
      </c>
      <c r="E6" s="4">
        <v>27454</v>
      </c>
      <c r="F6" s="4">
        <f t="shared" si="0"/>
        <v>695.82444850000002</v>
      </c>
      <c r="G6" s="14"/>
      <c r="H6" s="14"/>
    </row>
    <row r="7" spans="2:38">
      <c r="B7" s="4">
        <v>355</v>
      </c>
      <c r="C7" s="4">
        <v>0.50860000000000005</v>
      </c>
      <c r="D7" s="4">
        <v>3825</v>
      </c>
      <c r="E7" s="4">
        <v>18463</v>
      </c>
      <c r="F7" s="4">
        <f t="shared" si="0"/>
        <v>351.80300099999999</v>
      </c>
      <c r="G7" s="14"/>
      <c r="H7" s="14"/>
    </row>
    <row r="8" spans="2:38">
      <c r="B8" s="4">
        <v>223</v>
      </c>
      <c r="C8" s="4">
        <v>0.61429999999999996</v>
      </c>
      <c r="D8" s="4">
        <v>2829</v>
      </c>
      <c r="E8" s="4">
        <v>12112</v>
      </c>
      <c r="F8" s="4">
        <f t="shared" si="0"/>
        <v>160.69805050000002</v>
      </c>
      <c r="G8" s="14"/>
      <c r="H8" s="14"/>
    </row>
    <row r="9" spans="2:38">
      <c r="B9" s="4">
        <v>144</v>
      </c>
      <c r="C9" s="4">
        <v>0.66710000000000003</v>
      </c>
      <c r="D9" s="4">
        <v>1971</v>
      </c>
      <c r="E9" s="4">
        <v>7986</v>
      </c>
      <c r="F9" s="4">
        <f t="shared" si="0"/>
        <v>92.39689850000002</v>
      </c>
      <c r="G9" s="14"/>
      <c r="H9" s="14"/>
      <c r="L9" s="69">
        <v>1</v>
      </c>
      <c r="M9" s="69">
        <f>C4</f>
        <v>0.68710000000000004</v>
      </c>
      <c r="N9" s="69">
        <f t="shared" ref="N9:O9" si="1">D4</f>
        <v>6117</v>
      </c>
      <c r="O9" s="69">
        <f t="shared" si="1"/>
        <v>45642</v>
      </c>
    </row>
    <row r="10" spans="2:38">
      <c r="B10" s="4">
        <v>77</v>
      </c>
      <c r="C10" s="4">
        <v>0.67600000000000005</v>
      </c>
      <c r="D10" s="4">
        <v>1265</v>
      </c>
      <c r="E10" s="4">
        <v>5100</v>
      </c>
      <c r="F10" s="4">
        <f t="shared" si="0"/>
        <v>74.56746000000004</v>
      </c>
      <c r="G10" s="14"/>
      <c r="H10" s="14"/>
      <c r="L10" s="69">
        <v>1</v>
      </c>
      <c r="M10" s="69">
        <f t="shared" ref="M10:O25" si="2">C5</f>
        <v>0.50429999999999997</v>
      </c>
      <c r="N10" s="69">
        <f t="shared" si="2"/>
        <v>5872</v>
      </c>
      <c r="O10" s="69">
        <f t="shared" si="2"/>
        <v>38719</v>
      </c>
      <c r="V10" s="69">
        <f t="array" ref="V10:AL13">TRANSPOSE(L9:R25)</f>
        <v>1</v>
      </c>
      <c r="W10" s="69">
        <v>1</v>
      </c>
      <c r="X10" s="69">
        <v>1</v>
      </c>
      <c r="Y10" s="69">
        <v>1</v>
      </c>
      <c r="Z10" s="69">
        <v>1</v>
      </c>
      <c r="AA10" s="69">
        <v>1</v>
      </c>
      <c r="AB10" s="69">
        <v>1</v>
      </c>
      <c r="AC10" s="69">
        <v>1</v>
      </c>
      <c r="AD10" s="69">
        <v>1</v>
      </c>
      <c r="AE10" s="69">
        <v>1</v>
      </c>
      <c r="AF10" s="69">
        <v>1</v>
      </c>
      <c r="AG10" s="69">
        <v>1</v>
      </c>
      <c r="AH10" s="69">
        <v>1</v>
      </c>
      <c r="AI10" s="69">
        <v>1</v>
      </c>
      <c r="AJ10" s="69">
        <v>1</v>
      </c>
      <c r="AK10" s="69">
        <v>1</v>
      </c>
      <c r="AL10" s="69">
        <v>1</v>
      </c>
    </row>
    <row r="11" spans="2:38">
      <c r="B11" s="4">
        <v>69</v>
      </c>
      <c r="C11" s="4">
        <v>0.8357</v>
      </c>
      <c r="D11" s="4">
        <v>1078</v>
      </c>
      <c r="E11" s="4">
        <v>4841</v>
      </c>
      <c r="F11" s="4">
        <f t="shared" si="0"/>
        <v>89.647799500000076</v>
      </c>
      <c r="G11" s="14"/>
      <c r="H11" s="14"/>
      <c r="L11" s="69">
        <v>1</v>
      </c>
      <c r="M11" s="69">
        <f t="shared" si="2"/>
        <v>0.47710000000000002</v>
      </c>
      <c r="N11" s="69">
        <f t="shared" si="2"/>
        <v>4906</v>
      </c>
      <c r="O11" s="69">
        <f t="shared" si="2"/>
        <v>27454</v>
      </c>
      <c r="V11" s="69">
        <v>0.68710000000000004</v>
      </c>
      <c r="W11" s="69">
        <v>0.50429999999999997</v>
      </c>
      <c r="X11" s="69">
        <v>0.47710000000000002</v>
      </c>
      <c r="Y11" s="69">
        <v>0.50860000000000005</v>
      </c>
      <c r="Z11" s="69">
        <v>0.61429999999999996</v>
      </c>
      <c r="AA11" s="69">
        <v>0.66710000000000003</v>
      </c>
      <c r="AB11" s="69">
        <v>0.67600000000000005</v>
      </c>
      <c r="AC11" s="69">
        <v>0.8357</v>
      </c>
      <c r="AD11" s="69">
        <v>0.9657</v>
      </c>
      <c r="AE11" s="69">
        <v>1.1086</v>
      </c>
      <c r="AF11" s="69">
        <v>1.0071000000000001</v>
      </c>
      <c r="AG11" s="69">
        <v>0.96430000000000005</v>
      </c>
      <c r="AH11" s="69">
        <v>0.89</v>
      </c>
      <c r="AI11" s="69">
        <v>0.88</v>
      </c>
      <c r="AJ11" s="69">
        <v>1.0128999999999999</v>
      </c>
      <c r="AK11" s="69">
        <v>1.1000000000000001</v>
      </c>
      <c r="AL11" s="69">
        <v>1.1399999999999999</v>
      </c>
    </row>
    <row r="12" spans="2:38">
      <c r="B12" s="4">
        <v>42</v>
      </c>
      <c r="C12" s="4">
        <v>0.9657</v>
      </c>
      <c r="D12" s="4">
        <v>895</v>
      </c>
      <c r="E12" s="4">
        <v>3845</v>
      </c>
      <c r="F12" s="4">
        <f t="shared" si="0"/>
        <v>55.753749500000026</v>
      </c>
      <c r="G12" s="14"/>
      <c r="H12" s="14"/>
      <c r="L12" s="69">
        <v>1</v>
      </c>
      <c r="M12" s="69">
        <f t="shared" si="2"/>
        <v>0.50860000000000005</v>
      </c>
      <c r="N12" s="69">
        <f t="shared" si="2"/>
        <v>3825</v>
      </c>
      <c r="O12" s="69">
        <f t="shared" si="2"/>
        <v>18463</v>
      </c>
      <c r="V12" s="69">
        <v>6117</v>
      </c>
      <c r="W12" s="69">
        <v>5872</v>
      </c>
      <c r="X12" s="69">
        <v>4906</v>
      </c>
      <c r="Y12" s="69">
        <v>3825</v>
      </c>
      <c r="Z12" s="69">
        <v>2829</v>
      </c>
      <c r="AA12" s="69">
        <v>1971</v>
      </c>
      <c r="AB12" s="69">
        <v>1265</v>
      </c>
      <c r="AC12" s="69">
        <v>1078</v>
      </c>
      <c r="AD12" s="69">
        <v>895</v>
      </c>
      <c r="AE12" s="69">
        <v>823</v>
      </c>
      <c r="AF12" s="69">
        <v>775</v>
      </c>
      <c r="AG12" s="69">
        <v>733</v>
      </c>
      <c r="AH12" s="69">
        <v>612</v>
      </c>
      <c r="AI12" s="69">
        <v>560</v>
      </c>
      <c r="AJ12" s="69">
        <v>504</v>
      </c>
      <c r="AK12" s="69">
        <v>424</v>
      </c>
      <c r="AL12" s="69">
        <v>370</v>
      </c>
    </row>
    <row r="13" spans="2:38">
      <c r="B13" s="4">
        <v>37</v>
      </c>
      <c r="C13" s="4">
        <v>1.1086</v>
      </c>
      <c r="D13" s="4">
        <v>823</v>
      </c>
      <c r="E13" s="4">
        <v>3441</v>
      </c>
      <c r="F13" s="4">
        <f t="shared" si="0"/>
        <v>32.82340099999999</v>
      </c>
      <c r="G13" s="14"/>
      <c r="H13" s="14"/>
      <c r="L13" s="69">
        <v>1</v>
      </c>
      <c r="M13" s="69">
        <f t="shared" si="2"/>
        <v>0.61429999999999996</v>
      </c>
      <c r="N13" s="69">
        <f t="shared" si="2"/>
        <v>2829</v>
      </c>
      <c r="O13" s="69">
        <f t="shared" si="2"/>
        <v>12112</v>
      </c>
      <c r="V13" s="69">
        <v>45642</v>
      </c>
      <c r="W13" s="69">
        <v>38719</v>
      </c>
      <c r="X13" s="69">
        <v>27454</v>
      </c>
      <c r="Y13" s="69">
        <v>18463</v>
      </c>
      <c r="Z13" s="69">
        <v>12112</v>
      </c>
      <c r="AA13" s="69">
        <v>7986</v>
      </c>
      <c r="AB13" s="69">
        <v>5100</v>
      </c>
      <c r="AC13" s="69">
        <v>4841</v>
      </c>
      <c r="AD13" s="69">
        <v>3845</v>
      </c>
      <c r="AE13" s="69">
        <v>3441</v>
      </c>
      <c r="AF13" s="69">
        <v>3080</v>
      </c>
      <c r="AG13" s="69">
        <v>2749</v>
      </c>
      <c r="AH13" s="69">
        <v>2304</v>
      </c>
      <c r="AI13" s="69">
        <v>2006</v>
      </c>
      <c r="AJ13" s="69">
        <v>1730</v>
      </c>
      <c r="AK13" s="69">
        <v>1535</v>
      </c>
      <c r="AL13" s="69">
        <v>1703</v>
      </c>
    </row>
    <row r="14" spans="2:38">
      <c r="B14" s="4">
        <v>29</v>
      </c>
      <c r="C14" s="4">
        <v>1.0071000000000001</v>
      </c>
      <c r="D14" s="4">
        <v>775</v>
      </c>
      <c r="E14" s="4">
        <v>3080</v>
      </c>
      <c r="F14" s="4">
        <f t="shared" si="0"/>
        <v>30.004998500000028</v>
      </c>
      <c r="G14" s="14"/>
      <c r="H14" s="14"/>
      <c r="L14" s="69">
        <v>1</v>
      </c>
      <c r="M14" s="69">
        <f t="shared" si="2"/>
        <v>0.66710000000000003</v>
      </c>
      <c r="N14" s="69">
        <f t="shared" si="2"/>
        <v>1971</v>
      </c>
      <c r="O14" s="69">
        <f t="shared" si="2"/>
        <v>7986</v>
      </c>
    </row>
    <row r="15" spans="2:38">
      <c r="B15" s="4">
        <v>20</v>
      </c>
      <c r="C15" s="4">
        <v>0.96430000000000005</v>
      </c>
      <c r="D15" s="4">
        <v>733</v>
      </c>
      <c r="E15" s="4">
        <v>2749</v>
      </c>
      <c r="F15" s="4">
        <f t="shared" si="0"/>
        <v>22.104200500000019</v>
      </c>
      <c r="G15" s="14"/>
      <c r="H15" s="14"/>
      <c r="L15" s="69">
        <v>1</v>
      </c>
      <c r="M15" s="69">
        <f t="shared" si="2"/>
        <v>0.67600000000000005</v>
      </c>
      <c r="N15" s="69">
        <f t="shared" si="2"/>
        <v>1265</v>
      </c>
      <c r="O15" s="69">
        <f t="shared" si="2"/>
        <v>5100</v>
      </c>
    </row>
    <row r="16" spans="2:38">
      <c r="B16" s="4">
        <v>12</v>
      </c>
      <c r="C16" s="4">
        <v>0.89</v>
      </c>
      <c r="D16" s="4">
        <v>612</v>
      </c>
      <c r="E16" s="4">
        <v>2304</v>
      </c>
      <c r="F16" s="4">
        <f t="shared" si="0"/>
        <v>29.706350000000015</v>
      </c>
      <c r="G16" s="14"/>
      <c r="H16" s="14"/>
      <c r="L16" s="69">
        <v>1</v>
      </c>
      <c r="M16" s="69">
        <f t="shared" si="2"/>
        <v>0.8357</v>
      </c>
      <c r="N16" s="69">
        <f t="shared" si="2"/>
        <v>1078</v>
      </c>
      <c r="O16" s="69">
        <f t="shared" si="2"/>
        <v>4841</v>
      </c>
    </row>
    <row r="17" spans="2:38">
      <c r="B17" s="4">
        <v>15</v>
      </c>
      <c r="C17" s="4">
        <v>0.88</v>
      </c>
      <c r="D17" s="4">
        <v>560</v>
      </c>
      <c r="E17" s="4">
        <v>2006</v>
      </c>
      <c r="F17" s="4">
        <f t="shared" si="0"/>
        <v>23.524000000000001</v>
      </c>
      <c r="G17" s="14"/>
      <c r="H17" s="14"/>
      <c r="L17" s="69">
        <v>1</v>
      </c>
      <c r="M17" s="69">
        <f t="shared" si="2"/>
        <v>0.9657</v>
      </c>
      <c r="N17" s="69">
        <f t="shared" si="2"/>
        <v>895</v>
      </c>
      <c r="O17" s="69">
        <f t="shared" si="2"/>
        <v>3845</v>
      </c>
    </row>
    <row r="18" spans="2:38">
      <c r="B18" s="4">
        <v>15</v>
      </c>
      <c r="C18" s="4">
        <v>1.0128999999999999</v>
      </c>
      <c r="D18" s="4">
        <v>504</v>
      </c>
      <c r="E18" s="4">
        <v>1730</v>
      </c>
      <c r="F18" s="4">
        <f t="shared" si="0"/>
        <v>6.2459015000000164</v>
      </c>
      <c r="G18" s="14"/>
      <c r="H18" s="14"/>
      <c r="L18" s="69">
        <v>1</v>
      </c>
      <c r="M18" s="69">
        <f t="shared" si="2"/>
        <v>1.1086</v>
      </c>
      <c r="N18" s="69">
        <f t="shared" si="2"/>
        <v>823</v>
      </c>
      <c r="O18" s="69">
        <f t="shared" si="2"/>
        <v>3441</v>
      </c>
    </row>
    <row r="19" spans="2:38">
      <c r="B19" s="4">
        <v>10</v>
      </c>
      <c r="C19" s="4">
        <v>1.1000000000000001</v>
      </c>
      <c r="D19" s="4">
        <v>424</v>
      </c>
      <c r="E19" s="4">
        <v>1535</v>
      </c>
      <c r="F19" s="4">
        <f t="shared" si="0"/>
        <v>5.1033999999999935</v>
      </c>
      <c r="G19" s="14"/>
      <c r="H19" s="14"/>
      <c r="L19" s="69">
        <v>1</v>
      </c>
      <c r="M19" s="69">
        <f t="shared" si="2"/>
        <v>1.0071000000000001</v>
      </c>
      <c r="N19" s="69">
        <f t="shared" si="2"/>
        <v>775</v>
      </c>
      <c r="O19" s="69">
        <f t="shared" si="2"/>
        <v>3080</v>
      </c>
    </row>
    <row r="20" spans="2:38">
      <c r="B20" s="4">
        <v>6</v>
      </c>
      <c r="C20" s="4">
        <v>1.1399999999999999</v>
      </c>
      <c r="D20" s="4">
        <v>370</v>
      </c>
      <c r="E20" s="4">
        <v>1703</v>
      </c>
      <c r="F20" s="4">
        <f t="shared" si="0"/>
        <v>26.770400000000009</v>
      </c>
      <c r="G20" s="14"/>
      <c r="H20" s="14"/>
      <c r="L20" s="69">
        <v>1</v>
      </c>
      <c r="M20" s="69">
        <f t="shared" si="2"/>
        <v>0.96430000000000005</v>
      </c>
      <c r="N20" s="69">
        <f t="shared" si="2"/>
        <v>733</v>
      </c>
      <c r="O20" s="69">
        <f t="shared" si="2"/>
        <v>2749</v>
      </c>
    </row>
    <row r="21" spans="2:38">
      <c r="F21" s="14"/>
      <c r="G21" s="14"/>
      <c r="H21" s="14"/>
      <c r="L21" s="69">
        <v>1</v>
      </c>
      <c r="M21" s="69">
        <f t="shared" si="2"/>
        <v>0.89</v>
      </c>
      <c r="N21" s="69">
        <f t="shared" si="2"/>
        <v>612</v>
      </c>
      <c r="O21" s="69">
        <f t="shared" si="2"/>
        <v>2304</v>
      </c>
    </row>
    <row r="22" spans="2:38">
      <c r="L22" s="69">
        <v>1</v>
      </c>
      <c r="M22" s="69">
        <f t="shared" si="2"/>
        <v>0.88</v>
      </c>
      <c r="N22" s="69">
        <f t="shared" si="2"/>
        <v>560</v>
      </c>
      <c r="O22" s="69">
        <f t="shared" si="2"/>
        <v>2006</v>
      </c>
      <c r="V22" s="69">
        <f t="array" ref="V22:AL22">TRANSPOSE(B4:B20)</f>
        <v>1676</v>
      </c>
      <c r="W22" s="69">
        <v>1163</v>
      </c>
      <c r="X22" s="69">
        <v>641</v>
      </c>
      <c r="Y22" s="69">
        <v>355</v>
      </c>
      <c r="Z22" s="69">
        <v>223</v>
      </c>
      <c r="AA22" s="69">
        <v>144</v>
      </c>
      <c r="AB22" s="69">
        <v>77</v>
      </c>
      <c r="AC22" s="69">
        <v>69</v>
      </c>
      <c r="AD22" s="69">
        <v>42</v>
      </c>
      <c r="AE22" s="69">
        <v>37</v>
      </c>
      <c r="AF22" s="69">
        <v>29</v>
      </c>
      <c r="AG22" s="69">
        <v>20</v>
      </c>
      <c r="AH22" s="69">
        <v>12</v>
      </c>
      <c r="AI22" s="69">
        <v>15</v>
      </c>
      <c r="AJ22" s="69">
        <v>15</v>
      </c>
      <c r="AK22" s="69">
        <v>10</v>
      </c>
      <c r="AL22" s="69">
        <v>6</v>
      </c>
    </row>
    <row r="23" spans="2:38">
      <c r="L23" s="69">
        <v>1</v>
      </c>
      <c r="M23" s="69">
        <f t="shared" si="2"/>
        <v>1.0128999999999999</v>
      </c>
      <c r="N23" s="69">
        <f t="shared" si="2"/>
        <v>504</v>
      </c>
      <c r="O23" s="69">
        <f t="shared" si="2"/>
        <v>1730</v>
      </c>
    </row>
    <row r="24" spans="2:38">
      <c r="L24" s="69">
        <v>1</v>
      </c>
      <c r="M24" s="69">
        <f t="shared" si="2"/>
        <v>1.1000000000000001</v>
      </c>
      <c r="N24" s="69">
        <f t="shared" si="2"/>
        <v>424</v>
      </c>
      <c r="O24" s="69">
        <f t="shared" si="2"/>
        <v>1535</v>
      </c>
    </row>
    <row r="25" spans="2:38">
      <c r="L25" s="69">
        <v>1</v>
      </c>
      <c r="M25" s="69">
        <f t="shared" si="2"/>
        <v>1.1399999999999999</v>
      </c>
      <c r="N25" s="69">
        <f t="shared" si="2"/>
        <v>370</v>
      </c>
      <c r="O25" s="69">
        <f t="shared" si="2"/>
        <v>1703</v>
      </c>
    </row>
    <row r="31" spans="2:38">
      <c r="D31" s="69">
        <f t="array" ref="D31:G34">MMULT(V10:AL13,L9:O25)</f>
        <v>17</v>
      </c>
      <c r="E31" s="69">
        <v>14.038800000000002</v>
      </c>
      <c r="F31" s="69">
        <v>33559</v>
      </c>
      <c r="G31" s="69">
        <v>182710</v>
      </c>
      <c r="O31" s="69">
        <f t="array" ref="O31:R34">MINVERSE(D31:G34)</f>
        <v>11.06385919839237</v>
      </c>
      <c r="P31" s="69">
        <v>-9.8256136243410186</v>
      </c>
      <c r="Q31" s="69">
        <v>-3.5920541709196403E-3</v>
      </c>
      <c r="R31" s="69">
        <v>3.9078301186919466E-4</v>
      </c>
      <c r="Z31" s="69">
        <f t="array" ref="Z31:Z34">MMULT(V10:AL13,B4:B20)</f>
        <v>4534</v>
      </c>
      <c r="AI31" s="69">
        <f t="array" ref="AI31:AI34">MMULT(O31:R34,Z31:Z34)</f>
        <v>113.57575680588343</v>
      </c>
    </row>
    <row r="32" spans="2:38">
      <c r="D32" s="69">
        <v>14.038800000000002</v>
      </c>
      <c r="E32" s="69">
        <v>12.398242420000003</v>
      </c>
      <c r="F32" s="69">
        <v>21959.216599999996</v>
      </c>
      <c r="G32" s="69">
        <v>116114.8958</v>
      </c>
      <c r="O32" s="69">
        <v>-9.825613624341031</v>
      </c>
      <c r="P32" s="69">
        <v>8.8722302290487143</v>
      </c>
      <c r="Q32" s="69">
        <v>3.0746637341390807E-3</v>
      </c>
      <c r="R32" s="69">
        <v>-3.3223509594299704E-4</v>
      </c>
      <c r="Z32" s="69">
        <v>2754.2041999999997</v>
      </c>
      <c r="AI32" s="69">
        <v>-95.465004062105436</v>
      </c>
    </row>
    <row r="33" spans="2:35">
      <c r="D33" s="69">
        <v>33559</v>
      </c>
      <c r="E33" s="69">
        <v>21959.216599999996</v>
      </c>
      <c r="F33" s="69">
        <v>129123029</v>
      </c>
      <c r="G33" s="69">
        <v>788897246</v>
      </c>
      <c r="O33" s="69">
        <v>-3.5920541709196178E-3</v>
      </c>
      <c r="P33" s="69">
        <v>3.0746637341390586E-3</v>
      </c>
      <c r="Q33" s="69">
        <v>1.4743860520953844E-6</v>
      </c>
      <c r="R33" s="69">
        <v>-1.7283449098279706E-7</v>
      </c>
      <c r="Z33" s="69">
        <v>22805267</v>
      </c>
      <c r="AI33" s="69">
        <v>-0.25755699029315338</v>
      </c>
    </row>
    <row r="34" spans="2:35">
      <c r="D34" s="69">
        <v>182710</v>
      </c>
      <c r="E34" s="69">
        <v>116114.8958</v>
      </c>
      <c r="F34" s="69">
        <v>788897246</v>
      </c>
      <c r="G34" s="69">
        <v>4998129324</v>
      </c>
      <c r="O34" s="69">
        <v>3.9078301186919206E-4</v>
      </c>
      <c r="P34" s="69">
        <v>-3.3223509594299433E-4</v>
      </c>
      <c r="Q34" s="69">
        <v>-1.7283449098279714E-7</v>
      </c>
      <c r="R34" s="69">
        <v>2.0913050988122848E-8</v>
      </c>
      <c r="Z34" s="69">
        <v>150798620</v>
      </c>
      <c r="AI34" s="69">
        <v>6.88893945080995E-2</v>
      </c>
    </row>
    <row r="39" spans="2:35" ht="20.25">
      <c r="B39" s="83" t="str">
        <f>"𝑦 ̂="&amp;ROUND(AI31,4)&amp;"+"&amp;ROUND(AI32,4)&amp;"X1"&amp;"+"&amp;ROUND(AI33,4)&amp;"X2"&amp;"+"&amp;ROUND(AI34,4)&amp;"X3"</f>
        <v>𝑦 ̂=113,5758+-95,465X1+-0,2576X2+0,0689X3</v>
      </c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</row>
    <row r="42" spans="2:35" ht="18.75" thickBot="1">
      <c r="N42" s="71" t="s">
        <v>73</v>
      </c>
      <c r="O42" s="69">
        <f>MMULT(V22:AL22,B4:B20)</f>
        <v>4784710</v>
      </c>
    </row>
    <row r="43" spans="2:35">
      <c r="B43" s="39" t="s">
        <v>81</v>
      </c>
      <c r="C43" s="41"/>
      <c r="D43" s="41"/>
      <c r="E43" s="41"/>
      <c r="F43" s="41"/>
      <c r="G43" s="42"/>
    </row>
    <row r="44" spans="2:35">
      <c r="B44" s="43"/>
      <c r="C44" s="14"/>
      <c r="D44" s="14"/>
      <c r="E44" s="14">
        <f>O42-(O44^2*O46)</f>
        <v>3575465.5294117648</v>
      </c>
      <c r="F44" s="14"/>
      <c r="G44" s="45"/>
      <c r="N44" s="69" t="s">
        <v>74</v>
      </c>
      <c r="O44" s="69">
        <f>AVERAGE(B4:B20)</f>
        <v>266.70588235294116</v>
      </c>
    </row>
    <row r="45" spans="2:35">
      <c r="B45" s="43"/>
      <c r="C45" s="14"/>
      <c r="D45" s="14"/>
      <c r="E45" s="14"/>
      <c r="F45" s="14"/>
      <c r="G45" s="45"/>
    </row>
    <row r="46" spans="2:35">
      <c r="B46" s="43"/>
      <c r="C46" s="14"/>
      <c r="D46" s="14"/>
      <c r="E46" s="14">
        <f>ROUND(O50-(O46*O44^2),4)</f>
        <v>3557547.5887000002</v>
      </c>
      <c r="F46" s="14"/>
      <c r="G46" s="45"/>
      <c r="N46" s="71" t="s">
        <v>19</v>
      </c>
      <c r="O46" s="69">
        <v>17</v>
      </c>
    </row>
    <row r="47" spans="2:35">
      <c r="B47" s="43"/>
      <c r="C47" s="14"/>
      <c r="D47" s="14"/>
      <c r="E47" s="14"/>
      <c r="F47" s="14"/>
      <c r="G47" s="45"/>
    </row>
    <row r="48" spans="2:35">
      <c r="B48" s="43"/>
      <c r="C48" s="14"/>
      <c r="D48" s="14"/>
      <c r="E48" s="14">
        <f>ROUND(O42-O50,4)</f>
        <v>17917.940699999999</v>
      </c>
      <c r="F48" s="14"/>
      <c r="G48" s="45"/>
      <c r="O48" s="69">
        <f t="array" ref="O48:R48">TRANSPOSE(AI31:AI34)</f>
        <v>113.57575680588343</v>
      </c>
      <c r="P48" s="69">
        <v>-95.465004062105436</v>
      </c>
      <c r="Q48" s="69">
        <v>-0.25755699029315338</v>
      </c>
      <c r="R48" s="69">
        <v>6.88893945080995E-2</v>
      </c>
    </row>
    <row r="49" spans="2:15">
      <c r="B49" s="43"/>
      <c r="C49" s="14"/>
      <c r="D49" s="14"/>
      <c r="E49" s="14"/>
      <c r="F49" s="14"/>
      <c r="G49" s="45"/>
    </row>
    <row r="50" spans="2:15">
      <c r="B50" s="43"/>
      <c r="C50" s="14"/>
      <c r="D50" s="14"/>
      <c r="E50" s="14"/>
      <c r="F50" s="14"/>
      <c r="G50" s="45"/>
      <c r="O50" s="69">
        <f t="array" ref="O50">MMULT(O48:R48,Z31:Z34)</f>
        <v>4766792.0593222203</v>
      </c>
    </row>
    <row r="51" spans="2:15">
      <c r="B51" s="43"/>
      <c r="C51" s="14"/>
      <c r="D51" s="14"/>
      <c r="E51" s="14">
        <f>E46/C63</f>
        <v>1185849.1962333333</v>
      </c>
      <c r="F51" s="14"/>
      <c r="G51" s="45"/>
    </row>
    <row r="52" spans="2:15">
      <c r="B52" s="43"/>
      <c r="C52" s="14"/>
      <c r="D52" s="14"/>
      <c r="E52" s="14"/>
      <c r="F52" s="14"/>
      <c r="G52" s="45"/>
    </row>
    <row r="53" spans="2:15">
      <c r="B53" s="43"/>
      <c r="C53" s="14"/>
      <c r="D53" s="14"/>
      <c r="E53" s="14"/>
      <c r="F53" s="14"/>
      <c r="G53" s="45"/>
    </row>
    <row r="54" spans="2:15">
      <c r="B54" s="43"/>
      <c r="C54" s="14"/>
      <c r="D54" s="14"/>
      <c r="E54" s="14">
        <f>E48/(O46-(C63+1))</f>
        <v>1378.3031307692306</v>
      </c>
      <c r="F54" s="14"/>
      <c r="G54" s="45"/>
    </row>
    <row r="55" spans="2:15">
      <c r="B55" s="43"/>
      <c r="C55" s="14"/>
      <c r="D55" s="14"/>
      <c r="E55" s="14"/>
      <c r="F55" s="14"/>
      <c r="G55" s="45"/>
    </row>
    <row r="56" spans="2:15">
      <c r="B56" s="43"/>
      <c r="C56" s="14"/>
      <c r="D56" s="14"/>
      <c r="E56" s="14"/>
      <c r="F56" s="14"/>
      <c r="G56" s="45"/>
    </row>
    <row r="57" spans="2:15">
      <c r="B57" s="43"/>
      <c r="C57" s="14"/>
      <c r="D57" s="14"/>
      <c r="E57" s="14">
        <f>E51/E54</f>
        <v>860.3689346417658</v>
      </c>
      <c r="F57" s="14"/>
      <c r="G57" s="45"/>
    </row>
    <row r="58" spans="2:15">
      <c r="B58" s="43"/>
      <c r="C58" s="14"/>
      <c r="D58" s="14"/>
      <c r="E58" s="14"/>
      <c r="F58" s="14"/>
      <c r="G58" s="45"/>
    </row>
    <row r="59" spans="2:15">
      <c r="B59" s="43"/>
      <c r="C59" s="14"/>
      <c r="D59" s="14"/>
      <c r="E59" s="14"/>
      <c r="F59" s="14"/>
      <c r="G59" s="45"/>
    </row>
    <row r="60" spans="2:15">
      <c r="B60" s="43"/>
      <c r="C60" s="14"/>
      <c r="D60" s="14"/>
      <c r="E60" s="14"/>
      <c r="F60" s="14"/>
      <c r="G60" s="45"/>
    </row>
    <row r="61" spans="2:15" ht="13.5" thickBot="1">
      <c r="B61" s="43" t="s">
        <v>44</v>
      </c>
      <c r="C61" s="14"/>
      <c r="D61" s="14"/>
      <c r="E61" s="14"/>
      <c r="F61" s="14"/>
      <c r="G61" s="45"/>
    </row>
    <row r="62" spans="2:15">
      <c r="B62" s="56"/>
      <c r="C62" s="20" t="s">
        <v>48</v>
      </c>
      <c r="D62" s="20" t="s">
        <v>49</v>
      </c>
      <c r="E62" s="20" t="s">
        <v>50</v>
      </c>
      <c r="F62" s="20" t="s">
        <v>51</v>
      </c>
      <c r="G62" s="57"/>
    </row>
    <row r="63" spans="2:15">
      <c r="B63" s="58" t="s">
        <v>45</v>
      </c>
      <c r="C63" s="69">
        <v>3</v>
      </c>
      <c r="D63" s="18">
        <f>E46</f>
        <v>3557547.5887000002</v>
      </c>
      <c r="E63" s="18">
        <f>E51</f>
        <v>1185849.1962333333</v>
      </c>
      <c r="F63" s="18">
        <f>E63/E64</f>
        <v>860.3689346417658</v>
      </c>
      <c r="G63" s="59"/>
    </row>
    <row r="64" spans="2:15">
      <c r="B64" s="58" t="s">
        <v>46</v>
      </c>
      <c r="C64" s="69">
        <v>13</v>
      </c>
      <c r="D64" s="18">
        <f>E48</f>
        <v>17917.940699999999</v>
      </c>
      <c r="E64" s="18">
        <f>E54</f>
        <v>1378.3031307692306</v>
      </c>
      <c r="F64" s="18"/>
      <c r="G64" s="59"/>
    </row>
    <row r="65" spans="2:7" ht="13.5" thickBot="1">
      <c r="B65" s="60" t="s">
        <v>47</v>
      </c>
      <c r="C65" s="28">
        <v>16</v>
      </c>
      <c r="D65" s="19">
        <f>E44</f>
        <v>3575465.5294117648</v>
      </c>
      <c r="E65" s="19"/>
      <c r="F65" s="19"/>
      <c r="G65" s="59"/>
    </row>
    <row r="66" spans="2:7" ht="13.5" thickBot="1">
      <c r="B66" s="47"/>
      <c r="C66" s="28"/>
      <c r="D66" s="28"/>
      <c r="E66" s="28"/>
      <c r="F66" s="28"/>
      <c r="G66" s="49"/>
    </row>
    <row r="67" spans="2:7" ht="13.5" thickBot="1"/>
    <row r="68" spans="2:7">
      <c r="B68" s="39" t="s">
        <v>75</v>
      </c>
      <c r="C68" s="41"/>
      <c r="D68" s="41"/>
      <c r="E68" s="41"/>
      <c r="F68" s="41"/>
      <c r="G68" s="42"/>
    </row>
    <row r="69" spans="2:7">
      <c r="B69" s="43"/>
      <c r="C69" s="14"/>
      <c r="D69" s="14"/>
      <c r="E69" s="14"/>
      <c r="F69" s="14"/>
      <c r="G69" s="45"/>
    </row>
    <row r="70" spans="2:7">
      <c r="B70" s="43"/>
      <c r="C70" s="14"/>
      <c r="D70" s="14"/>
      <c r="E70" s="14"/>
      <c r="F70" s="14"/>
      <c r="G70" s="45"/>
    </row>
    <row r="71" spans="2:7">
      <c r="B71" s="43"/>
      <c r="C71" s="14"/>
      <c r="D71" s="14"/>
      <c r="E71" s="14"/>
      <c r="F71" s="14"/>
      <c r="G71" s="45"/>
    </row>
    <row r="72" spans="2:7">
      <c r="B72" s="43"/>
      <c r="C72" s="14"/>
      <c r="D72" s="14"/>
      <c r="E72" s="14"/>
      <c r="F72" s="14"/>
      <c r="G72" s="45"/>
    </row>
    <row r="73" spans="2:7">
      <c r="B73" s="43"/>
      <c r="C73" s="14"/>
      <c r="D73" s="14"/>
      <c r="E73" s="14"/>
      <c r="F73" s="14"/>
      <c r="G73" s="45"/>
    </row>
    <row r="74" spans="2:7">
      <c r="B74" s="43"/>
      <c r="C74" s="14"/>
      <c r="D74" s="14"/>
      <c r="E74" s="14"/>
      <c r="F74" s="14"/>
      <c r="G74" s="45"/>
    </row>
    <row r="75" spans="2:7">
      <c r="B75" s="43"/>
      <c r="C75" s="14"/>
      <c r="D75" s="14"/>
      <c r="E75" s="14"/>
      <c r="F75" s="14"/>
      <c r="G75" s="45"/>
    </row>
    <row r="76" spans="2:7">
      <c r="B76" s="43"/>
      <c r="C76" s="14"/>
      <c r="D76" s="14"/>
      <c r="E76" s="14"/>
      <c r="F76" s="14"/>
      <c r="G76" s="45"/>
    </row>
    <row r="77" spans="2:7">
      <c r="B77" s="43"/>
      <c r="C77" s="14"/>
      <c r="D77" s="14"/>
      <c r="E77" s="14"/>
      <c r="F77" s="14"/>
      <c r="G77" s="45"/>
    </row>
    <row r="78" spans="2:7">
      <c r="B78" s="43"/>
      <c r="C78" s="29" t="s">
        <v>76</v>
      </c>
      <c r="D78" s="14">
        <f>E46/E44</f>
        <v>0.99498864118130304</v>
      </c>
      <c r="E78" s="14"/>
      <c r="F78" s="14"/>
      <c r="G78" s="45"/>
    </row>
    <row r="79" spans="2:7">
      <c r="B79" s="43"/>
      <c r="C79" s="29" t="s">
        <v>77</v>
      </c>
      <c r="D79" s="14">
        <f>1  -         (       (E48/(O46-C63+1))     /           (E44/(O46-1))              )</f>
        <v>0.99465455059689967</v>
      </c>
      <c r="E79" s="14"/>
      <c r="F79" s="14"/>
      <c r="G79" s="45"/>
    </row>
    <row r="80" spans="2:7" ht="13.5" thickBot="1">
      <c r="B80" s="47"/>
      <c r="C80" s="28"/>
      <c r="D80" s="28"/>
      <c r="E80" s="28"/>
      <c r="F80" s="28"/>
      <c r="G80" s="49"/>
    </row>
    <row r="81" spans="2:37" ht="13.5" thickBot="1"/>
    <row r="82" spans="2:37">
      <c r="B82" s="39" t="s">
        <v>79</v>
      </c>
      <c r="C82" s="41"/>
      <c r="D82" s="41"/>
      <c r="E82" s="41"/>
      <c r="F82" s="41"/>
      <c r="G82" s="41"/>
      <c r="H82" s="41"/>
      <c r="I82" s="41"/>
      <c r="J82" s="41"/>
      <c r="K82" s="42"/>
    </row>
    <row r="83" spans="2:37">
      <c r="B83" s="43"/>
      <c r="C83" s="14"/>
      <c r="D83" s="14"/>
      <c r="E83" s="14"/>
      <c r="F83" s="14"/>
      <c r="G83" s="14"/>
      <c r="H83" s="14"/>
      <c r="I83" s="14"/>
      <c r="J83" s="14"/>
      <c r="K83" s="45"/>
    </row>
    <row r="84" spans="2:37">
      <c r="B84" s="46" t="s">
        <v>80</v>
      </c>
      <c r="C84" s="14">
        <v>0.05</v>
      </c>
      <c r="D84" s="14"/>
      <c r="E84" s="14"/>
      <c r="F84" s="14"/>
      <c r="G84" s="14"/>
      <c r="H84" s="14"/>
      <c r="I84" s="14"/>
      <c r="J84" s="14"/>
      <c r="K84" s="45"/>
    </row>
    <row r="85" spans="2:37">
      <c r="B85" s="43"/>
      <c r="C85" s="14"/>
      <c r="D85" s="14"/>
      <c r="E85" s="14"/>
      <c r="F85" s="14"/>
      <c r="G85" s="14"/>
      <c r="H85" s="14"/>
      <c r="I85" s="14"/>
      <c r="J85" s="14"/>
      <c r="K85" s="45"/>
    </row>
    <row r="86" spans="2:37">
      <c r="B86" s="43" t="str">
        <f>"f(0,05);("&amp;C63&amp;","&amp;C64&amp;")="</f>
        <v>f(0,05);(3,13)=</v>
      </c>
      <c r="C86" s="29"/>
      <c r="D86" s="14">
        <f>ROUND(_xlfn.F.INV.RT(C84,C63,C64),4)</f>
        <v>3.4104999999999999</v>
      </c>
      <c r="E86" s="14"/>
      <c r="F86" s="14"/>
      <c r="G86" s="14"/>
      <c r="H86" s="14"/>
      <c r="I86" s="14"/>
      <c r="J86" s="14"/>
      <c r="K86" s="45"/>
    </row>
    <row r="87" spans="2:37">
      <c r="B87" s="43"/>
      <c r="C87" s="14"/>
      <c r="D87" s="14"/>
      <c r="E87" s="14"/>
      <c r="F87" s="14"/>
      <c r="G87" s="14"/>
      <c r="H87" s="14"/>
      <c r="I87" s="14"/>
      <c r="J87" s="14"/>
      <c r="K87" s="45"/>
    </row>
    <row r="88" spans="2:37">
      <c r="B88" s="43" t="str">
        <f>IF(D86&lt;=F63, "R: Como  " &amp;ROUND(D86,4) &amp;" &lt; "&amp;ROUND(F63,4)&amp;" o modelo é significativo","R: Como  " &amp;ROUND(D86,4) &amp;" &gt; "&amp;ROUND(F63,4)&amp;" o modelo não é significativo" )</f>
        <v>R: Como  3,4105 &lt; 860,3689 o modelo é significativo</v>
      </c>
      <c r="C88" s="14"/>
      <c r="D88" s="14"/>
      <c r="E88" s="14"/>
      <c r="F88" s="14"/>
      <c r="G88" s="14"/>
      <c r="H88" s="14"/>
      <c r="I88" s="14"/>
      <c r="J88" s="14"/>
      <c r="K88" s="45"/>
    </row>
    <row r="89" spans="2:37" ht="13.5" thickBot="1">
      <c r="B89" s="47"/>
      <c r="C89" s="28"/>
      <c r="D89" s="28"/>
      <c r="E89" s="28"/>
      <c r="F89" s="28"/>
      <c r="G89" s="28"/>
      <c r="H89" s="28"/>
      <c r="I89" s="28"/>
      <c r="J89" s="28"/>
      <c r="K89" s="49"/>
    </row>
    <row r="92" spans="2:37" ht="13.5" thickBot="1"/>
    <row r="93" spans="2:37">
      <c r="B93" s="21" t="s">
        <v>78</v>
      </c>
      <c r="C93" s="39"/>
      <c r="D93" s="40" t="s">
        <v>61</v>
      </c>
      <c r="E93" s="41">
        <v>0.95</v>
      </c>
      <c r="F93" s="41"/>
      <c r="G93" s="41"/>
      <c r="H93" s="41"/>
      <c r="I93" s="41"/>
      <c r="J93" s="41"/>
      <c r="K93" s="41"/>
      <c r="L93" s="42"/>
      <c r="O93" s="39"/>
      <c r="P93" s="40" t="s">
        <v>61</v>
      </c>
      <c r="Q93" s="41">
        <v>0.9</v>
      </c>
      <c r="R93" s="41"/>
      <c r="S93" s="41"/>
      <c r="T93" s="41"/>
      <c r="U93" s="41"/>
      <c r="V93" s="41"/>
      <c r="W93" s="41"/>
      <c r="X93" s="42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</row>
    <row r="94" spans="2:37">
      <c r="B94" s="69" t="s">
        <v>82</v>
      </c>
      <c r="C94" s="43"/>
      <c r="D94" s="44" t="s">
        <v>62</v>
      </c>
      <c r="E94" s="14">
        <f>1-E93</f>
        <v>5.0000000000000044E-2</v>
      </c>
      <c r="F94" s="14"/>
      <c r="G94" s="14"/>
      <c r="H94" s="29" t="str">
        <f>B97&amp;"="</f>
        <v>β0=</v>
      </c>
      <c r="I94" s="14">
        <f>AI31</f>
        <v>113.57575680588343</v>
      </c>
      <c r="J94" s="14"/>
      <c r="K94" s="14"/>
      <c r="L94" s="45"/>
      <c r="O94" s="43"/>
      <c r="P94" s="44" t="s">
        <v>62</v>
      </c>
      <c r="Q94" s="14">
        <f>1-Q93</f>
        <v>9.9999999999999978E-2</v>
      </c>
      <c r="R94" s="14"/>
      <c r="S94" s="14"/>
      <c r="T94" s="29" t="str">
        <f>H94</f>
        <v>β0=</v>
      </c>
      <c r="U94" s="29">
        <f>I94</f>
        <v>113.57575680588343</v>
      </c>
      <c r="V94" s="14"/>
      <c r="W94" s="14"/>
      <c r="X94" s="45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</row>
    <row r="95" spans="2:37">
      <c r="B95" s="21" t="s">
        <v>83</v>
      </c>
      <c r="C95" s="43"/>
      <c r="D95" s="14"/>
      <c r="E95" s="14">
        <f>ROUND(_xlfn.T.INV(1-E94/2,17-(6+1)),2)</f>
        <v>2.23</v>
      </c>
      <c r="F95" s="14"/>
      <c r="G95" s="14"/>
      <c r="H95" s="14"/>
      <c r="I95" s="14"/>
      <c r="J95" s="14"/>
      <c r="K95" s="14"/>
      <c r="L95" s="45"/>
      <c r="O95" s="43"/>
      <c r="P95" s="14"/>
      <c r="Q95" s="14">
        <f>ROUND(_xlfn.T.INV(1-Q94/2,17-(6+1)),2)</f>
        <v>1.81</v>
      </c>
      <c r="R95" s="14"/>
      <c r="S95" s="14"/>
      <c r="T95" s="14"/>
      <c r="U95" s="14"/>
      <c r="V95" s="14"/>
      <c r="W95" s="14"/>
      <c r="X95" s="45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</row>
    <row r="96" spans="2:37">
      <c r="B96" s="69" t="s">
        <v>45</v>
      </c>
      <c r="C96" s="43"/>
      <c r="D96" s="14"/>
      <c r="E96" s="14"/>
      <c r="F96" s="14"/>
      <c r="G96" s="14"/>
      <c r="H96" s="71" t="s">
        <v>109</v>
      </c>
      <c r="I96" s="14">
        <f>SQRT(E97*E99)</f>
        <v>123.48826572405231</v>
      </c>
      <c r="J96" s="14"/>
      <c r="K96" s="14"/>
      <c r="L96" s="45"/>
      <c r="O96" s="43"/>
      <c r="P96" s="14"/>
      <c r="Q96" s="14"/>
      <c r="R96" s="14"/>
      <c r="S96" s="14"/>
      <c r="T96" s="76" t="s">
        <v>109</v>
      </c>
      <c r="U96" s="29">
        <f>I96</f>
        <v>123.48826572405231</v>
      </c>
      <c r="V96" s="14"/>
      <c r="W96" s="14"/>
      <c r="X96" s="45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</row>
    <row r="97" spans="2:37">
      <c r="B97" s="21" t="s">
        <v>84</v>
      </c>
      <c r="C97" s="43"/>
      <c r="D97" s="14"/>
      <c r="E97" s="14">
        <f>E54</f>
        <v>1378.3031307692306</v>
      </c>
      <c r="F97" s="14"/>
      <c r="G97" s="14"/>
      <c r="H97" s="14"/>
      <c r="I97" s="14"/>
      <c r="J97" s="14"/>
      <c r="K97" s="14"/>
      <c r="L97" s="45"/>
      <c r="O97" s="43"/>
      <c r="P97" s="14"/>
      <c r="Q97" s="29">
        <f>E97</f>
        <v>1378.3031307692306</v>
      </c>
      <c r="R97" s="14"/>
      <c r="S97" s="14"/>
      <c r="T97" s="14"/>
      <c r="U97" s="14"/>
      <c r="V97" s="14"/>
      <c r="W97" s="14"/>
      <c r="X97" s="45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</row>
    <row r="98" spans="2:37">
      <c r="C98" s="43"/>
      <c r="D98" s="14"/>
      <c r="E98" s="14"/>
      <c r="F98" s="14"/>
      <c r="G98" s="14"/>
      <c r="H98" s="14"/>
      <c r="I98" s="14"/>
      <c r="J98" s="14"/>
      <c r="K98" s="14"/>
      <c r="L98" s="45"/>
      <c r="O98" s="43"/>
      <c r="P98" s="14"/>
      <c r="Q98" s="14"/>
      <c r="R98" s="14"/>
      <c r="S98" s="14"/>
      <c r="T98" s="14"/>
      <c r="U98" s="14"/>
      <c r="V98" s="14"/>
      <c r="W98" s="14"/>
      <c r="X98" s="45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</row>
    <row r="99" spans="2:37">
      <c r="C99" s="43"/>
      <c r="D99" s="14"/>
      <c r="E99" s="14">
        <f>O31</f>
        <v>11.06385919839237</v>
      </c>
      <c r="F99" s="14"/>
      <c r="G99" s="14"/>
      <c r="H99" s="14"/>
      <c r="I99" s="14"/>
      <c r="J99" s="14"/>
      <c r="K99" s="14"/>
      <c r="L99" s="45"/>
      <c r="O99" s="43"/>
      <c r="P99" s="14"/>
      <c r="Q99" s="29">
        <f>E99</f>
        <v>11.06385919839237</v>
      </c>
      <c r="R99" s="14"/>
      <c r="S99" s="14"/>
      <c r="T99" s="14"/>
      <c r="U99" s="14"/>
      <c r="V99" s="14"/>
      <c r="W99" s="14"/>
      <c r="X99" s="45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</row>
    <row r="100" spans="2:37">
      <c r="C100" s="43"/>
      <c r="D100" s="14"/>
      <c r="E100" s="14"/>
      <c r="F100" s="14"/>
      <c r="G100" s="29" t="s">
        <v>67</v>
      </c>
      <c r="H100" s="14">
        <f>I94-E101</f>
        <v>-161.80307575875321</v>
      </c>
      <c r="I100" s="14"/>
      <c r="J100" s="14"/>
      <c r="K100" s="14"/>
      <c r="L100" s="45"/>
      <c r="O100" s="43"/>
      <c r="P100" s="14"/>
      <c r="Q100" s="14"/>
      <c r="R100" s="14"/>
      <c r="S100" s="29" t="s">
        <v>67</v>
      </c>
      <c r="T100" s="14">
        <f>U94-Q101</f>
        <v>-109.93800415465125</v>
      </c>
      <c r="U100" s="14"/>
      <c r="V100" s="14"/>
      <c r="W100" s="14"/>
      <c r="X100" s="45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</row>
    <row r="101" spans="2:37" ht="13.5" thickBot="1">
      <c r="C101" s="47"/>
      <c r="D101" s="48" t="s">
        <v>60</v>
      </c>
      <c r="E101" s="28">
        <f>E95*SQRT(E97*E99)</f>
        <v>275.37883256463664</v>
      </c>
      <c r="F101" s="28"/>
      <c r="G101" s="48" t="s">
        <v>68</v>
      </c>
      <c r="H101" s="28">
        <f>I94+E101</f>
        <v>388.95458937052007</v>
      </c>
      <c r="I101" s="28"/>
      <c r="J101" s="28"/>
      <c r="K101" s="28"/>
      <c r="L101" s="49"/>
      <c r="O101" s="47"/>
      <c r="P101" s="48" t="s">
        <v>60</v>
      </c>
      <c r="Q101" s="28">
        <f>Q95*SQRT(Q97*Q99)</f>
        <v>223.51376096053468</v>
      </c>
      <c r="R101" s="28"/>
      <c r="S101" s="48" t="s">
        <v>68</v>
      </c>
      <c r="T101" s="28">
        <f>U94+Q101</f>
        <v>337.08951776641811</v>
      </c>
      <c r="U101" s="28"/>
      <c r="V101" s="28"/>
      <c r="W101" s="28"/>
      <c r="X101" s="49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</row>
    <row r="102" spans="2:37" ht="13.5" thickBot="1"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</row>
    <row r="103" spans="2:37">
      <c r="B103" s="21" t="s">
        <v>78</v>
      </c>
      <c r="C103" s="39"/>
      <c r="D103" s="40" t="s">
        <v>61</v>
      </c>
      <c r="E103" s="41">
        <v>0.95</v>
      </c>
      <c r="F103" s="41"/>
      <c r="G103" s="41"/>
      <c r="H103" s="41"/>
      <c r="I103" s="41"/>
      <c r="J103" s="41"/>
      <c r="K103" s="41"/>
      <c r="L103" s="42"/>
      <c r="O103" s="39"/>
      <c r="P103" s="40" t="s">
        <v>61</v>
      </c>
      <c r="Q103" s="41">
        <v>0.9</v>
      </c>
      <c r="R103" s="41"/>
      <c r="S103" s="41"/>
      <c r="T103" s="41"/>
      <c r="U103" s="41"/>
      <c r="V103" s="41"/>
      <c r="W103" s="41"/>
      <c r="X103" s="42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</row>
    <row r="104" spans="2:37">
      <c r="B104" s="69" t="s">
        <v>82</v>
      </c>
      <c r="C104" s="43"/>
      <c r="D104" s="44" t="s">
        <v>62</v>
      </c>
      <c r="E104" s="14">
        <f>1-E103</f>
        <v>5.0000000000000044E-2</v>
      </c>
      <c r="F104" s="14"/>
      <c r="G104" s="14"/>
      <c r="H104" s="29" t="str">
        <f>B107&amp;"="</f>
        <v>β1=</v>
      </c>
      <c r="I104" s="14">
        <f>AI32</f>
        <v>-95.465004062105436</v>
      </c>
      <c r="J104" s="14"/>
      <c r="K104" s="14"/>
      <c r="L104" s="45"/>
      <c r="O104" s="43"/>
      <c r="P104" s="44" t="s">
        <v>62</v>
      </c>
      <c r="Q104" s="14">
        <f>1-Q103</f>
        <v>9.9999999999999978E-2</v>
      </c>
      <c r="R104" s="14"/>
      <c r="S104" s="14"/>
      <c r="T104" s="29" t="str">
        <f>H104</f>
        <v>β1=</v>
      </c>
      <c r="U104" s="29">
        <f>I104</f>
        <v>-95.465004062105436</v>
      </c>
      <c r="V104" s="14"/>
      <c r="W104" s="14"/>
      <c r="X104" s="45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</row>
    <row r="105" spans="2:37">
      <c r="B105" s="21" t="s">
        <v>83</v>
      </c>
      <c r="C105" s="43"/>
      <c r="D105" s="14"/>
      <c r="E105" s="14">
        <f>ROUND(_xlfn.T.INV(1-E104/2,120-(6+1)),2)</f>
        <v>1.98</v>
      </c>
      <c r="F105" s="14"/>
      <c r="G105" s="14"/>
      <c r="H105" s="14"/>
      <c r="I105" s="14"/>
      <c r="J105" s="14"/>
      <c r="K105" s="14"/>
      <c r="L105" s="45"/>
      <c r="O105" s="43"/>
      <c r="P105" s="14"/>
      <c r="Q105" s="14">
        <f>ROUND(_xlfn.T.INV(1-Q104/2,120-(6+1)),2)</f>
        <v>1.66</v>
      </c>
      <c r="R105" s="14"/>
      <c r="S105" s="14"/>
      <c r="T105" s="14"/>
      <c r="U105" s="14"/>
      <c r="V105" s="14"/>
      <c r="W105" s="14"/>
      <c r="X105" s="45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</row>
    <row r="106" spans="2:37">
      <c r="B106" s="69" t="s">
        <v>45</v>
      </c>
      <c r="C106" s="43"/>
      <c r="D106" s="14"/>
      <c r="E106" s="14"/>
      <c r="F106" s="14"/>
      <c r="G106" s="14"/>
      <c r="H106" s="71" t="s">
        <v>109</v>
      </c>
      <c r="I106" s="14">
        <f>SQRT(E107*E109)</f>
        <v>110.58310314692409</v>
      </c>
      <c r="J106" s="14"/>
      <c r="K106" s="14"/>
      <c r="L106" s="45"/>
      <c r="O106" s="43"/>
      <c r="P106" s="14"/>
      <c r="Q106" s="14"/>
      <c r="R106" s="14"/>
      <c r="S106" s="14"/>
      <c r="T106" s="76" t="s">
        <v>109</v>
      </c>
      <c r="U106" s="14">
        <f>SQRT(Q107*Q109)</f>
        <v>110.58310314692409</v>
      </c>
      <c r="V106" s="14"/>
      <c r="W106" s="14"/>
      <c r="X106" s="45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</row>
    <row r="107" spans="2:37">
      <c r="B107" s="21" t="s">
        <v>85</v>
      </c>
      <c r="C107" s="43"/>
      <c r="D107" s="14"/>
      <c r="E107" s="14">
        <f>E54</f>
        <v>1378.3031307692306</v>
      </c>
      <c r="F107" s="14"/>
      <c r="G107" s="14"/>
      <c r="H107" s="14"/>
      <c r="I107" s="14"/>
      <c r="J107" s="14"/>
      <c r="K107" s="14"/>
      <c r="L107" s="45"/>
      <c r="O107" s="43"/>
      <c r="P107" s="14"/>
      <c r="Q107" s="29">
        <f>E107</f>
        <v>1378.3031307692306</v>
      </c>
      <c r="R107" s="14"/>
      <c r="S107" s="14"/>
      <c r="T107" s="14"/>
      <c r="U107" s="14"/>
      <c r="V107" s="14"/>
      <c r="W107" s="14"/>
      <c r="X107" s="45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</row>
    <row r="108" spans="2:37">
      <c r="C108" s="43"/>
      <c r="D108" s="14"/>
      <c r="E108" s="14"/>
      <c r="F108" s="14"/>
      <c r="G108" s="14"/>
      <c r="H108" s="14"/>
      <c r="I108" s="14"/>
      <c r="J108" s="14"/>
      <c r="K108" s="14"/>
      <c r="L108" s="45"/>
      <c r="O108" s="43"/>
      <c r="P108" s="14"/>
      <c r="Q108" s="14"/>
      <c r="R108" s="14"/>
      <c r="S108" s="14"/>
      <c r="T108" s="14"/>
      <c r="U108" s="14"/>
      <c r="V108" s="14"/>
      <c r="W108" s="14"/>
      <c r="X108" s="45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</row>
    <row r="109" spans="2:37">
      <c r="C109" s="43"/>
      <c r="D109" s="14"/>
      <c r="E109" s="14">
        <f>P32</f>
        <v>8.8722302290487143</v>
      </c>
      <c r="F109" s="14"/>
      <c r="G109" s="14"/>
      <c r="H109" s="14"/>
      <c r="I109" s="14"/>
      <c r="J109" s="14"/>
      <c r="K109" s="14"/>
      <c r="L109" s="45"/>
      <c r="O109" s="43"/>
      <c r="P109" s="14"/>
      <c r="Q109" s="29">
        <f>E109</f>
        <v>8.8722302290487143</v>
      </c>
      <c r="R109" s="14"/>
      <c r="S109" s="14"/>
      <c r="T109" s="14"/>
      <c r="U109" s="14"/>
      <c r="V109" s="14"/>
      <c r="W109" s="14"/>
      <c r="X109" s="45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</row>
    <row r="110" spans="2:37">
      <c r="C110" s="43"/>
      <c r="D110" s="14"/>
      <c r="E110" s="14"/>
      <c r="F110" s="14"/>
      <c r="G110" s="29" t="s">
        <v>67</v>
      </c>
      <c r="H110" s="14">
        <f>I104-E111</f>
        <v>-314.41954829301517</v>
      </c>
      <c r="I110" s="14"/>
      <c r="J110" s="14"/>
      <c r="K110" s="14"/>
      <c r="L110" s="45"/>
      <c r="O110" s="43"/>
      <c r="P110" s="14"/>
      <c r="Q110" s="14"/>
      <c r="R110" s="14"/>
      <c r="S110" s="29" t="s">
        <v>67</v>
      </c>
      <c r="T110" s="14">
        <f>U104-Q111</f>
        <v>-279.03295528599938</v>
      </c>
      <c r="U110" s="14"/>
      <c r="V110" s="14"/>
      <c r="W110" s="14"/>
      <c r="X110" s="45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</row>
    <row r="111" spans="2:37" ht="13.5" thickBot="1">
      <c r="C111" s="47"/>
      <c r="D111" s="48" t="s">
        <v>60</v>
      </c>
      <c r="E111" s="28">
        <f>E105*SQRT(E107*E109)</f>
        <v>218.9545442309097</v>
      </c>
      <c r="F111" s="28"/>
      <c r="G111" s="48" t="s">
        <v>68</v>
      </c>
      <c r="H111" s="28">
        <f>I104+E111</f>
        <v>123.48954016880427</v>
      </c>
      <c r="I111" s="28"/>
      <c r="J111" s="28"/>
      <c r="K111" s="28"/>
      <c r="L111" s="49"/>
      <c r="O111" s="47"/>
      <c r="P111" s="48" t="s">
        <v>60</v>
      </c>
      <c r="Q111" s="28">
        <f>Q105*SQRT(Q107*Q109)</f>
        <v>183.56795122389397</v>
      </c>
      <c r="R111" s="28"/>
      <c r="S111" s="48" t="s">
        <v>68</v>
      </c>
      <c r="T111" s="28">
        <f>U104+Q111</f>
        <v>88.102947161788535</v>
      </c>
      <c r="U111" s="28"/>
      <c r="V111" s="28"/>
      <c r="W111" s="28"/>
      <c r="X111" s="49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</row>
    <row r="112" spans="2:37" ht="13.5" thickBot="1"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</row>
    <row r="113" spans="2:37">
      <c r="B113" s="21" t="s">
        <v>78</v>
      </c>
      <c r="C113" s="39"/>
      <c r="D113" s="40" t="s">
        <v>61</v>
      </c>
      <c r="E113" s="41">
        <v>0.95</v>
      </c>
      <c r="F113" s="41"/>
      <c r="G113" s="41"/>
      <c r="H113" s="41"/>
      <c r="I113" s="41"/>
      <c r="J113" s="41"/>
      <c r="K113" s="41"/>
      <c r="L113" s="42"/>
      <c r="O113" s="39"/>
      <c r="P113" s="40" t="s">
        <v>61</v>
      </c>
      <c r="Q113" s="41">
        <v>0.9</v>
      </c>
      <c r="R113" s="41"/>
      <c r="S113" s="41"/>
      <c r="T113" s="41"/>
      <c r="U113" s="41"/>
      <c r="V113" s="41"/>
      <c r="W113" s="41"/>
      <c r="X113" s="42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</row>
    <row r="114" spans="2:37">
      <c r="B114" s="69" t="s">
        <v>82</v>
      </c>
      <c r="C114" s="43"/>
      <c r="D114" s="44" t="s">
        <v>62</v>
      </c>
      <c r="E114" s="14">
        <f>1-E113</f>
        <v>5.0000000000000044E-2</v>
      </c>
      <c r="F114" s="14"/>
      <c r="G114" s="14"/>
      <c r="H114" s="29" t="str">
        <f>B117&amp;"="</f>
        <v>β2=</v>
      </c>
      <c r="I114" s="14">
        <f>AI33</f>
        <v>-0.25755699029315338</v>
      </c>
      <c r="J114" s="14"/>
      <c r="K114" s="14"/>
      <c r="L114" s="45"/>
      <c r="O114" s="43"/>
      <c r="P114" s="44" t="s">
        <v>62</v>
      </c>
      <c r="Q114" s="14">
        <f>1-Q113</f>
        <v>9.9999999999999978E-2</v>
      </c>
      <c r="R114" s="14"/>
      <c r="S114" s="14"/>
      <c r="T114" s="29" t="str">
        <f>H114</f>
        <v>β2=</v>
      </c>
      <c r="U114" s="29">
        <f>I114</f>
        <v>-0.25755699029315338</v>
      </c>
      <c r="V114" s="14"/>
      <c r="W114" s="14"/>
      <c r="X114" s="45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</row>
    <row r="115" spans="2:37">
      <c r="B115" s="21" t="s">
        <v>83</v>
      </c>
      <c r="C115" s="43"/>
      <c r="D115" s="14"/>
      <c r="E115" s="14">
        <f>ROUND(_xlfn.T.INV(1-E114/2,17-(6+1)),2)</f>
        <v>2.23</v>
      </c>
      <c r="F115" s="14"/>
      <c r="G115" s="14"/>
      <c r="H115" s="14"/>
      <c r="I115" s="14"/>
      <c r="J115" s="14"/>
      <c r="K115" s="14"/>
      <c r="L115" s="45"/>
      <c r="O115" s="43"/>
      <c r="P115" s="14"/>
      <c r="Q115" s="14">
        <f>ROUND(_xlfn.T.INV(1-Q114/2,17-(6+1)),2)</f>
        <v>1.81</v>
      </c>
      <c r="R115" s="14"/>
      <c r="S115" s="14"/>
      <c r="T115" s="14"/>
      <c r="U115" s="14"/>
      <c r="V115" s="14"/>
      <c r="W115" s="14"/>
      <c r="X115" s="45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</row>
    <row r="116" spans="2:37">
      <c r="B116" s="69" t="s">
        <v>45</v>
      </c>
      <c r="C116" s="43"/>
      <c r="D116" s="14"/>
      <c r="E116" s="14"/>
      <c r="F116" s="14"/>
      <c r="G116" s="14"/>
      <c r="H116" s="71" t="s">
        <v>109</v>
      </c>
      <c r="I116" s="14">
        <f>SQRT(E117*E119)</f>
        <v>4.5079384551761068E-2</v>
      </c>
      <c r="J116" s="14"/>
      <c r="K116" s="14"/>
      <c r="L116" s="45"/>
      <c r="O116" s="43"/>
      <c r="P116" s="14"/>
      <c r="Q116" s="14"/>
      <c r="R116" s="14"/>
      <c r="S116" s="14"/>
      <c r="T116" s="76" t="s">
        <v>109</v>
      </c>
      <c r="U116" s="29">
        <f>I116</f>
        <v>4.5079384551761068E-2</v>
      </c>
      <c r="V116" s="14"/>
      <c r="W116" s="14"/>
      <c r="X116" s="45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</row>
    <row r="117" spans="2:37">
      <c r="B117" s="21" t="s">
        <v>86</v>
      </c>
      <c r="C117" s="43"/>
      <c r="D117" s="14"/>
      <c r="E117" s="14">
        <f>E54</f>
        <v>1378.3031307692306</v>
      </c>
      <c r="F117" s="14"/>
      <c r="G117" s="14"/>
      <c r="H117" s="14"/>
      <c r="I117" s="14"/>
      <c r="J117" s="14"/>
      <c r="K117" s="14"/>
      <c r="L117" s="45"/>
      <c r="O117" s="43"/>
      <c r="P117" s="14"/>
      <c r="Q117" s="29">
        <f>E117</f>
        <v>1378.3031307692306</v>
      </c>
      <c r="R117" s="14"/>
      <c r="S117" s="14"/>
      <c r="T117" s="14"/>
      <c r="U117" s="14"/>
      <c r="V117" s="14"/>
      <c r="W117" s="14"/>
      <c r="X117" s="45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</row>
    <row r="118" spans="2:37">
      <c r="C118" s="43"/>
      <c r="D118" s="14"/>
      <c r="E118" s="14"/>
      <c r="F118" s="14"/>
      <c r="G118" s="14"/>
      <c r="H118" s="14"/>
      <c r="I118" s="14"/>
      <c r="J118" s="14"/>
      <c r="K118" s="14"/>
      <c r="L118" s="45"/>
      <c r="O118" s="43"/>
      <c r="P118" s="14"/>
      <c r="Q118" s="14"/>
      <c r="R118" s="14"/>
      <c r="S118" s="14"/>
      <c r="T118" s="14"/>
      <c r="U118" s="14"/>
      <c r="V118" s="14"/>
      <c r="W118" s="14"/>
      <c r="X118" s="45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</row>
    <row r="119" spans="2:37">
      <c r="C119" s="43"/>
      <c r="D119" s="14"/>
      <c r="E119" s="14">
        <f>Q33</f>
        <v>1.4743860520953844E-6</v>
      </c>
      <c r="F119" s="14"/>
      <c r="G119" s="14"/>
      <c r="H119" s="14"/>
      <c r="I119" s="14"/>
      <c r="J119" s="14"/>
      <c r="K119" s="14"/>
      <c r="L119" s="45"/>
      <c r="O119" s="43"/>
      <c r="P119" s="14"/>
      <c r="Q119" s="29">
        <f>E119</f>
        <v>1.4743860520953844E-6</v>
      </c>
      <c r="R119" s="14"/>
      <c r="S119" s="14"/>
      <c r="T119" s="14"/>
      <c r="U119" s="14"/>
      <c r="V119" s="14"/>
      <c r="W119" s="14"/>
      <c r="X119" s="45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</row>
    <row r="120" spans="2:37">
      <c r="C120" s="43"/>
      <c r="D120" s="14"/>
      <c r="E120" s="14"/>
      <c r="F120" s="14"/>
      <c r="G120" s="29" t="s">
        <v>67</v>
      </c>
      <c r="H120" s="14">
        <f>I114-E121</f>
        <v>-0.35808401784358057</v>
      </c>
      <c r="I120" s="14"/>
      <c r="J120" s="14"/>
      <c r="K120" s="14"/>
      <c r="L120" s="45"/>
      <c r="O120" s="43"/>
      <c r="P120" s="14"/>
      <c r="Q120" s="14"/>
      <c r="R120" s="14"/>
      <c r="S120" s="29" t="s">
        <v>67</v>
      </c>
      <c r="T120" s="14">
        <f>U114-Q121</f>
        <v>-0.33915067633184093</v>
      </c>
      <c r="U120" s="14"/>
      <c r="V120" s="14"/>
      <c r="W120" s="14"/>
      <c r="X120" s="45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</row>
    <row r="121" spans="2:37" ht="13.5" thickBot="1">
      <c r="C121" s="47"/>
      <c r="D121" s="48" t="s">
        <v>60</v>
      </c>
      <c r="E121" s="28">
        <f>E115*SQRT(E117*E119)</f>
        <v>0.10052702755042718</v>
      </c>
      <c r="F121" s="28"/>
      <c r="G121" s="48" t="s">
        <v>68</v>
      </c>
      <c r="H121" s="28">
        <f>I114+E121</f>
        <v>-0.15702996274272618</v>
      </c>
      <c r="I121" s="28"/>
      <c r="J121" s="28"/>
      <c r="K121" s="28"/>
      <c r="L121" s="49"/>
      <c r="O121" s="47"/>
      <c r="P121" s="48" t="s">
        <v>60</v>
      </c>
      <c r="Q121" s="28">
        <f>Q115*SQRT(Q117*Q119)</f>
        <v>8.1593686038687538E-2</v>
      </c>
      <c r="R121" s="28"/>
      <c r="S121" s="48" t="s">
        <v>68</v>
      </c>
      <c r="T121" s="28">
        <f>U114+Q121</f>
        <v>-0.17596330425446582</v>
      </c>
      <c r="U121" s="28"/>
      <c r="V121" s="28"/>
      <c r="W121" s="28"/>
      <c r="X121" s="49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</row>
    <row r="122" spans="2:37" ht="13.5" thickBot="1"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</row>
    <row r="123" spans="2:37">
      <c r="B123" s="21" t="s">
        <v>78</v>
      </c>
      <c r="C123" s="39"/>
      <c r="D123" s="40" t="s">
        <v>61</v>
      </c>
      <c r="E123" s="41">
        <v>0.95</v>
      </c>
      <c r="F123" s="41"/>
      <c r="G123" s="41"/>
      <c r="H123" s="41"/>
      <c r="I123" s="41"/>
      <c r="J123" s="41"/>
      <c r="K123" s="41"/>
      <c r="L123" s="42"/>
      <c r="O123" s="39"/>
      <c r="P123" s="40" t="s">
        <v>61</v>
      </c>
      <c r="Q123" s="41">
        <v>0.9</v>
      </c>
      <c r="R123" s="41"/>
      <c r="S123" s="41"/>
      <c r="T123" s="41"/>
      <c r="U123" s="41"/>
      <c r="V123" s="41"/>
      <c r="W123" s="41"/>
      <c r="X123" s="42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</row>
    <row r="124" spans="2:37">
      <c r="B124" s="69" t="s">
        <v>82</v>
      </c>
      <c r="C124" s="43"/>
      <c r="D124" s="44" t="s">
        <v>62</v>
      </c>
      <c r="E124" s="14">
        <f>1-E123</f>
        <v>5.0000000000000044E-2</v>
      </c>
      <c r="F124" s="14"/>
      <c r="G124" s="14"/>
      <c r="H124" s="29" t="str">
        <f>B127&amp;"="</f>
        <v>β3=</v>
      </c>
      <c r="I124" s="14">
        <f>AI34</f>
        <v>6.88893945080995E-2</v>
      </c>
      <c r="J124" s="14"/>
      <c r="K124" s="14"/>
      <c r="L124" s="45"/>
      <c r="O124" s="43"/>
      <c r="P124" s="44" t="s">
        <v>62</v>
      </c>
      <c r="Q124" s="14">
        <f>1-Q123</f>
        <v>9.9999999999999978E-2</v>
      </c>
      <c r="R124" s="14"/>
      <c r="S124" s="14"/>
      <c r="T124" s="29" t="str">
        <f>H124</f>
        <v>β3=</v>
      </c>
      <c r="U124" s="29">
        <f>I124</f>
        <v>6.88893945080995E-2</v>
      </c>
      <c r="V124" s="14"/>
      <c r="W124" s="14"/>
      <c r="X124" s="45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</row>
    <row r="125" spans="2:37">
      <c r="B125" s="21" t="s">
        <v>83</v>
      </c>
      <c r="C125" s="43"/>
      <c r="D125" s="14"/>
      <c r="E125" s="14">
        <f>ROUND(_xlfn.T.INV(1-E124/2,17-(6+1)),2)</f>
        <v>2.23</v>
      </c>
      <c r="F125" s="14"/>
      <c r="G125" s="14"/>
      <c r="H125" s="14"/>
      <c r="I125" s="14"/>
      <c r="J125" s="14"/>
      <c r="K125" s="14"/>
      <c r="L125" s="45"/>
      <c r="O125" s="43"/>
      <c r="P125" s="14"/>
      <c r="Q125" s="14">
        <f>ROUND(_xlfn.T.INV(1-Q124/2,17-(6+1)),2)</f>
        <v>1.81</v>
      </c>
      <c r="R125" s="14"/>
      <c r="S125" s="14"/>
      <c r="T125" s="14"/>
      <c r="U125" s="14"/>
      <c r="V125" s="14"/>
      <c r="W125" s="14"/>
      <c r="X125" s="45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</row>
    <row r="126" spans="2:37">
      <c r="B126" s="69" t="s">
        <v>45</v>
      </c>
      <c r="C126" s="43"/>
      <c r="D126" s="14"/>
      <c r="E126" s="14"/>
      <c r="F126" s="14"/>
      <c r="G126" s="14"/>
      <c r="H126" s="71" t="s">
        <v>109</v>
      </c>
      <c r="I126" s="14">
        <f>SQRT(E127*E129)</f>
        <v>5.3688475160751465E-3</v>
      </c>
      <c r="J126" s="14"/>
      <c r="K126" s="14"/>
      <c r="L126" s="45"/>
      <c r="O126" s="43"/>
      <c r="P126" s="14"/>
      <c r="Q126" s="14"/>
      <c r="R126" s="14"/>
      <c r="S126" s="14"/>
      <c r="T126" s="76" t="s">
        <v>109</v>
      </c>
      <c r="U126" s="14">
        <f>SQRT(Q127*Q129)</f>
        <v>5.3688475160751465E-3</v>
      </c>
      <c r="V126" s="14"/>
      <c r="W126" s="14"/>
      <c r="X126" s="45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</row>
    <row r="127" spans="2:37">
      <c r="B127" s="21" t="s">
        <v>87</v>
      </c>
      <c r="C127" s="43"/>
      <c r="D127" s="14"/>
      <c r="E127" s="14">
        <f>E54</f>
        <v>1378.3031307692306</v>
      </c>
      <c r="F127" s="14"/>
      <c r="G127" s="14"/>
      <c r="H127" s="14"/>
      <c r="I127" s="14"/>
      <c r="J127" s="14"/>
      <c r="K127" s="14"/>
      <c r="L127" s="45"/>
      <c r="O127" s="43"/>
      <c r="P127" s="14"/>
      <c r="Q127" s="29">
        <f>E127</f>
        <v>1378.3031307692306</v>
      </c>
      <c r="R127" s="14"/>
      <c r="S127" s="14"/>
      <c r="T127" s="14"/>
      <c r="U127" s="14"/>
      <c r="V127" s="14"/>
      <c r="W127" s="14"/>
      <c r="X127" s="45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</row>
    <row r="128" spans="2:37">
      <c r="C128" s="43"/>
      <c r="D128" s="14"/>
      <c r="E128" s="14"/>
      <c r="F128" s="14"/>
      <c r="G128" s="14"/>
      <c r="H128" s="14"/>
      <c r="I128" s="14"/>
      <c r="J128" s="14"/>
      <c r="K128" s="14"/>
      <c r="L128" s="45"/>
      <c r="O128" s="43"/>
      <c r="P128" s="14"/>
      <c r="Q128" s="14"/>
      <c r="R128" s="14"/>
      <c r="S128" s="14"/>
      <c r="T128" s="14"/>
      <c r="U128" s="14"/>
      <c r="V128" s="14"/>
      <c r="W128" s="14"/>
      <c r="X128" s="45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</row>
    <row r="129" spans="2:37">
      <c r="C129" s="43"/>
      <c r="D129" s="14"/>
      <c r="E129" s="14">
        <f>R34</f>
        <v>2.0913050988122848E-8</v>
      </c>
      <c r="F129" s="14"/>
      <c r="G129" s="14"/>
      <c r="H129" s="14"/>
      <c r="I129" s="14"/>
      <c r="J129" s="14"/>
      <c r="K129" s="14"/>
      <c r="L129" s="45"/>
      <c r="O129" s="43"/>
      <c r="P129" s="14"/>
      <c r="Q129" s="29">
        <f>E129</f>
        <v>2.0913050988122848E-8</v>
      </c>
      <c r="R129" s="14"/>
      <c r="S129" s="14"/>
      <c r="T129" s="14"/>
      <c r="U129" s="14"/>
      <c r="V129" s="14"/>
      <c r="W129" s="14"/>
      <c r="X129" s="45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</row>
    <row r="130" spans="2:37">
      <c r="C130" s="43"/>
      <c r="D130" s="14"/>
      <c r="E130" s="14"/>
      <c r="F130" s="14"/>
      <c r="G130" s="29" t="s">
        <v>67</v>
      </c>
      <c r="H130" s="14">
        <f>I124-E131</f>
        <v>5.6916864547251922E-2</v>
      </c>
      <c r="I130" s="14"/>
      <c r="J130" s="14"/>
      <c r="K130" s="14"/>
      <c r="L130" s="45"/>
      <c r="O130" s="43"/>
      <c r="P130" s="14"/>
      <c r="Q130" s="14"/>
      <c r="R130" s="14"/>
      <c r="S130" s="29" t="s">
        <v>67</v>
      </c>
      <c r="T130" s="14">
        <f>U124-Q131</f>
        <v>5.9171780504003485E-2</v>
      </c>
      <c r="U130" s="14"/>
      <c r="V130" s="14"/>
      <c r="W130" s="14"/>
      <c r="X130" s="45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</row>
    <row r="131" spans="2:37" ht="13.5" thickBot="1">
      <c r="C131" s="47"/>
      <c r="D131" s="48" t="s">
        <v>60</v>
      </c>
      <c r="E131" s="28">
        <f>E125*SQRT(E127*E129)</f>
        <v>1.1972529960847576E-2</v>
      </c>
      <c r="F131" s="28"/>
      <c r="G131" s="48" t="s">
        <v>68</v>
      </c>
      <c r="H131" s="28">
        <f>I124+E131</f>
        <v>8.0861924468947077E-2</v>
      </c>
      <c r="I131" s="28"/>
      <c r="J131" s="28"/>
      <c r="K131" s="28"/>
      <c r="L131" s="49"/>
      <c r="O131" s="47"/>
      <c r="P131" s="48" t="s">
        <v>60</v>
      </c>
      <c r="Q131" s="28">
        <f>Q125*SQRT(Q127*Q129)</f>
        <v>9.7176140040960163E-3</v>
      </c>
      <c r="R131" s="28"/>
      <c r="S131" s="48" t="s">
        <v>68</v>
      </c>
      <c r="T131" s="28">
        <f>U124+Q131</f>
        <v>7.8607008512195514E-2</v>
      </c>
      <c r="U131" s="28"/>
      <c r="V131" s="28"/>
      <c r="W131" s="28"/>
      <c r="X131" s="49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</row>
    <row r="132" spans="2:37" ht="13.5" thickBot="1"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</row>
    <row r="133" spans="2:37">
      <c r="B133" s="21" t="s">
        <v>78</v>
      </c>
      <c r="C133" s="39"/>
      <c r="D133" s="40" t="s">
        <v>61</v>
      </c>
      <c r="E133" s="41">
        <v>0.95</v>
      </c>
      <c r="F133" s="41"/>
      <c r="G133" s="64" t="s">
        <v>95</v>
      </c>
      <c r="H133" s="41">
        <f>C4</f>
        <v>0.68710000000000004</v>
      </c>
      <c r="I133" s="41"/>
      <c r="J133" s="41">
        <f>E54</f>
        <v>1378.3031307692306</v>
      </c>
      <c r="K133" s="41"/>
      <c r="L133" s="42"/>
      <c r="O133" s="39"/>
      <c r="P133" s="40" t="s">
        <v>61</v>
      </c>
      <c r="Q133" s="41">
        <v>0.9</v>
      </c>
      <c r="R133" s="41"/>
      <c r="S133" s="64" t="s">
        <v>95</v>
      </c>
      <c r="T133" s="64">
        <f>H133</f>
        <v>0.68710000000000004</v>
      </c>
      <c r="U133" s="41"/>
      <c r="V133" s="64">
        <f>J133</f>
        <v>1378.3031307692306</v>
      </c>
      <c r="W133" s="41"/>
      <c r="X133" s="42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</row>
    <row r="134" spans="2:37">
      <c r="B134" s="21" t="s">
        <v>91</v>
      </c>
      <c r="C134" s="43"/>
      <c r="D134" s="44" t="s">
        <v>62</v>
      </c>
      <c r="E134" s="14">
        <f>1-E133</f>
        <v>5.0000000000000044E-2</v>
      </c>
      <c r="F134" s="14"/>
      <c r="G134" s="29" t="s">
        <v>96</v>
      </c>
      <c r="H134" s="14">
        <f>D4</f>
        <v>6117</v>
      </c>
      <c r="I134" s="14"/>
      <c r="J134" s="14"/>
      <c r="K134" s="14"/>
      <c r="L134" s="45"/>
      <c r="O134" s="43"/>
      <c r="P134" s="44" t="s">
        <v>62</v>
      </c>
      <c r="Q134" s="14">
        <f>1-Q133</f>
        <v>9.9999999999999978E-2</v>
      </c>
      <c r="R134" s="14"/>
      <c r="S134" s="29" t="s">
        <v>96</v>
      </c>
      <c r="T134" s="29">
        <f>H134</f>
        <v>6117</v>
      </c>
      <c r="U134" s="14"/>
      <c r="V134" s="14"/>
      <c r="W134" s="14"/>
      <c r="X134" s="45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</row>
    <row r="135" spans="2:37">
      <c r="B135" s="21" t="s">
        <v>92</v>
      </c>
      <c r="C135" s="43"/>
      <c r="D135" s="14"/>
      <c r="E135" s="14">
        <f>ROUND(_xlfn.T.INV(1-E134/2,17-(6+1)),2)</f>
        <v>2.23</v>
      </c>
      <c r="F135" s="14"/>
      <c r="G135" s="29" t="s">
        <v>97</v>
      </c>
      <c r="H135" s="14">
        <f>E4</f>
        <v>45642</v>
      </c>
      <c r="I135" s="14"/>
      <c r="J135" s="14"/>
      <c r="K135" s="14"/>
      <c r="L135" s="45"/>
      <c r="O135" s="43"/>
      <c r="P135" s="14"/>
      <c r="Q135" s="14">
        <f>ROUND(_xlfn.T.INV(1-Q134/2,17-(6+1)),2)</f>
        <v>1.81</v>
      </c>
      <c r="R135" s="14"/>
      <c r="S135" s="29" t="s">
        <v>97</v>
      </c>
      <c r="T135" s="29">
        <f>H135</f>
        <v>45642</v>
      </c>
      <c r="U135" s="14"/>
      <c r="V135" s="14"/>
      <c r="W135" s="14"/>
      <c r="X135" s="45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</row>
    <row r="136" spans="2:37">
      <c r="B136" s="21" t="s">
        <v>93</v>
      </c>
      <c r="C136" s="43"/>
      <c r="D136" s="14"/>
      <c r="E136" s="14"/>
      <c r="F136" s="14"/>
      <c r="G136" s="14"/>
      <c r="H136" s="14"/>
      <c r="I136" s="14"/>
      <c r="J136" s="14"/>
      <c r="K136" s="14">
        <f>E137</f>
        <v>1</v>
      </c>
      <c r="L136" s="45"/>
      <c r="O136" s="43"/>
      <c r="P136" s="14"/>
      <c r="Q136" s="14"/>
      <c r="R136" s="14"/>
      <c r="S136" s="14"/>
      <c r="T136" s="14"/>
      <c r="U136" s="14"/>
      <c r="V136" s="14"/>
      <c r="W136" s="14">
        <f>Q137</f>
        <v>1</v>
      </c>
      <c r="X136" s="45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</row>
    <row r="137" spans="2:37">
      <c r="B137" s="21" t="s">
        <v>94</v>
      </c>
      <c r="C137" s="43"/>
      <c r="D137" s="14"/>
      <c r="E137" s="14">
        <v>1</v>
      </c>
      <c r="F137" s="14">
        <f>H133</f>
        <v>0.68710000000000004</v>
      </c>
      <c r="G137" s="14">
        <f>H134</f>
        <v>6117</v>
      </c>
      <c r="H137" s="14">
        <f>H135</f>
        <v>45642</v>
      </c>
      <c r="I137" s="14"/>
      <c r="J137" s="14"/>
      <c r="K137" s="14">
        <f>F137</f>
        <v>0.68710000000000004</v>
      </c>
      <c r="L137" s="45"/>
      <c r="O137" s="43"/>
      <c r="P137" s="14"/>
      <c r="Q137" s="14">
        <v>1</v>
      </c>
      <c r="R137" s="14">
        <f>T133</f>
        <v>0.68710000000000004</v>
      </c>
      <c r="S137" s="14">
        <f>T134</f>
        <v>6117</v>
      </c>
      <c r="T137" s="14">
        <f>T135</f>
        <v>45642</v>
      </c>
      <c r="U137" s="14"/>
      <c r="V137" s="14"/>
      <c r="W137" s="14">
        <f>R137</f>
        <v>0.68710000000000004</v>
      </c>
      <c r="X137" s="45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</row>
    <row r="138" spans="2:37">
      <c r="C138" s="43"/>
      <c r="D138" s="14"/>
      <c r="E138" s="14"/>
      <c r="F138" s="14"/>
      <c r="G138" s="14"/>
      <c r="H138" s="14"/>
      <c r="I138" s="14"/>
      <c r="J138" s="14"/>
      <c r="K138" s="14">
        <f>G137</f>
        <v>6117</v>
      </c>
      <c r="L138" s="45"/>
      <c r="O138" s="43"/>
      <c r="P138" s="14"/>
      <c r="Q138" s="14"/>
      <c r="R138" s="14"/>
      <c r="S138" s="14"/>
      <c r="T138" s="14"/>
      <c r="U138" s="14"/>
      <c r="V138" s="14"/>
      <c r="W138" s="14">
        <f>S137</f>
        <v>6117</v>
      </c>
      <c r="X138" s="45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</row>
    <row r="139" spans="2:37">
      <c r="C139" s="43"/>
      <c r="D139" s="14"/>
      <c r="E139" s="14">
        <f>ROUND(MMULT(E137:H137,AI31:AI34),4)</f>
        <v>1616.7554</v>
      </c>
      <c r="F139" s="14"/>
      <c r="G139" s="14"/>
      <c r="H139" s="14"/>
      <c r="I139" s="14"/>
      <c r="J139" s="14"/>
      <c r="K139" s="14">
        <f>H137</f>
        <v>45642</v>
      </c>
      <c r="L139" s="45"/>
      <c r="O139" s="43"/>
      <c r="P139" s="14"/>
      <c r="Q139" s="29">
        <f>E139</f>
        <v>1616.7554</v>
      </c>
      <c r="R139" s="14"/>
      <c r="S139" s="14"/>
      <c r="T139" s="14"/>
      <c r="U139" s="14"/>
      <c r="V139" s="14"/>
      <c r="W139" s="14">
        <f>T137</f>
        <v>45642</v>
      </c>
      <c r="X139" s="45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</row>
    <row r="140" spans="2:37">
      <c r="C140" s="43"/>
      <c r="D140" s="14"/>
      <c r="E140" s="14"/>
      <c r="F140" s="14"/>
      <c r="G140" s="14"/>
      <c r="H140" s="14"/>
      <c r="I140" s="14"/>
      <c r="J140" s="14"/>
      <c r="K140" s="14"/>
      <c r="L140" s="45"/>
      <c r="O140" s="43"/>
      <c r="P140" s="14"/>
      <c r="Q140" s="14"/>
      <c r="R140" s="14"/>
      <c r="S140" s="14"/>
      <c r="T140" s="14"/>
      <c r="U140" s="14"/>
      <c r="V140" s="14"/>
      <c r="W140" s="14"/>
      <c r="X140" s="45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</row>
    <row r="141" spans="2:37">
      <c r="C141" s="43"/>
      <c r="D141" s="14"/>
      <c r="E141" s="14">
        <f>MMULT(MMULT(E137:H137,O31:R34),K136:K139)</f>
        <v>0.7105225016303045</v>
      </c>
      <c r="F141" s="14"/>
      <c r="G141" s="14"/>
      <c r="H141" s="14"/>
      <c r="I141" s="14"/>
      <c r="J141" s="14"/>
      <c r="K141" s="14"/>
      <c r="L141" s="45"/>
      <c r="O141" s="43"/>
      <c r="P141" s="14"/>
      <c r="Q141" s="29">
        <f>E141</f>
        <v>0.7105225016303045</v>
      </c>
      <c r="R141" s="14"/>
      <c r="S141" s="14"/>
      <c r="T141" s="14"/>
      <c r="U141" s="14"/>
      <c r="V141" s="14"/>
      <c r="W141" s="14"/>
      <c r="X141" s="45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</row>
    <row r="142" spans="2:37">
      <c r="C142" s="43"/>
      <c r="D142" s="14"/>
      <c r="E142" s="14"/>
      <c r="F142" s="14"/>
      <c r="G142" s="14"/>
      <c r="H142" s="14"/>
      <c r="I142" s="14"/>
      <c r="J142" s="14"/>
      <c r="K142" s="14"/>
      <c r="L142" s="45"/>
      <c r="O142" s="43"/>
      <c r="P142" s="14"/>
      <c r="Q142" s="14"/>
      <c r="R142" s="14"/>
      <c r="S142" s="14"/>
      <c r="T142" s="14"/>
      <c r="U142" s="14"/>
      <c r="V142" s="14"/>
      <c r="W142" s="14"/>
      <c r="X142" s="45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</row>
    <row r="143" spans="2:37">
      <c r="C143" s="43"/>
      <c r="D143" s="14"/>
      <c r="E143" s="14">
        <f>J133*E141</f>
        <v>979.31538847903448</v>
      </c>
      <c r="F143" s="14"/>
      <c r="G143" s="14"/>
      <c r="H143" s="14"/>
      <c r="I143" s="14"/>
      <c r="J143" s="14"/>
      <c r="K143" s="14"/>
      <c r="L143" s="45"/>
      <c r="O143" s="43"/>
      <c r="P143" s="14"/>
      <c r="Q143" s="14">
        <f>V133*Q141</f>
        <v>979.31538847903448</v>
      </c>
      <c r="R143" s="14"/>
      <c r="S143" s="14"/>
      <c r="T143" s="14"/>
      <c r="U143" s="14"/>
      <c r="V143" s="14"/>
      <c r="W143" s="14"/>
      <c r="X143" s="45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</row>
    <row r="144" spans="2:37" ht="15.75">
      <c r="C144" s="43"/>
      <c r="D144" s="14"/>
      <c r="E144" s="14"/>
      <c r="F144" s="14"/>
      <c r="G144" s="29" t="s">
        <v>67</v>
      </c>
      <c r="H144" s="14">
        <f>E139-E145</f>
        <v>1546.9697000000001</v>
      </c>
      <c r="I144" s="14"/>
      <c r="J144" s="69" t="s">
        <v>98</v>
      </c>
      <c r="K144" s="65" t="str">
        <f>"]"&amp;H144&amp;";"&amp;H145&amp;"["</f>
        <v>]1546,9697;1686,5411[</v>
      </c>
      <c r="L144" s="45"/>
      <c r="O144" s="43"/>
      <c r="P144" s="14"/>
      <c r="Q144" s="14"/>
      <c r="R144" s="14"/>
      <c r="S144" s="29" t="s">
        <v>67</v>
      </c>
      <c r="T144" s="14">
        <f>Q139-Q145</f>
        <v>1560.1132</v>
      </c>
      <c r="U144" s="14"/>
      <c r="V144" s="14" t="s">
        <v>139</v>
      </c>
      <c r="W144" s="75" t="str">
        <f>"]"&amp;T144&amp;";"&amp;T145&amp;"["</f>
        <v>]1560,1132;1673,3976[</v>
      </c>
      <c r="X144" s="45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</row>
    <row r="145" spans="2:37" ht="13.5" thickBot="1">
      <c r="C145" s="47"/>
      <c r="D145" s="48" t="s">
        <v>60</v>
      </c>
      <c r="E145" s="28">
        <f>ROUND(E135*SQRT(E143),4)</f>
        <v>69.785700000000006</v>
      </c>
      <c r="F145" s="28"/>
      <c r="G145" s="48" t="s">
        <v>68</v>
      </c>
      <c r="H145" s="28">
        <f>E139+E145</f>
        <v>1686.5410999999999</v>
      </c>
      <c r="I145" s="28"/>
      <c r="J145" s="28"/>
      <c r="K145" s="28"/>
      <c r="L145" s="49"/>
      <c r="O145" s="47"/>
      <c r="P145" s="48" t="s">
        <v>60</v>
      </c>
      <c r="Q145" s="28">
        <f>ROUND(Q135*SQRT(Q143),4)</f>
        <v>56.642200000000003</v>
      </c>
      <c r="R145" s="28"/>
      <c r="S145" s="48" t="s">
        <v>68</v>
      </c>
      <c r="T145" s="28">
        <f>Q139+Q145</f>
        <v>1673.3976</v>
      </c>
      <c r="U145" s="28"/>
      <c r="V145" s="28"/>
      <c r="W145" s="28"/>
      <c r="X145" s="49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</row>
    <row r="146" spans="2:37" ht="13.5" thickBot="1"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</row>
    <row r="147" spans="2:37">
      <c r="B147" s="21" t="s">
        <v>78</v>
      </c>
      <c r="C147" s="39"/>
      <c r="D147" s="40" t="s">
        <v>61</v>
      </c>
      <c r="E147" s="41">
        <v>0.95</v>
      </c>
      <c r="F147" s="41"/>
      <c r="G147" s="64" t="s">
        <v>95</v>
      </c>
      <c r="H147" s="41">
        <f>H133</f>
        <v>0.68710000000000004</v>
      </c>
      <c r="I147" s="41"/>
      <c r="J147" s="41">
        <f>E54</f>
        <v>1378.3031307692306</v>
      </c>
      <c r="K147" s="41"/>
      <c r="L147" s="42"/>
      <c r="O147" s="39"/>
      <c r="P147" s="40" t="s">
        <v>61</v>
      </c>
      <c r="Q147" s="41">
        <v>0.9</v>
      </c>
      <c r="R147" s="41"/>
      <c r="S147" s="64" t="s">
        <v>95</v>
      </c>
      <c r="T147" s="41">
        <f>T133</f>
        <v>0.68710000000000004</v>
      </c>
      <c r="U147" s="41"/>
      <c r="V147" s="64">
        <f>J147</f>
        <v>1378.3031307692306</v>
      </c>
      <c r="W147" s="41"/>
      <c r="X147" s="42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</row>
    <row r="148" spans="2:37">
      <c r="B148" s="21" t="s">
        <v>99</v>
      </c>
      <c r="C148" s="43"/>
      <c r="D148" s="44" t="s">
        <v>62</v>
      </c>
      <c r="E148" s="14">
        <f>1-E147</f>
        <v>5.0000000000000044E-2</v>
      </c>
      <c r="F148" s="14"/>
      <c r="G148" s="29" t="s">
        <v>96</v>
      </c>
      <c r="H148" s="14">
        <f>H134</f>
        <v>6117</v>
      </c>
      <c r="I148" s="14"/>
      <c r="J148" s="14"/>
      <c r="K148" s="14"/>
      <c r="L148" s="45"/>
      <c r="O148" s="43"/>
      <c r="P148" s="44" t="s">
        <v>62</v>
      </c>
      <c r="Q148" s="14">
        <f>1-Q147</f>
        <v>9.9999999999999978E-2</v>
      </c>
      <c r="R148" s="14"/>
      <c r="S148" s="29" t="s">
        <v>96</v>
      </c>
      <c r="T148" s="14">
        <f>T134</f>
        <v>6117</v>
      </c>
      <c r="U148" s="14"/>
      <c r="V148" s="14"/>
      <c r="W148" s="14"/>
      <c r="X148" s="45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</row>
    <row r="149" spans="2:37">
      <c r="B149" s="21" t="s">
        <v>100</v>
      </c>
      <c r="C149" s="43"/>
      <c r="D149" s="14"/>
      <c r="E149" s="14">
        <f>ROUND(_xlfn.T.INV(1-E148/2,17-(6+1)),2)</f>
        <v>2.23</v>
      </c>
      <c r="F149" s="14"/>
      <c r="G149" s="29" t="s">
        <v>97</v>
      </c>
      <c r="H149" s="14">
        <f>H135</f>
        <v>45642</v>
      </c>
      <c r="I149" s="14"/>
      <c r="J149" s="14"/>
      <c r="K149" s="14"/>
      <c r="L149" s="45"/>
      <c r="O149" s="43"/>
      <c r="P149" s="14"/>
      <c r="Q149" s="14">
        <f>ROUND(_xlfn.T.INV(1-Q148/2,17-(6+1)),2)</f>
        <v>1.81</v>
      </c>
      <c r="R149" s="14"/>
      <c r="S149" s="29" t="s">
        <v>97</v>
      </c>
      <c r="T149" s="14">
        <f>T135</f>
        <v>45642</v>
      </c>
      <c r="U149" s="14"/>
      <c r="V149" s="14"/>
      <c r="W149" s="14"/>
      <c r="X149" s="45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</row>
    <row r="150" spans="2:37">
      <c r="B150" s="21" t="s">
        <v>101</v>
      </c>
      <c r="C150" s="43"/>
      <c r="D150" s="14"/>
      <c r="E150" s="14"/>
      <c r="F150" s="14"/>
      <c r="G150" s="14"/>
      <c r="H150" s="14"/>
      <c r="I150" s="14"/>
      <c r="J150" s="14"/>
      <c r="K150" s="14">
        <f>E151</f>
        <v>1</v>
      </c>
      <c r="L150" s="45"/>
      <c r="O150" s="43"/>
      <c r="P150" s="14"/>
      <c r="Q150" s="14"/>
      <c r="R150" s="14"/>
      <c r="S150" s="14"/>
      <c r="T150" s="14"/>
      <c r="U150" s="14"/>
      <c r="V150" s="14"/>
      <c r="W150" s="14">
        <f>Q151</f>
        <v>1</v>
      </c>
      <c r="X150" s="45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</row>
    <row r="151" spans="2:37">
      <c r="B151" s="21" t="s">
        <v>102</v>
      </c>
      <c r="C151" s="43"/>
      <c r="D151" s="14"/>
      <c r="E151" s="14">
        <v>1</v>
      </c>
      <c r="F151" s="14">
        <f>H147</f>
        <v>0.68710000000000004</v>
      </c>
      <c r="G151" s="14">
        <f>H148</f>
        <v>6117</v>
      </c>
      <c r="H151" s="14">
        <f>H149</f>
        <v>45642</v>
      </c>
      <c r="I151" s="14"/>
      <c r="J151" s="14"/>
      <c r="K151" s="14">
        <f>F151</f>
        <v>0.68710000000000004</v>
      </c>
      <c r="L151" s="45"/>
      <c r="O151" s="43"/>
      <c r="P151" s="14"/>
      <c r="Q151" s="14">
        <v>1</v>
      </c>
      <c r="R151" s="14">
        <f>T147</f>
        <v>0.68710000000000004</v>
      </c>
      <c r="S151" s="14">
        <f>T148</f>
        <v>6117</v>
      </c>
      <c r="T151" s="14">
        <f>T149</f>
        <v>45642</v>
      </c>
      <c r="U151" s="14"/>
      <c r="V151" s="14"/>
      <c r="W151" s="14">
        <f>R151</f>
        <v>0.68710000000000004</v>
      </c>
      <c r="X151" s="45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</row>
    <row r="152" spans="2:37">
      <c r="B152" s="21" t="s">
        <v>94</v>
      </c>
      <c r="C152" s="43"/>
      <c r="D152" s="14"/>
      <c r="E152" s="14"/>
      <c r="F152" s="14"/>
      <c r="G152" s="14"/>
      <c r="H152" s="14"/>
      <c r="I152" s="14"/>
      <c r="J152" s="14"/>
      <c r="K152" s="14">
        <f>G151</f>
        <v>6117</v>
      </c>
      <c r="L152" s="45"/>
      <c r="O152" s="43"/>
      <c r="P152" s="14"/>
      <c r="Q152" s="14"/>
      <c r="R152" s="14"/>
      <c r="S152" s="14"/>
      <c r="T152" s="14"/>
      <c r="U152" s="14"/>
      <c r="V152" s="14"/>
      <c r="W152" s="14">
        <f>S151</f>
        <v>6117</v>
      </c>
      <c r="X152" s="45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</row>
    <row r="153" spans="2:37">
      <c r="C153" s="43"/>
      <c r="D153" s="14"/>
      <c r="E153" s="14">
        <f>ROUND(MMULT(E137:H137,AI31:AI34),4)</f>
        <v>1616.7554</v>
      </c>
      <c r="F153" s="14"/>
      <c r="G153" s="14"/>
      <c r="H153" s="14"/>
      <c r="I153" s="14"/>
      <c r="J153" s="14"/>
      <c r="K153" s="14">
        <f>H151</f>
        <v>45642</v>
      </c>
      <c r="L153" s="45"/>
      <c r="O153" s="43"/>
      <c r="P153" s="14"/>
      <c r="Q153" s="29">
        <f>E153</f>
        <v>1616.7554</v>
      </c>
      <c r="R153" s="14"/>
      <c r="S153" s="14"/>
      <c r="T153" s="14"/>
      <c r="U153" s="14"/>
      <c r="V153" s="14"/>
      <c r="W153" s="14">
        <f>T151</f>
        <v>45642</v>
      </c>
      <c r="X153" s="45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</row>
    <row r="154" spans="2:37">
      <c r="C154" s="43"/>
      <c r="D154" s="14"/>
      <c r="E154" s="14"/>
      <c r="F154" s="14"/>
      <c r="G154" s="14"/>
      <c r="H154" s="14"/>
      <c r="I154" s="14"/>
      <c r="J154" s="14"/>
      <c r="K154" s="14"/>
      <c r="L154" s="45"/>
      <c r="O154" s="43"/>
      <c r="P154" s="14"/>
      <c r="Q154" s="14"/>
      <c r="R154" s="14"/>
      <c r="S154" s="14"/>
      <c r="T154" s="14"/>
      <c r="U154" s="14"/>
      <c r="V154" s="14"/>
      <c r="W154" s="14"/>
      <c r="X154" s="45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</row>
    <row r="155" spans="2:37">
      <c r="C155" s="43"/>
      <c r="D155" s="14"/>
      <c r="E155" s="14">
        <f>MMULT(MMULT(E137:H137,O31:R34),K136:K139)</f>
        <v>0.7105225016303045</v>
      </c>
      <c r="F155" s="14"/>
      <c r="G155" s="14"/>
      <c r="H155" s="14"/>
      <c r="I155" s="14"/>
      <c r="J155" s="14"/>
      <c r="K155" s="14"/>
      <c r="L155" s="45"/>
      <c r="O155" s="43"/>
      <c r="P155" s="14"/>
      <c r="Q155" s="29">
        <f>E155</f>
        <v>0.7105225016303045</v>
      </c>
      <c r="R155" s="14"/>
      <c r="S155" s="14"/>
      <c r="T155" s="14"/>
      <c r="U155" s="14"/>
      <c r="V155" s="14"/>
      <c r="W155" s="14"/>
      <c r="X155" s="45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</row>
    <row r="156" spans="2:37">
      <c r="C156" s="43"/>
      <c r="D156" s="14"/>
      <c r="E156" s="14"/>
      <c r="F156" s="14"/>
      <c r="G156" s="14"/>
      <c r="H156" s="14"/>
      <c r="I156" s="14"/>
      <c r="J156" s="14"/>
      <c r="K156" s="14"/>
      <c r="L156" s="45"/>
      <c r="O156" s="43"/>
      <c r="P156" s="14"/>
      <c r="Q156" s="14"/>
      <c r="R156" s="14"/>
      <c r="S156" s="14"/>
      <c r="T156" s="14"/>
      <c r="U156" s="14"/>
      <c r="V156" s="14"/>
      <c r="W156" s="14"/>
      <c r="X156" s="45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</row>
    <row r="157" spans="2:37">
      <c r="C157" s="43"/>
      <c r="D157" s="14"/>
      <c r="E157" s="14">
        <f>J147*(1+E155)</f>
        <v>2357.6185192482649</v>
      </c>
      <c r="F157" s="14"/>
      <c r="G157" s="14"/>
      <c r="H157" s="14"/>
      <c r="I157" s="14"/>
      <c r="J157" s="14"/>
      <c r="K157" s="14"/>
      <c r="L157" s="45"/>
      <c r="O157" s="43"/>
      <c r="P157" s="14"/>
      <c r="Q157" s="14">
        <f>V147*(1+Q155)</f>
        <v>2357.6185192482649</v>
      </c>
      <c r="R157" s="14"/>
      <c r="S157" s="14"/>
      <c r="T157" s="14"/>
      <c r="U157" s="14"/>
      <c r="V157" s="14"/>
      <c r="W157" s="14"/>
      <c r="X157" s="45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</row>
    <row r="158" spans="2:37" ht="15.75">
      <c r="C158" s="43"/>
      <c r="D158" s="14"/>
      <c r="E158" s="14"/>
      <c r="F158" s="14"/>
      <c r="G158" s="29" t="s">
        <v>67</v>
      </c>
      <c r="H158" s="14">
        <f>E153-E159</f>
        <v>1508.4770000000001</v>
      </c>
      <c r="I158" s="14"/>
      <c r="J158" s="69" t="s">
        <v>98</v>
      </c>
      <c r="K158" s="65" t="str">
        <f>"]"&amp;H158&amp;";"&amp;H159&amp;"["</f>
        <v>]1508,477;1725,0338[</v>
      </c>
      <c r="L158" s="45"/>
      <c r="O158" s="43"/>
      <c r="P158" s="14"/>
      <c r="Q158" s="14"/>
      <c r="R158" s="14"/>
      <c r="S158" s="29" t="s">
        <v>67</v>
      </c>
      <c r="T158" s="14">
        <f>Q153-Q159</f>
        <v>1528.8703</v>
      </c>
      <c r="U158" s="14"/>
      <c r="V158" s="14" t="s">
        <v>139</v>
      </c>
      <c r="W158" s="75" t="str">
        <f>"]"&amp;T158&amp;";"&amp;T159&amp;"["</f>
        <v>]1528,8703;1704,6405[</v>
      </c>
      <c r="X158" s="45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</row>
    <row r="159" spans="2:37" ht="13.5" thickBot="1">
      <c r="C159" s="47"/>
      <c r="D159" s="48" t="s">
        <v>60</v>
      </c>
      <c r="E159" s="28">
        <f>ROUND(E149*SQRT(E157),4)</f>
        <v>108.2784</v>
      </c>
      <c r="F159" s="28"/>
      <c r="G159" s="48" t="s">
        <v>68</v>
      </c>
      <c r="H159" s="28">
        <f>E153+E159</f>
        <v>1725.0337999999999</v>
      </c>
      <c r="I159" s="28"/>
      <c r="J159" s="28"/>
      <c r="K159" s="28"/>
      <c r="L159" s="49"/>
      <c r="O159" s="47"/>
      <c r="P159" s="48" t="s">
        <v>60</v>
      </c>
      <c r="Q159" s="28">
        <f>ROUND(Q149*SQRT(Q157),4)</f>
        <v>87.885099999999994</v>
      </c>
      <c r="R159" s="28"/>
      <c r="S159" s="48" t="s">
        <v>68</v>
      </c>
      <c r="T159" s="28">
        <f>Q153+Q159</f>
        <v>1704.6405</v>
      </c>
      <c r="U159" s="28"/>
      <c r="V159" s="28"/>
      <c r="W159" s="28"/>
      <c r="X159" s="49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</row>
    <row r="160" spans="2:37" ht="13.5" thickBot="1"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</row>
    <row r="161" spans="2:37">
      <c r="C161" s="39"/>
      <c r="D161" s="41"/>
      <c r="E161" s="41"/>
      <c r="F161" s="41"/>
      <c r="G161" s="41"/>
      <c r="H161" s="41"/>
      <c r="I161" s="41"/>
      <c r="J161" s="41"/>
      <c r="K161" s="41"/>
      <c r="L161" s="41"/>
      <c r="M161" s="42"/>
      <c r="O161" s="39"/>
      <c r="P161" s="41"/>
      <c r="Q161" s="41"/>
      <c r="R161" s="41"/>
      <c r="S161" s="41"/>
      <c r="T161" s="41"/>
      <c r="U161" s="41"/>
      <c r="V161" s="41"/>
      <c r="W161" s="41"/>
      <c r="X161" s="41"/>
      <c r="Y161" s="42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</row>
    <row r="162" spans="2:37">
      <c r="B162" s="21" t="s">
        <v>103</v>
      </c>
      <c r="C162" s="43"/>
      <c r="D162" s="14"/>
      <c r="E162" s="14"/>
      <c r="F162" s="14"/>
      <c r="G162" s="14"/>
      <c r="H162" s="29" t="str">
        <f>B165&amp;"="</f>
        <v>β0=</v>
      </c>
      <c r="I162" s="14">
        <f>AI31</f>
        <v>113.57575680588343</v>
      </c>
      <c r="J162" s="14"/>
      <c r="K162" s="14"/>
      <c r="L162" s="14"/>
      <c r="M162" s="45"/>
      <c r="O162" s="43"/>
      <c r="P162" s="14"/>
      <c r="Q162" s="14"/>
      <c r="R162" s="14"/>
      <c r="S162" s="14"/>
      <c r="T162" s="29" t="str">
        <f>H162</f>
        <v>β0=</v>
      </c>
      <c r="U162" s="29">
        <f>I162</f>
        <v>113.57575680588343</v>
      </c>
      <c r="V162" s="14"/>
      <c r="W162" s="14"/>
      <c r="X162" s="14"/>
      <c r="Y162" s="45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</row>
    <row r="163" spans="2:37">
      <c r="B163" s="21" t="s">
        <v>83</v>
      </c>
      <c r="C163" s="43"/>
      <c r="D163" s="14"/>
      <c r="E163" s="14"/>
      <c r="F163" s="14"/>
      <c r="G163" s="14"/>
      <c r="H163" s="14"/>
      <c r="I163" s="14"/>
      <c r="J163" s="14"/>
      <c r="K163" s="14"/>
      <c r="L163" s="14"/>
      <c r="M163" s="45"/>
      <c r="O163" s="43"/>
      <c r="P163" s="14"/>
      <c r="Q163" s="14"/>
      <c r="R163" s="14"/>
      <c r="S163" s="14"/>
      <c r="T163" s="14"/>
      <c r="U163" s="14"/>
      <c r="V163" s="14"/>
      <c r="W163" s="14"/>
      <c r="X163" s="14"/>
      <c r="Y163" s="45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</row>
    <row r="164" spans="2:37">
      <c r="B164" s="21" t="s">
        <v>104</v>
      </c>
      <c r="C164" s="43"/>
      <c r="D164" s="14"/>
      <c r="E164" s="14"/>
      <c r="F164" s="14"/>
      <c r="G164" s="14"/>
      <c r="H164" s="14"/>
      <c r="I164" s="14">
        <f>O31</f>
        <v>11.06385919839237</v>
      </c>
      <c r="J164" s="14"/>
      <c r="K164" s="14"/>
      <c r="L164" s="14"/>
      <c r="M164" s="45"/>
      <c r="O164" s="43"/>
      <c r="P164" s="14"/>
      <c r="Q164" s="14"/>
      <c r="R164" s="14"/>
      <c r="S164" s="14"/>
      <c r="T164" s="14"/>
      <c r="U164" s="29">
        <f>I164</f>
        <v>11.06385919839237</v>
      </c>
      <c r="V164" s="14"/>
      <c r="W164" s="14"/>
      <c r="X164" s="14"/>
      <c r="Y164" s="45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</row>
    <row r="165" spans="2:37">
      <c r="B165" s="21" t="s">
        <v>84</v>
      </c>
      <c r="C165" s="43"/>
      <c r="D165" s="14"/>
      <c r="E165" s="14"/>
      <c r="F165" s="14"/>
      <c r="G165" s="14"/>
      <c r="H165" s="14"/>
      <c r="I165" s="14"/>
      <c r="J165" s="14"/>
      <c r="K165" s="14"/>
      <c r="L165" s="14"/>
      <c r="M165" s="45"/>
      <c r="O165" s="43"/>
      <c r="P165" s="14"/>
      <c r="Q165" s="14"/>
      <c r="R165" s="14"/>
      <c r="S165" s="14"/>
      <c r="T165" s="14"/>
      <c r="U165" s="14"/>
      <c r="V165" s="14"/>
      <c r="W165" s="14"/>
      <c r="X165" s="14"/>
      <c r="Y165" s="45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</row>
    <row r="166" spans="2:37">
      <c r="C166" s="43"/>
      <c r="D166" s="14"/>
      <c r="E166" s="14"/>
      <c r="F166" s="14"/>
      <c r="G166" s="14"/>
      <c r="H166" s="14"/>
      <c r="I166" s="14"/>
      <c r="J166" s="14"/>
      <c r="K166" s="14"/>
      <c r="L166" s="14"/>
      <c r="M166" s="45"/>
      <c r="O166" s="43"/>
      <c r="P166" s="14"/>
      <c r="Q166" s="14"/>
      <c r="R166" s="14"/>
      <c r="S166" s="14"/>
      <c r="T166" s="14"/>
      <c r="U166" s="14"/>
      <c r="V166" s="14"/>
      <c r="W166" s="14"/>
      <c r="X166" s="14"/>
      <c r="Y166" s="45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</row>
    <row r="167" spans="2:37">
      <c r="C167" s="43"/>
      <c r="D167" s="14">
        <f>E54</f>
        <v>1378.3031307692306</v>
      </c>
      <c r="E167" s="14"/>
      <c r="F167" s="14"/>
      <c r="G167" s="14"/>
      <c r="H167" s="14"/>
      <c r="I167" s="14"/>
      <c r="J167" s="14"/>
      <c r="K167" s="14"/>
      <c r="L167" s="14"/>
      <c r="M167" s="45"/>
      <c r="O167" s="43"/>
      <c r="P167" s="29">
        <f>D167</f>
        <v>1378.3031307692306</v>
      </c>
      <c r="Q167" s="14"/>
      <c r="R167" s="14"/>
      <c r="S167" s="14"/>
      <c r="T167" s="14"/>
      <c r="U167" s="14"/>
      <c r="V167" s="14"/>
      <c r="W167" s="14"/>
      <c r="X167" s="14"/>
      <c r="Y167" s="45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</row>
    <row r="168" spans="2:37">
      <c r="C168" s="43"/>
      <c r="D168" s="14"/>
      <c r="E168" s="14"/>
      <c r="F168" s="14"/>
      <c r="G168" s="14"/>
      <c r="H168" s="14"/>
      <c r="I168" s="14"/>
      <c r="J168" s="14"/>
      <c r="K168" s="14"/>
      <c r="L168" s="14"/>
      <c r="M168" s="45"/>
      <c r="O168" s="43"/>
      <c r="P168" s="14"/>
      <c r="Q168" s="14"/>
      <c r="R168" s="14"/>
      <c r="S168" s="14"/>
      <c r="T168" s="14"/>
      <c r="U168" s="14"/>
      <c r="V168" s="14"/>
      <c r="W168" s="14"/>
      <c r="X168" s="14"/>
      <c r="Y168" s="45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</row>
    <row r="169" spans="2:37">
      <c r="C169" s="43"/>
      <c r="D169" s="44" t="s">
        <v>105</v>
      </c>
      <c r="E169" s="14">
        <v>0.05</v>
      </c>
      <c r="F169" s="14"/>
      <c r="G169" s="14"/>
      <c r="H169" s="29" t="s">
        <v>108</v>
      </c>
      <c r="I169" s="14" t="str">
        <f>"]-∞;-"&amp;ROUND(E171,4)&amp;"[ U ]"&amp;ROUND(E171,4)&amp;";+∞["</f>
        <v>]-∞;-2,23[ U ]2,23;+∞[</v>
      </c>
      <c r="J169" s="14"/>
      <c r="K169" s="14"/>
      <c r="L169" s="14"/>
      <c r="M169" s="45"/>
      <c r="O169" s="43"/>
      <c r="P169" s="44" t="s">
        <v>105</v>
      </c>
      <c r="Q169" s="14">
        <v>0.01</v>
      </c>
      <c r="R169" s="14"/>
      <c r="S169" s="14"/>
      <c r="T169" s="29" t="s">
        <v>108</v>
      </c>
      <c r="U169" s="14" t="str">
        <f>"]-∞;-"&amp;ROUND(Q171,4)&amp;"[ U ]"&amp;ROUND(Q171,4)&amp;";+∞["</f>
        <v>]-∞;-3,17[ U ]3,17;+∞[</v>
      </c>
      <c r="V169" s="14"/>
      <c r="W169" s="14"/>
      <c r="X169" s="14"/>
      <c r="Y169" s="45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</row>
    <row r="170" spans="2:37">
      <c r="C170" s="43"/>
      <c r="D170" s="44"/>
      <c r="E170" s="14"/>
      <c r="F170" s="14"/>
      <c r="G170" s="14"/>
      <c r="H170" s="14"/>
      <c r="I170" s="14"/>
      <c r="J170" s="14"/>
      <c r="K170" s="14"/>
      <c r="L170" s="14"/>
      <c r="M170" s="45"/>
      <c r="O170" s="43"/>
      <c r="P170" s="44"/>
      <c r="Q170" s="14"/>
      <c r="R170" s="14"/>
      <c r="S170" s="14"/>
      <c r="T170" s="14"/>
      <c r="U170" s="14"/>
      <c r="V170" s="14"/>
      <c r="W170" s="14"/>
      <c r="X170" s="14"/>
      <c r="Y170" s="45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</row>
    <row r="171" spans="2:37">
      <c r="C171" s="43"/>
      <c r="D171" s="14"/>
      <c r="E171" s="14">
        <f>ROUND(_xlfn.T.INV(1-E169/2,17-(6+1)),2)</f>
        <v>2.23</v>
      </c>
      <c r="F171" s="14"/>
      <c r="G171" s="14"/>
      <c r="H171" s="14"/>
      <c r="I171" s="14"/>
      <c r="J171" s="14"/>
      <c r="K171" s="14"/>
      <c r="L171" s="14"/>
      <c r="M171" s="45"/>
      <c r="O171" s="43"/>
      <c r="P171" s="14"/>
      <c r="Q171" s="14">
        <f>ROUND(_xlfn.T.INV(1-Q169/2,17-(6+1)),2)</f>
        <v>3.17</v>
      </c>
      <c r="R171" s="14"/>
      <c r="S171" s="14"/>
      <c r="T171" s="14"/>
      <c r="U171" s="14"/>
      <c r="V171" s="14"/>
      <c r="W171" s="14"/>
      <c r="X171" s="14"/>
      <c r="Y171" s="45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</row>
    <row r="172" spans="2:37">
      <c r="C172" s="43"/>
      <c r="D172" s="29"/>
      <c r="E172" s="14"/>
      <c r="F172" s="14"/>
      <c r="G172" s="14"/>
      <c r="H172" s="14"/>
      <c r="I172" s="14"/>
      <c r="J172" s="14"/>
      <c r="K172" s="14"/>
      <c r="L172" s="14"/>
      <c r="M172" s="45"/>
      <c r="O172" s="43"/>
      <c r="P172" s="29"/>
      <c r="Q172" s="14"/>
      <c r="R172" s="14"/>
      <c r="S172" s="14"/>
      <c r="T172" s="14"/>
      <c r="U172" s="14"/>
      <c r="V172" s="14"/>
      <c r="W172" s="14"/>
      <c r="X172" s="14"/>
      <c r="Y172" s="45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</row>
    <row r="173" spans="2:37">
      <c r="C173" s="43"/>
      <c r="D173" s="14"/>
      <c r="E173" s="14"/>
      <c r="F173" s="14"/>
      <c r="G173" s="14"/>
      <c r="H173" s="14"/>
      <c r="I173" s="14"/>
      <c r="J173" s="14"/>
      <c r="K173" s="14"/>
      <c r="L173" s="14"/>
      <c r="M173" s="45"/>
      <c r="O173" s="43"/>
      <c r="P173" s="14"/>
      <c r="Q173" s="14"/>
      <c r="R173" s="14"/>
      <c r="S173" s="14"/>
      <c r="T173" s="14"/>
      <c r="U173" s="14"/>
      <c r="V173" s="14"/>
      <c r="W173" s="14"/>
      <c r="X173" s="14"/>
      <c r="Y173" s="45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</row>
    <row r="174" spans="2:37">
      <c r="C174" s="43"/>
      <c r="D174" s="14"/>
      <c r="E174" s="14"/>
      <c r="F174" s="14"/>
      <c r="G174" s="14"/>
      <c r="H174" s="14"/>
      <c r="I174" s="14"/>
      <c r="J174" s="14"/>
      <c r="K174" s="14"/>
      <c r="L174" s="14"/>
      <c r="M174" s="45"/>
      <c r="O174" s="43"/>
      <c r="P174" s="14"/>
      <c r="Q174" s="14"/>
      <c r="R174" s="14"/>
      <c r="S174" s="14"/>
      <c r="T174" s="14"/>
      <c r="U174" s="14"/>
      <c r="V174" s="14"/>
      <c r="W174" s="14"/>
      <c r="X174" s="14"/>
      <c r="Y174" s="45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</row>
    <row r="175" spans="2:37">
      <c r="C175" s="43"/>
      <c r="D175" s="29" t="s">
        <v>106</v>
      </c>
      <c r="E175" s="14">
        <f>ROUND(I162/SQRT(D167*I164),4)</f>
        <v>0.91969999999999996</v>
      </c>
      <c r="F175" s="14"/>
      <c r="G175" s="14"/>
      <c r="H175" s="14"/>
      <c r="I175" s="14"/>
      <c r="J175" s="14"/>
      <c r="K175" s="14"/>
      <c r="L175" s="14"/>
      <c r="M175" s="45"/>
      <c r="O175" s="43"/>
      <c r="P175" s="29" t="s">
        <v>106</v>
      </c>
      <c r="Q175" s="14">
        <f>ROUND(U162/SQRT(P167*U164),4)</f>
        <v>0.91969999999999996</v>
      </c>
      <c r="R175" s="14"/>
      <c r="S175" s="14"/>
      <c r="T175" s="14"/>
      <c r="U175" s="14"/>
      <c r="V175" s="14"/>
      <c r="W175" s="14"/>
      <c r="X175" s="14"/>
      <c r="Y175" s="45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</row>
    <row r="176" spans="2:37">
      <c r="C176" s="43"/>
      <c r="D176" s="29" t="s">
        <v>107</v>
      </c>
      <c r="E176" s="14">
        <f>ABS(E175)</f>
        <v>0.91969999999999996</v>
      </c>
      <c r="F176" s="14"/>
      <c r="G176" s="14"/>
      <c r="H176" s="14"/>
      <c r="I176" s="14"/>
      <c r="J176" s="14"/>
      <c r="K176" s="14"/>
      <c r="L176" s="14"/>
      <c r="M176" s="45"/>
      <c r="O176" s="43"/>
      <c r="P176" s="29" t="s">
        <v>107</v>
      </c>
      <c r="Q176" s="14">
        <f>ABS(Q175)</f>
        <v>0.91969999999999996</v>
      </c>
      <c r="R176" s="14"/>
      <c r="S176" s="14"/>
      <c r="T176" s="14"/>
      <c r="U176" s="14"/>
      <c r="V176" s="14"/>
      <c r="W176" s="14"/>
      <c r="X176" s="14"/>
      <c r="Y176" s="45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</row>
    <row r="177" spans="2:37" ht="13.5" thickBot="1">
      <c r="C177" s="47" t="str">
        <f>IF(ABS(E175)&gt;ROUND(E171,4), "Como |"&amp;ROUND(E175,2)&amp;"| &gt; "&amp;ROUND(E171,4)&amp;" então rejeita-se H0, logo a um nível de significância de "&amp;E169*100&amp;"% há evidencia estatística suficiente para se concluir que "&amp;H162&amp;" é não nulo","Como |"&amp;ROUND(E175,2)&amp;"|  ≤ "&amp;ROUND(E171,4)&amp;" então não se rejeita H0, logo a um nível de significância de "&amp;E169*100&amp;"% há evidencia estatística suficiente para se concluir que "&amp;H162&amp;" é nulo")</f>
        <v>Como |0,92|  ≤ 2,23 então não se rejeita H0, logo a um nível de significância de 5% há evidencia estatística suficiente para se concluir que β0= é nulo</v>
      </c>
      <c r="D177" s="28"/>
      <c r="E177" s="28"/>
      <c r="F177" s="28"/>
      <c r="G177" s="28"/>
      <c r="H177" s="28"/>
      <c r="I177" s="28"/>
      <c r="J177" s="28"/>
      <c r="K177" s="28"/>
      <c r="L177" s="49"/>
      <c r="M177" s="49"/>
      <c r="O177" s="47" t="str">
        <f>IF(ABS(Q175)&gt;ROUND(Q171,4), "Como |"&amp;ROUND(Q175,2)&amp;"| &gt; "&amp;ROUND(Q171,4)&amp;" então rejeita-se H0, logo a um nível de significância de "&amp;Q169*100&amp;"% há evidencia estatística suficiente para se concluir que "&amp;T162&amp;" é não nulo","Como |"&amp;ROUND(Q175,2)&amp;"|  ≤ "&amp;ROUND(Q171,4)&amp;" então não se rejeita H0, logo a um nível de significância de "&amp;Q169*100&amp;"% há evidencia estatística suficiente para se concluir que "&amp;T162&amp;" é nulo")</f>
        <v>Como |0,92|  ≤ 3,17 então não se rejeita H0, logo a um nível de significância de 1% há evidencia estatística suficiente para se concluir que β0= é nulo</v>
      </c>
      <c r="P177" s="28"/>
      <c r="Q177" s="28"/>
      <c r="R177" s="28"/>
      <c r="S177" s="28"/>
      <c r="T177" s="28"/>
      <c r="U177" s="28"/>
      <c r="V177" s="28"/>
      <c r="W177" s="28"/>
      <c r="X177" s="49"/>
      <c r="Y177" s="49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</row>
    <row r="178" spans="2:37" ht="13.5" thickBot="1"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</row>
    <row r="179" spans="2:37">
      <c r="C179" s="39"/>
      <c r="D179" s="41"/>
      <c r="E179" s="41"/>
      <c r="F179" s="41"/>
      <c r="G179" s="41"/>
      <c r="H179" s="41"/>
      <c r="I179" s="41"/>
      <c r="J179" s="41"/>
      <c r="K179" s="41"/>
      <c r="L179" s="41"/>
      <c r="M179" s="42"/>
      <c r="O179" s="39"/>
      <c r="P179" s="41"/>
      <c r="Q179" s="41"/>
      <c r="R179" s="41"/>
      <c r="S179" s="41"/>
      <c r="T179" s="41"/>
      <c r="U179" s="41"/>
      <c r="V179" s="41"/>
      <c r="W179" s="41"/>
      <c r="X179" s="41"/>
      <c r="Y179" s="42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</row>
    <row r="180" spans="2:37">
      <c r="B180" s="21" t="s">
        <v>103</v>
      </c>
      <c r="C180" s="43"/>
      <c r="D180" s="14"/>
      <c r="E180" s="14"/>
      <c r="F180" s="14"/>
      <c r="G180" s="14"/>
      <c r="H180" s="29" t="str">
        <f>B183&amp;"="</f>
        <v>β1=</v>
      </c>
      <c r="I180" s="14">
        <f>AI32</f>
        <v>-95.465004062105436</v>
      </c>
      <c r="J180" s="14"/>
      <c r="K180" s="14"/>
      <c r="L180" s="14"/>
      <c r="M180" s="45"/>
      <c r="O180" s="43"/>
      <c r="P180" s="14"/>
      <c r="Q180" s="14"/>
      <c r="R180" s="14"/>
      <c r="S180" s="14"/>
      <c r="T180" s="29" t="str">
        <f>H180</f>
        <v>β1=</v>
      </c>
      <c r="U180" s="29">
        <f>I180</f>
        <v>-95.465004062105436</v>
      </c>
      <c r="V180" s="14"/>
      <c r="W180" s="14"/>
      <c r="X180" s="14"/>
      <c r="Y180" s="45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</row>
    <row r="181" spans="2:37">
      <c r="B181" s="21" t="s">
        <v>83</v>
      </c>
      <c r="C181" s="43"/>
      <c r="D181" s="14"/>
      <c r="E181" s="14"/>
      <c r="F181" s="14"/>
      <c r="G181" s="14"/>
      <c r="H181" s="14"/>
      <c r="I181" s="14"/>
      <c r="J181" s="14"/>
      <c r="K181" s="14"/>
      <c r="L181" s="14"/>
      <c r="M181" s="45"/>
      <c r="O181" s="43"/>
      <c r="P181" s="14"/>
      <c r="Q181" s="14"/>
      <c r="R181" s="14"/>
      <c r="S181" s="14"/>
      <c r="T181" s="14"/>
      <c r="U181" s="14"/>
      <c r="V181" s="14"/>
      <c r="W181" s="14"/>
      <c r="X181" s="14"/>
      <c r="Y181" s="45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</row>
    <row r="182" spans="2:37">
      <c r="B182" s="21" t="s">
        <v>104</v>
      </c>
      <c r="C182" s="43"/>
      <c r="D182" s="14"/>
      <c r="E182" s="14"/>
      <c r="F182" s="14"/>
      <c r="G182" s="14"/>
      <c r="H182" s="14"/>
      <c r="I182" s="14">
        <f>P32</f>
        <v>8.8722302290487143</v>
      </c>
      <c r="J182" s="14"/>
      <c r="K182" s="14"/>
      <c r="L182" s="14"/>
      <c r="M182" s="45"/>
      <c r="O182" s="43"/>
      <c r="P182" s="14"/>
      <c r="Q182" s="14"/>
      <c r="R182" s="14"/>
      <c r="S182" s="14"/>
      <c r="T182" s="14"/>
      <c r="U182" s="29">
        <f>I182</f>
        <v>8.8722302290487143</v>
      </c>
      <c r="V182" s="14"/>
      <c r="W182" s="14"/>
      <c r="X182" s="14"/>
      <c r="Y182" s="45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</row>
    <row r="183" spans="2:37">
      <c r="B183" s="21" t="s">
        <v>85</v>
      </c>
      <c r="C183" s="43"/>
      <c r="D183" s="14"/>
      <c r="E183" s="14"/>
      <c r="F183" s="14"/>
      <c r="G183" s="14"/>
      <c r="H183" s="14"/>
      <c r="I183" s="14"/>
      <c r="J183" s="14"/>
      <c r="K183" s="14"/>
      <c r="L183" s="14"/>
      <c r="M183" s="45"/>
      <c r="O183" s="43"/>
      <c r="P183" s="14"/>
      <c r="Q183" s="14"/>
      <c r="R183" s="14"/>
      <c r="S183" s="14"/>
      <c r="T183" s="14"/>
      <c r="U183" s="14"/>
      <c r="V183" s="14"/>
      <c r="W183" s="14"/>
      <c r="X183" s="14"/>
      <c r="Y183" s="45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</row>
    <row r="184" spans="2:37">
      <c r="C184" s="43"/>
      <c r="D184" s="14"/>
      <c r="E184" s="14"/>
      <c r="F184" s="14"/>
      <c r="G184" s="14"/>
      <c r="H184" s="14"/>
      <c r="I184" s="14"/>
      <c r="J184" s="14"/>
      <c r="K184" s="14"/>
      <c r="L184" s="14"/>
      <c r="M184" s="45"/>
      <c r="O184" s="43"/>
      <c r="P184" s="14"/>
      <c r="Q184" s="14"/>
      <c r="R184" s="14"/>
      <c r="S184" s="14"/>
      <c r="T184" s="14"/>
      <c r="U184" s="14"/>
      <c r="V184" s="14"/>
      <c r="W184" s="14"/>
      <c r="X184" s="14"/>
      <c r="Y184" s="45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</row>
    <row r="185" spans="2:37">
      <c r="C185" s="43"/>
      <c r="D185" s="14">
        <f>E54</f>
        <v>1378.3031307692306</v>
      </c>
      <c r="E185" s="14"/>
      <c r="F185" s="14"/>
      <c r="G185" s="14"/>
      <c r="H185" s="14"/>
      <c r="I185" s="14"/>
      <c r="J185" s="14"/>
      <c r="K185" s="14"/>
      <c r="L185" s="14"/>
      <c r="M185" s="45"/>
      <c r="O185" s="43"/>
      <c r="P185" s="29">
        <f>D185</f>
        <v>1378.3031307692306</v>
      </c>
      <c r="Q185" s="14"/>
      <c r="R185" s="14"/>
      <c r="S185" s="14"/>
      <c r="T185" s="14"/>
      <c r="U185" s="14"/>
      <c r="V185" s="14"/>
      <c r="W185" s="14"/>
      <c r="X185" s="14"/>
      <c r="Y185" s="45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</row>
    <row r="186" spans="2:37">
      <c r="C186" s="43"/>
      <c r="D186" s="14"/>
      <c r="E186" s="14"/>
      <c r="F186" s="14"/>
      <c r="G186" s="14"/>
      <c r="H186" s="14"/>
      <c r="I186" s="14"/>
      <c r="J186" s="14"/>
      <c r="K186" s="14"/>
      <c r="L186" s="14"/>
      <c r="M186" s="45"/>
      <c r="O186" s="43"/>
      <c r="P186" s="14"/>
      <c r="Q186" s="14"/>
      <c r="R186" s="14"/>
      <c r="S186" s="14"/>
      <c r="T186" s="14"/>
      <c r="U186" s="14"/>
      <c r="V186" s="14"/>
      <c r="W186" s="14"/>
      <c r="X186" s="14"/>
      <c r="Y186" s="45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</row>
    <row r="187" spans="2:37">
      <c r="C187" s="43"/>
      <c r="D187" s="44" t="s">
        <v>105</v>
      </c>
      <c r="E187" s="14">
        <v>0.05</v>
      </c>
      <c r="F187" s="14"/>
      <c r="G187" s="14"/>
      <c r="H187" s="29" t="s">
        <v>108</v>
      </c>
      <c r="I187" s="14" t="str">
        <f>"]-∞;-"&amp;ROUND(E189,4)&amp;"[ U ]"&amp;ROUND(E189,4)&amp;";+∞["</f>
        <v>]-∞;-2,23[ U ]2,23;+∞[</v>
      </c>
      <c r="J187" s="14"/>
      <c r="K187" s="14"/>
      <c r="L187" s="14"/>
      <c r="M187" s="45"/>
      <c r="O187" s="43"/>
      <c r="P187" s="44" t="s">
        <v>105</v>
      </c>
      <c r="Q187" s="14">
        <v>0.01</v>
      </c>
      <c r="R187" s="14"/>
      <c r="S187" s="14"/>
      <c r="T187" s="29" t="s">
        <v>108</v>
      </c>
      <c r="U187" s="14" t="str">
        <f>"]-∞;-"&amp;ROUND(Q189,4)&amp;"[ U ]"&amp;ROUND(Q189,4)&amp;";+∞["</f>
        <v>]-∞;-3,17[ U ]3,17;+∞[</v>
      </c>
      <c r="V187" s="14"/>
      <c r="W187" s="14"/>
      <c r="X187" s="14"/>
      <c r="Y187" s="45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</row>
    <row r="188" spans="2:37">
      <c r="C188" s="43"/>
      <c r="D188" s="44"/>
      <c r="E188" s="14"/>
      <c r="F188" s="14"/>
      <c r="G188" s="14"/>
      <c r="H188" s="14"/>
      <c r="I188" s="14"/>
      <c r="J188" s="14"/>
      <c r="K188" s="14"/>
      <c r="L188" s="14"/>
      <c r="M188" s="45"/>
      <c r="O188" s="43"/>
      <c r="P188" s="44"/>
      <c r="Q188" s="14"/>
      <c r="R188" s="14"/>
      <c r="S188" s="14"/>
      <c r="T188" s="14"/>
      <c r="U188" s="14"/>
      <c r="V188" s="14"/>
      <c r="W188" s="14"/>
      <c r="X188" s="14"/>
      <c r="Y188" s="45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</row>
    <row r="189" spans="2:37">
      <c r="C189" s="43"/>
      <c r="D189" s="14"/>
      <c r="E189" s="14">
        <f>ROUND(_xlfn.T.INV(1-E187/2,17-(6+1)),2)</f>
        <v>2.23</v>
      </c>
      <c r="F189" s="14"/>
      <c r="G189" s="14"/>
      <c r="H189" s="14"/>
      <c r="I189" s="14"/>
      <c r="J189" s="14"/>
      <c r="K189" s="14"/>
      <c r="L189" s="14"/>
      <c r="M189" s="45"/>
      <c r="O189" s="43"/>
      <c r="P189" s="14"/>
      <c r="Q189" s="14">
        <f>ROUND(_xlfn.T.INV(1-Q187/2,17-(6+1)),2)</f>
        <v>3.17</v>
      </c>
      <c r="R189" s="14"/>
      <c r="S189" s="14"/>
      <c r="T189" s="14"/>
      <c r="U189" s="14"/>
      <c r="V189" s="14"/>
      <c r="W189" s="14"/>
      <c r="X189" s="14"/>
      <c r="Y189" s="45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</row>
    <row r="190" spans="2:37">
      <c r="C190" s="43"/>
      <c r="D190" s="29"/>
      <c r="E190" s="14"/>
      <c r="F190" s="14"/>
      <c r="G190" s="14"/>
      <c r="H190" s="14"/>
      <c r="I190" s="14"/>
      <c r="J190" s="14"/>
      <c r="K190" s="14"/>
      <c r="L190" s="14"/>
      <c r="M190" s="45"/>
      <c r="O190" s="43"/>
      <c r="P190" s="29"/>
      <c r="Q190" s="14"/>
      <c r="R190" s="14"/>
      <c r="S190" s="14"/>
      <c r="T190" s="14"/>
      <c r="U190" s="14"/>
      <c r="V190" s="14"/>
      <c r="W190" s="14"/>
      <c r="X190" s="14"/>
      <c r="Y190" s="45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</row>
    <row r="191" spans="2:37">
      <c r="C191" s="43"/>
      <c r="D191" s="14"/>
      <c r="E191" s="14"/>
      <c r="F191" s="14"/>
      <c r="G191" s="14"/>
      <c r="H191" s="14"/>
      <c r="I191" s="14"/>
      <c r="J191" s="14"/>
      <c r="K191" s="14"/>
      <c r="L191" s="14"/>
      <c r="M191" s="45"/>
      <c r="O191" s="43"/>
      <c r="P191" s="14"/>
      <c r="Q191" s="14"/>
      <c r="R191" s="14"/>
      <c r="S191" s="14"/>
      <c r="T191" s="14"/>
      <c r="U191" s="14"/>
      <c r="V191" s="14"/>
      <c r="W191" s="14"/>
      <c r="X191" s="14"/>
      <c r="Y191" s="45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</row>
    <row r="192" spans="2:37">
      <c r="C192" s="43"/>
      <c r="D192" s="14"/>
      <c r="E192" s="14"/>
      <c r="F192" s="14"/>
      <c r="G192" s="14"/>
      <c r="H192" s="14"/>
      <c r="I192" s="14"/>
      <c r="J192" s="14"/>
      <c r="K192" s="14"/>
      <c r="L192" s="14"/>
      <c r="M192" s="45"/>
      <c r="O192" s="43"/>
      <c r="P192" s="14"/>
      <c r="Q192" s="14"/>
      <c r="R192" s="14"/>
      <c r="S192" s="14"/>
      <c r="T192" s="14"/>
      <c r="U192" s="14"/>
      <c r="V192" s="14"/>
      <c r="W192" s="14"/>
      <c r="X192" s="14"/>
      <c r="Y192" s="45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</row>
    <row r="193" spans="2:37">
      <c r="C193" s="43"/>
      <c r="D193" s="29" t="s">
        <v>106</v>
      </c>
      <c r="E193" s="14">
        <f>ROUND(I180/SQRT(D185*I182),4)</f>
        <v>-0.86329999999999996</v>
      </c>
      <c r="F193" s="14"/>
      <c r="G193" s="14"/>
      <c r="H193" s="14"/>
      <c r="I193" s="14"/>
      <c r="J193" s="14"/>
      <c r="K193" s="14"/>
      <c r="L193" s="14"/>
      <c r="M193" s="45"/>
      <c r="O193" s="43"/>
      <c r="P193" s="29" t="s">
        <v>106</v>
      </c>
      <c r="Q193" s="14">
        <f>ROUND(U180/SQRT(P185*U182),4)</f>
        <v>-0.86329999999999996</v>
      </c>
      <c r="R193" s="14"/>
      <c r="S193" s="14"/>
      <c r="T193" s="14"/>
      <c r="U193" s="14"/>
      <c r="V193" s="14"/>
      <c r="W193" s="14"/>
      <c r="X193" s="14"/>
      <c r="Y193" s="45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</row>
    <row r="194" spans="2:37">
      <c r="C194" s="43"/>
      <c r="D194" s="29" t="s">
        <v>107</v>
      </c>
      <c r="E194" s="14">
        <f>ABS(E193)</f>
        <v>0.86329999999999996</v>
      </c>
      <c r="F194" s="14"/>
      <c r="G194" s="14"/>
      <c r="H194" s="14"/>
      <c r="I194" s="14"/>
      <c r="J194" s="14"/>
      <c r="K194" s="14"/>
      <c r="L194" s="14"/>
      <c r="M194" s="45"/>
      <c r="O194" s="43"/>
      <c r="P194" s="29" t="s">
        <v>107</v>
      </c>
      <c r="Q194" s="14">
        <f>ABS(Q193)</f>
        <v>0.86329999999999996</v>
      </c>
      <c r="R194" s="14"/>
      <c r="S194" s="14"/>
      <c r="T194" s="14"/>
      <c r="U194" s="14"/>
      <c r="V194" s="14"/>
      <c r="W194" s="14"/>
      <c r="X194" s="14"/>
      <c r="Y194" s="45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</row>
    <row r="195" spans="2:37" ht="13.5" thickBot="1">
      <c r="C195" s="47" t="str">
        <f>IF(ABS(E193)&gt;ROUND(E189,4), "Como |"&amp;ROUND(E193,2)&amp;"| &gt; "&amp;ROUND(E189,4)&amp;" então rejeita-se H0, logo a um nível de significância de "&amp;E187*100&amp;"% há evidencia estatística suficiente para se concluir que "&amp;H180&amp;" é não nulo","Como |"&amp;ROUND(E193,2)&amp;"|  ≤ "&amp;ROUND(E189,4)&amp;" então não se rejeita H0, logo a um nível de significância de "&amp;E187*100&amp;"% há evidencia estatística suficiente para se concluir que "&amp;H180&amp;" é nulo")</f>
        <v>Como |-0,86|  ≤ 2,23 então não se rejeita H0, logo a um nível de significância de 5% há evidencia estatística suficiente para se concluir que β1= é nulo</v>
      </c>
      <c r="D195" s="28"/>
      <c r="E195" s="28"/>
      <c r="F195" s="28"/>
      <c r="G195" s="28"/>
      <c r="H195" s="28"/>
      <c r="I195" s="28"/>
      <c r="J195" s="28"/>
      <c r="K195" s="28"/>
      <c r="L195" s="49"/>
      <c r="M195" s="49"/>
      <c r="O195" s="47" t="str">
        <f>IF(ABS(Q193)&gt;ROUND(Q189,4), "Como |"&amp;ROUND(Q193,2)&amp;"| &gt; "&amp;ROUND(Q189,4)&amp;" então rejeita-se H0, logo a um nível de significância de "&amp;Q187*100&amp;"% há evidencia estatística suficiente para se concluir que "&amp;T180&amp;" é não nulo","Como |"&amp;ROUND(Q193,2)&amp;"|  ≤ "&amp;ROUND(Q189,4)&amp;" então não se rejeita H0, logo a um nível de significância de "&amp;Q187*100&amp;"% há evidencia estatística suficiente para se concluir que "&amp;T180&amp;" é nulo")</f>
        <v>Como |-0,86|  ≤ 3,17 então não se rejeita H0, logo a um nível de significância de 1% há evidencia estatística suficiente para se concluir que β1= é nulo</v>
      </c>
      <c r="P195" s="28"/>
      <c r="Q195" s="28"/>
      <c r="R195" s="28"/>
      <c r="S195" s="28"/>
      <c r="T195" s="28"/>
      <c r="U195" s="28"/>
      <c r="V195" s="28"/>
      <c r="W195" s="28"/>
      <c r="X195" s="49"/>
      <c r="Y195" s="49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</row>
    <row r="196" spans="2:37" ht="13.5" thickBot="1"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</row>
    <row r="197" spans="2:37">
      <c r="C197" s="39"/>
      <c r="D197" s="41"/>
      <c r="E197" s="41"/>
      <c r="F197" s="41"/>
      <c r="G197" s="41"/>
      <c r="H197" s="41"/>
      <c r="I197" s="41"/>
      <c r="J197" s="41"/>
      <c r="K197" s="41"/>
      <c r="L197" s="41"/>
      <c r="M197" s="42"/>
      <c r="O197" s="39"/>
      <c r="P197" s="41"/>
      <c r="Q197" s="41"/>
      <c r="R197" s="41"/>
      <c r="S197" s="41"/>
      <c r="T197" s="41"/>
      <c r="U197" s="41"/>
      <c r="V197" s="41"/>
      <c r="W197" s="41"/>
      <c r="X197" s="41"/>
      <c r="Y197" s="42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</row>
    <row r="198" spans="2:37">
      <c r="B198" s="21" t="s">
        <v>103</v>
      </c>
      <c r="C198" s="43"/>
      <c r="D198" s="14"/>
      <c r="E198" s="14"/>
      <c r="F198" s="14"/>
      <c r="G198" s="14"/>
      <c r="H198" s="29" t="str">
        <f>B201&amp;"="</f>
        <v>β2=</v>
      </c>
      <c r="I198" s="14">
        <f>AI33</f>
        <v>-0.25755699029315338</v>
      </c>
      <c r="J198" s="14"/>
      <c r="K198" s="14"/>
      <c r="L198" s="14"/>
      <c r="M198" s="45"/>
      <c r="O198" s="43"/>
      <c r="P198" s="14"/>
      <c r="Q198" s="14"/>
      <c r="R198" s="14"/>
      <c r="S198" s="14"/>
      <c r="T198" s="29" t="str">
        <f>H198</f>
        <v>β2=</v>
      </c>
      <c r="U198" s="29">
        <f>I198</f>
        <v>-0.25755699029315338</v>
      </c>
      <c r="V198" s="14"/>
      <c r="W198" s="14"/>
      <c r="X198" s="14"/>
      <c r="Y198" s="45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</row>
    <row r="199" spans="2:37">
      <c r="B199" s="21" t="s">
        <v>83</v>
      </c>
      <c r="C199" s="43"/>
      <c r="D199" s="14"/>
      <c r="E199" s="14"/>
      <c r="F199" s="14"/>
      <c r="G199" s="14"/>
      <c r="H199" s="14"/>
      <c r="I199" s="14"/>
      <c r="J199" s="14"/>
      <c r="K199" s="14"/>
      <c r="L199" s="14"/>
      <c r="M199" s="45"/>
      <c r="O199" s="43"/>
      <c r="P199" s="14"/>
      <c r="Q199" s="14"/>
      <c r="R199" s="14"/>
      <c r="S199" s="14"/>
      <c r="T199" s="14"/>
      <c r="U199" s="14"/>
      <c r="V199" s="14"/>
      <c r="W199" s="14"/>
      <c r="X199" s="14"/>
      <c r="Y199" s="45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</row>
    <row r="200" spans="2:37">
      <c r="B200" s="21" t="s">
        <v>104</v>
      </c>
      <c r="C200" s="43"/>
      <c r="D200" s="14"/>
      <c r="E200" s="14"/>
      <c r="F200" s="14"/>
      <c r="G200" s="14"/>
      <c r="H200" s="14"/>
      <c r="I200" s="14">
        <f>Q33</f>
        <v>1.4743860520953844E-6</v>
      </c>
      <c r="J200" s="14"/>
      <c r="K200" s="14"/>
      <c r="L200" s="14"/>
      <c r="M200" s="45"/>
      <c r="O200" s="43"/>
      <c r="P200" s="14"/>
      <c r="Q200" s="14"/>
      <c r="R200" s="14"/>
      <c r="S200" s="14"/>
      <c r="T200" s="14"/>
      <c r="U200" s="29">
        <f>I200</f>
        <v>1.4743860520953844E-6</v>
      </c>
      <c r="V200" s="14"/>
      <c r="W200" s="14"/>
      <c r="X200" s="14"/>
      <c r="Y200" s="45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</row>
    <row r="201" spans="2:37">
      <c r="B201" s="21" t="s">
        <v>86</v>
      </c>
      <c r="C201" s="43"/>
      <c r="D201" s="14"/>
      <c r="E201" s="14"/>
      <c r="F201" s="14"/>
      <c r="G201" s="14"/>
      <c r="H201" s="14"/>
      <c r="I201" s="14"/>
      <c r="J201" s="14"/>
      <c r="K201" s="14"/>
      <c r="L201" s="14"/>
      <c r="M201" s="45"/>
      <c r="O201" s="43"/>
      <c r="P201" s="14"/>
      <c r="Q201" s="14"/>
      <c r="R201" s="14"/>
      <c r="S201" s="14"/>
      <c r="T201" s="14"/>
      <c r="U201" s="14"/>
      <c r="V201" s="14"/>
      <c r="W201" s="14"/>
      <c r="X201" s="14"/>
      <c r="Y201" s="45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</row>
    <row r="202" spans="2:37">
      <c r="C202" s="43"/>
      <c r="D202" s="14"/>
      <c r="E202" s="14"/>
      <c r="F202" s="14"/>
      <c r="G202" s="14"/>
      <c r="H202" s="14"/>
      <c r="I202" s="14"/>
      <c r="J202" s="14"/>
      <c r="K202" s="14"/>
      <c r="L202" s="14"/>
      <c r="M202" s="45"/>
      <c r="O202" s="43"/>
      <c r="P202" s="14"/>
      <c r="Q202" s="14"/>
      <c r="R202" s="14"/>
      <c r="S202" s="14"/>
      <c r="T202" s="14"/>
      <c r="U202" s="14"/>
      <c r="V202" s="14"/>
      <c r="W202" s="14"/>
      <c r="X202" s="14"/>
      <c r="Y202" s="45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</row>
    <row r="203" spans="2:37">
      <c r="C203" s="43"/>
      <c r="D203" s="14">
        <f>E54</f>
        <v>1378.3031307692306</v>
      </c>
      <c r="E203" s="14"/>
      <c r="F203" s="14"/>
      <c r="G203" s="14"/>
      <c r="H203" s="14"/>
      <c r="I203" s="14"/>
      <c r="J203" s="14"/>
      <c r="K203" s="14"/>
      <c r="L203" s="14"/>
      <c r="M203" s="45"/>
      <c r="O203" s="43"/>
      <c r="P203" s="29">
        <f>D203</f>
        <v>1378.3031307692306</v>
      </c>
      <c r="Q203" s="14"/>
      <c r="R203" s="14"/>
      <c r="S203" s="14"/>
      <c r="T203" s="14"/>
      <c r="U203" s="14"/>
      <c r="V203" s="14"/>
      <c r="W203" s="14"/>
      <c r="X203" s="14"/>
      <c r="Y203" s="45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</row>
    <row r="204" spans="2:37">
      <c r="C204" s="43"/>
      <c r="D204" s="14"/>
      <c r="E204" s="14"/>
      <c r="F204" s="14"/>
      <c r="G204" s="14"/>
      <c r="H204" s="14"/>
      <c r="I204" s="14"/>
      <c r="J204" s="14"/>
      <c r="K204" s="14"/>
      <c r="L204" s="14"/>
      <c r="M204" s="45"/>
      <c r="O204" s="43"/>
      <c r="P204" s="14"/>
      <c r="Q204" s="14"/>
      <c r="R204" s="14"/>
      <c r="S204" s="14"/>
      <c r="T204" s="14"/>
      <c r="U204" s="14"/>
      <c r="V204" s="14"/>
      <c r="W204" s="14"/>
      <c r="X204" s="14"/>
      <c r="Y204" s="45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</row>
    <row r="205" spans="2:37">
      <c r="C205" s="43"/>
      <c r="D205" s="44" t="s">
        <v>105</v>
      </c>
      <c r="E205" s="14">
        <v>0.05</v>
      </c>
      <c r="F205" s="14"/>
      <c r="G205" s="14"/>
      <c r="H205" s="29" t="s">
        <v>108</v>
      </c>
      <c r="I205" s="14" t="str">
        <f>"]-∞;-"&amp;ROUND(E207,4)&amp;"[ U ]"&amp;ROUND(E207,4)&amp;";+∞["</f>
        <v>]-∞;-2,23[ U ]2,23;+∞[</v>
      </c>
      <c r="J205" s="14"/>
      <c r="K205" s="14"/>
      <c r="L205" s="14"/>
      <c r="M205" s="45"/>
      <c r="O205" s="43"/>
      <c r="P205" s="44" t="s">
        <v>105</v>
      </c>
      <c r="Q205" s="14">
        <v>0.01</v>
      </c>
      <c r="R205" s="14"/>
      <c r="S205" s="14"/>
      <c r="T205" s="29" t="s">
        <v>108</v>
      </c>
      <c r="U205" s="14" t="str">
        <f>"]-∞;-"&amp;ROUND(Q207,4)&amp;"[ U ]"&amp;ROUND(Q207,4)&amp;";+∞["</f>
        <v>]-∞;-3,17[ U ]3,17;+∞[</v>
      </c>
      <c r="V205" s="14"/>
      <c r="W205" s="14"/>
      <c r="X205" s="14"/>
      <c r="Y205" s="45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</row>
    <row r="206" spans="2:37">
      <c r="C206" s="43"/>
      <c r="D206" s="44"/>
      <c r="E206" s="14"/>
      <c r="F206" s="14"/>
      <c r="G206" s="14"/>
      <c r="H206" s="14"/>
      <c r="I206" s="14"/>
      <c r="J206" s="14"/>
      <c r="K206" s="14"/>
      <c r="L206" s="14"/>
      <c r="M206" s="45"/>
      <c r="O206" s="43"/>
      <c r="P206" s="44"/>
      <c r="Q206" s="14"/>
      <c r="R206" s="14"/>
      <c r="S206" s="14"/>
      <c r="T206" s="14"/>
      <c r="U206" s="14"/>
      <c r="V206" s="14"/>
      <c r="W206" s="14"/>
      <c r="X206" s="14"/>
      <c r="Y206" s="45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</row>
    <row r="207" spans="2:37">
      <c r="C207" s="43"/>
      <c r="D207" s="14"/>
      <c r="E207" s="14">
        <f>ROUND(_xlfn.T.INV(1-E205/2,17-(6+1)),2)</f>
        <v>2.23</v>
      </c>
      <c r="F207" s="14"/>
      <c r="G207" s="14"/>
      <c r="H207" s="14"/>
      <c r="I207" s="14"/>
      <c r="J207" s="14"/>
      <c r="K207" s="14"/>
      <c r="L207" s="14"/>
      <c r="M207" s="45"/>
      <c r="O207" s="43"/>
      <c r="P207" s="14"/>
      <c r="Q207" s="14">
        <f>ROUND(_xlfn.T.INV(1-Q205/2,17-(6+1)),2)</f>
        <v>3.17</v>
      </c>
      <c r="R207" s="14"/>
      <c r="S207" s="14"/>
      <c r="T207" s="14"/>
      <c r="U207" s="14"/>
      <c r="V207" s="14"/>
      <c r="W207" s="14"/>
      <c r="X207" s="14"/>
      <c r="Y207" s="45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</row>
    <row r="208" spans="2:37">
      <c r="C208" s="43"/>
      <c r="D208" s="29"/>
      <c r="E208" s="14"/>
      <c r="F208" s="14"/>
      <c r="G208" s="14"/>
      <c r="H208" s="14"/>
      <c r="I208" s="14"/>
      <c r="J208" s="14"/>
      <c r="K208" s="14"/>
      <c r="L208" s="14"/>
      <c r="M208" s="45"/>
      <c r="O208" s="43"/>
      <c r="P208" s="29"/>
      <c r="Q208" s="14"/>
      <c r="R208" s="14"/>
      <c r="S208" s="14"/>
      <c r="T208" s="14"/>
      <c r="U208" s="14"/>
      <c r="V208" s="14"/>
      <c r="W208" s="14"/>
      <c r="X208" s="14"/>
      <c r="Y208" s="45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</row>
    <row r="209" spans="2:37">
      <c r="C209" s="43"/>
      <c r="D209" s="14"/>
      <c r="E209" s="14"/>
      <c r="F209" s="14"/>
      <c r="G209" s="14"/>
      <c r="H209" s="14"/>
      <c r="I209" s="14"/>
      <c r="J209" s="14"/>
      <c r="K209" s="14"/>
      <c r="L209" s="14"/>
      <c r="M209" s="45"/>
      <c r="O209" s="43"/>
      <c r="P209" s="14"/>
      <c r="Q209" s="14"/>
      <c r="R209" s="14"/>
      <c r="S209" s="14"/>
      <c r="T209" s="14"/>
      <c r="U209" s="14"/>
      <c r="V209" s="14"/>
      <c r="W209" s="14"/>
      <c r="X209" s="14"/>
      <c r="Y209" s="45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</row>
    <row r="210" spans="2:37">
      <c r="C210" s="43"/>
      <c r="D210" s="14"/>
      <c r="E210" s="14"/>
      <c r="F210" s="14"/>
      <c r="G210" s="14"/>
      <c r="H210" s="14"/>
      <c r="I210" s="14"/>
      <c r="J210" s="14"/>
      <c r="K210" s="14"/>
      <c r="L210" s="14"/>
      <c r="M210" s="45"/>
      <c r="O210" s="43"/>
      <c r="P210" s="14"/>
      <c r="Q210" s="14"/>
      <c r="R210" s="14"/>
      <c r="S210" s="14"/>
      <c r="T210" s="14"/>
      <c r="U210" s="14"/>
      <c r="V210" s="14"/>
      <c r="W210" s="14"/>
      <c r="X210" s="14"/>
      <c r="Y210" s="45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</row>
    <row r="211" spans="2:37">
      <c r="C211" s="43"/>
      <c r="D211" s="29" t="s">
        <v>106</v>
      </c>
      <c r="E211" s="14">
        <f>ROUND(I198/SQRT(D203*I200),4)</f>
        <v>-5.7134</v>
      </c>
      <c r="F211" s="14"/>
      <c r="G211" s="14"/>
      <c r="H211" s="14"/>
      <c r="I211" s="14"/>
      <c r="J211" s="14"/>
      <c r="K211" s="14"/>
      <c r="L211" s="14"/>
      <c r="M211" s="45"/>
      <c r="O211" s="43"/>
      <c r="P211" s="29" t="s">
        <v>106</v>
      </c>
      <c r="Q211" s="14">
        <f>ROUND(U198/SQRT(P203*U200),4)</f>
        <v>-5.7134</v>
      </c>
      <c r="R211" s="14"/>
      <c r="S211" s="14"/>
      <c r="T211" s="14"/>
      <c r="U211" s="14"/>
      <c r="V211" s="14"/>
      <c r="W211" s="14"/>
      <c r="X211" s="14"/>
      <c r="Y211" s="45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</row>
    <row r="212" spans="2:37">
      <c r="C212" s="43"/>
      <c r="D212" s="29" t="s">
        <v>107</v>
      </c>
      <c r="E212" s="14">
        <f>ABS(E211)</f>
        <v>5.7134</v>
      </c>
      <c r="F212" s="14"/>
      <c r="G212" s="14"/>
      <c r="H212" s="14"/>
      <c r="I212" s="14"/>
      <c r="J212" s="14"/>
      <c r="K212" s="14"/>
      <c r="L212" s="14"/>
      <c r="M212" s="45"/>
      <c r="O212" s="43"/>
      <c r="P212" s="29" t="s">
        <v>107</v>
      </c>
      <c r="Q212" s="14">
        <f>ABS(Q211)</f>
        <v>5.7134</v>
      </c>
      <c r="R212" s="14"/>
      <c r="S212" s="14"/>
      <c r="T212" s="14"/>
      <c r="U212" s="14"/>
      <c r="V212" s="14"/>
      <c r="W212" s="14"/>
      <c r="X212" s="14"/>
      <c r="Y212" s="45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</row>
    <row r="213" spans="2:37" ht="13.5" thickBot="1">
      <c r="C213" s="47" t="str">
        <f>IF(ABS(E211)&gt;ROUND(E207,4), "Como |"&amp;ROUND(E211,2)&amp;"| &gt; "&amp;ROUND(E207,4)&amp;" então rejeita-se H0, logo a um nível de significância de "&amp;E205*100&amp;"% há evidencia estatística suficiente para se concluir que "&amp;H198&amp;" é não nulo","Como |"&amp;ROUND(E211,2)&amp;"|  ≤ "&amp;ROUND(E207,4)&amp;" então não se rejeita H0, logo a um nível de significância de "&amp;E205*100&amp;"% há evidencia estatística suficiente para se concluir que "&amp;H198&amp;" é nulo")</f>
        <v>Como |-5,71| &gt; 2,23 então rejeita-se H0, logo a um nível de significância de 5% há evidencia estatística suficiente para se concluir que β2= é não nulo</v>
      </c>
      <c r="D213" s="28"/>
      <c r="E213" s="28"/>
      <c r="F213" s="28"/>
      <c r="G213" s="28"/>
      <c r="H213" s="28"/>
      <c r="I213" s="28"/>
      <c r="J213" s="28"/>
      <c r="K213" s="28"/>
      <c r="L213" s="49"/>
      <c r="M213" s="49"/>
      <c r="O213" s="47" t="str">
        <f>IF(ABS(Q211)&gt;ROUND(Q207,4), "Como |"&amp;ROUND(Q211,2)&amp;"| &gt; "&amp;ROUND(Q207,4)&amp;" então rejeita-se H0, logo a um nível de significância de "&amp;Q205*100&amp;"% há evidencia estatística suficiente para se concluir que "&amp;T198&amp;" é não nulo","Como |"&amp;ROUND(Q211,2)&amp;"|  ≤ "&amp;ROUND(Q207,4)&amp;" então não se rejeita H0, logo a um nível de significância de "&amp;Q205*100&amp;"% há evidencia estatística suficiente para se concluir que "&amp;T198&amp;" é nulo")</f>
        <v>Como |-5,71| &gt; 3,17 então rejeita-se H0, logo a um nível de significância de 1% há evidencia estatística suficiente para se concluir que β2= é não nulo</v>
      </c>
      <c r="P213" s="28"/>
      <c r="Q213" s="28"/>
      <c r="R213" s="28"/>
      <c r="S213" s="28"/>
      <c r="T213" s="28"/>
      <c r="U213" s="28"/>
      <c r="V213" s="28"/>
      <c r="W213" s="28"/>
      <c r="X213" s="49"/>
      <c r="Y213" s="49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</row>
    <row r="214" spans="2:37" ht="13.5" thickBot="1"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</row>
    <row r="215" spans="2:37">
      <c r="C215" s="39"/>
      <c r="D215" s="41"/>
      <c r="E215" s="41"/>
      <c r="F215" s="41"/>
      <c r="G215" s="41"/>
      <c r="H215" s="41"/>
      <c r="I215" s="41"/>
      <c r="J215" s="41"/>
      <c r="K215" s="41"/>
      <c r="L215" s="41"/>
      <c r="M215" s="42"/>
      <c r="O215" s="39"/>
      <c r="P215" s="41"/>
      <c r="Q215" s="41"/>
      <c r="R215" s="41"/>
      <c r="S215" s="41"/>
      <c r="T215" s="41"/>
      <c r="U215" s="41"/>
      <c r="V215" s="41"/>
      <c r="W215" s="41"/>
      <c r="X215" s="41"/>
      <c r="Y215" s="42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</row>
    <row r="216" spans="2:37">
      <c r="B216" s="21" t="s">
        <v>103</v>
      </c>
      <c r="C216" s="43"/>
      <c r="D216" s="14"/>
      <c r="E216" s="14"/>
      <c r="F216" s="14"/>
      <c r="G216" s="14"/>
      <c r="H216" s="29" t="str">
        <f>B219&amp;"="</f>
        <v>β3=</v>
      </c>
      <c r="I216" s="14">
        <f>AI34</f>
        <v>6.88893945080995E-2</v>
      </c>
      <c r="J216" s="14"/>
      <c r="K216" s="14"/>
      <c r="L216" s="14"/>
      <c r="M216" s="45"/>
      <c r="O216" s="43"/>
      <c r="P216" s="14"/>
      <c r="Q216" s="14"/>
      <c r="R216" s="14"/>
      <c r="S216" s="14"/>
      <c r="T216" s="29" t="str">
        <f>H216</f>
        <v>β3=</v>
      </c>
      <c r="U216" s="29">
        <f>I216</f>
        <v>6.88893945080995E-2</v>
      </c>
      <c r="V216" s="14"/>
      <c r="W216" s="14"/>
      <c r="X216" s="14"/>
      <c r="Y216" s="45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</row>
    <row r="217" spans="2:37">
      <c r="B217" s="21" t="s">
        <v>83</v>
      </c>
      <c r="C217" s="43"/>
      <c r="D217" s="14"/>
      <c r="E217" s="14"/>
      <c r="F217" s="14"/>
      <c r="G217" s="14"/>
      <c r="H217" s="14"/>
      <c r="I217" s="14"/>
      <c r="J217" s="14"/>
      <c r="K217" s="14"/>
      <c r="L217" s="14"/>
      <c r="M217" s="45"/>
      <c r="O217" s="43"/>
      <c r="P217" s="14"/>
      <c r="Q217" s="14"/>
      <c r="R217" s="14"/>
      <c r="S217" s="14"/>
      <c r="T217" s="14"/>
      <c r="U217" s="14"/>
      <c r="V217" s="14"/>
      <c r="W217" s="14"/>
      <c r="X217" s="14"/>
      <c r="Y217" s="45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</row>
    <row r="218" spans="2:37">
      <c r="B218" s="21" t="s">
        <v>104</v>
      </c>
      <c r="C218" s="43"/>
      <c r="D218" s="14"/>
      <c r="E218" s="14"/>
      <c r="F218" s="14"/>
      <c r="G218" s="14"/>
      <c r="H218" s="14"/>
      <c r="I218" s="14">
        <f>R34</f>
        <v>2.0913050988122848E-8</v>
      </c>
      <c r="J218" s="14"/>
      <c r="K218" s="14"/>
      <c r="L218" s="14"/>
      <c r="M218" s="45"/>
      <c r="O218" s="43"/>
      <c r="P218" s="14"/>
      <c r="Q218" s="14"/>
      <c r="R218" s="14"/>
      <c r="S218" s="14"/>
      <c r="T218" s="14"/>
      <c r="U218" s="29">
        <f>I218</f>
        <v>2.0913050988122848E-8</v>
      </c>
      <c r="V218" s="14"/>
      <c r="W218" s="14"/>
      <c r="X218" s="14"/>
      <c r="Y218" s="45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</row>
    <row r="219" spans="2:37">
      <c r="B219" s="21" t="s">
        <v>87</v>
      </c>
      <c r="C219" s="43"/>
      <c r="D219" s="14"/>
      <c r="E219" s="14"/>
      <c r="F219" s="14"/>
      <c r="G219" s="14"/>
      <c r="H219" s="14"/>
      <c r="I219" s="14"/>
      <c r="J219" s="14"/>
      <c r="K219" s="14"/>
      <c r="L219" s="14"/>
      <c r="M219" s="45"/>
      <c r="O219" s="43"/>
      <c r="P219" s="14"/>
      <c r="Q219" s="14"/>
      <c r="R219" s="14"/>
      <c r="S219" s="14"/>
      <c r="T219" s="14"/>
      <c r="U219" s="14"/>
      <c r="V219" s="14"/>
      <c r="W219" s="14"/>
      <c r="X219" s="14"/>
      <c r="Y219" s="45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</row>
    <row r="220" spans="2:37">
      <c r="C220" s="43"/>
      <c r="D220" s="14"/>
      <c r="E220" s="14"/>
      <c r="F220" s="14"/>
      <c r="G220" s="14"/>
      <c r="H220" s="14"/>
      <c r="I220" s="14"/>
      <c r="J220" s="14"/>
      <c r="K220" s="14"/>
      <c r="L220" s="14"/>
      <c r="M220" s="45"/>
      <c r="O220" s="43"/>
      <c r="P220" s="14"/>
      <c r="Q220" s="14"/>
      <c r="R220" s="14"/>
      <c r="S220" s="14"/>
      <c r="T220" s="14"/>
      <c r="U220" s="14"/>
      <c r="V220" s="14"/>
      <c r="W220" s="14"/>
      <c r="X220" s="14"/>
      <c r="Y220" s="45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</row>
    <row r="221" spans="2:37">
      <c r="C221" s="43"/>
      <c r="D221" s="14">
        <f>E54</f>
        <v>1378.3031307692306</v>
      </c>
      <c r="E221" s="14"/>
      <c r="F221" s="14"/>
      <c r="G221" s="14"/>
      <c r="H221" s="14"/>
      <c r="I221" s="14"/>
      <c r="J221" s="14"/>
      <c r="K221" s="14"/>
      <c r="L221" s="14"/>
      <c r="M221" s="45"/>
      <c r="O221" s="43"/>
      <c r="P221" s="29">
        <f>D221</f>
        <v>1378.3031307692306</v>
      </c>
      <c r="Q221" s="14"/>
      <c r="R221" s="14"/>
      <c r="S221" s="14"/>
      <c r="T221" s="14"/>
      <c r="U221" s="14"/>
      <c r="V221" s="14"/>
      <c r="W221" s="14"/>
      <c r="X221" s="14"/>
      <c r="Y221" s="45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</row>
    <row r="222" spans="2:37">
      <c r="C222" s="43"/>
      <c r="D222" s="14"/>
      <c r="E222" s="14"/>
      <c r="F222" s="14"/>
      <c r="G222" s="14"/>
      <c r="H222" s="14"/>
      <c r="I222" s="14"/>
      <c r="J222" s="14"/>
      <c r="K222" s="14"/>
      <c r="L222" s="14"/>
      <c r="M222" s="45"/>
      <c r="O222" s="43"/>
      <c r="P222" s="14"/>
      <c r="Q222" s="14"/>
      <c r="R222" s="14"/>
      <c r="S222" s="14"/>
      <c r="T222" s="14"/>
      <c r="U222" s="14"/>
      <c r="V222" s="14"/>
      <c r="W222" s="14"/>
      <c r="X222" s="14"/>
      <c r="Y222" s="45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</row>
    <row r="223" spans="2:37">
      <c r="C223" s="43"/>
      <c r="D223" s="44" t="s">
        <v>105</v>
      </c>
      <c r="E223" s="14">
        <v>0.05</v>
      </c>
      <c r="F223" s="14"/>
      <c r="G223" s="14"/>
      <c r="H223" s="29" t="s">
        <v>108</v>
      </c>
      <c r="I223" s="14" t="str">
        <f>"]-∞;-"&amp;ROUND(E225,4)&amp;"[ U ]"&amp;ROUND(E225,4)&amp;";+∞["</f>
        <v>]-∞;-2,23[ U ]2,23;+∞[</v>
      </c>
      <c r="J223" s="14"/>
      <c r="K223" s="14"/>
      <c r="L223" s="14"/>
      <c r="M223" s="45"/>
      <c r="O223" s="43"/>
      <c r="P223" s="44" t="s">
        <v>105</v>
      </c>
      <c r="Q223" s="14">
        <v>0.01</v>
      </c>
      <c r="R223" s="14"/>
      <c r="S223" s="14"/>
      <c r="T223" s="29" t="s">
        <v>108</v>
      </c>
      <c r="U223" s="14" t="str">
        <f>"]-∞;-"&amp;ROUND(Q225,4)&amp;"[ U ]"&amp;ROUND(Q225,4)&amp;";+∞["</f>
        <v>]-∞;-3,17[ U ]3,17;+∞[</v>
      </c>
      <c r="V223" s="14"/>
      <c r="W223" s="14"/>
      <c r="X223" s="14"/>
      <c r="Y223" s="45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</row>
    <row r="224" spans="2:37">
      <c r="C224" s="43"/>
      <c r="D224" s="44"/>
      <c r="E224" s="14"/>
      <c r="F224" s="14"/>
      <c r="G224" s="14"/>
      <c r="H224" s="14"/>
      <c r="I224" s="14"/>
      <c r="J224" s="14"/>
      <c r="K224" s="14"/>
      <c r="L224" s="14"/>
      <c r="M224" s="45"/>
      <c r="O224" s="43"/>
      <c r="P224" s="44"/>
      <c r="Q224" s="14"/>
      <c r="R224" s="14"/>
      <c r="S224" s="14"/>
      <c r="T224" s="14"/>
      <c r="U224" s="14"/>
      <c r="V224" s="14"/>
      <c r="W224" s="14"/>
      <c r="X224" s="14"/>
      <c r="Y224" s="45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</row>
    <row r="225" spans="3:37">
      <c r="C225" s="43"/>
      <c r="D225" s="14"/>
      <c r="E225" s="14">
        <f>ROUND(_xlfn.T.INV(1-E223/2,17-(6+1)),2)</f>
        <v>2.23</v>
      </c>
      <c r="F225" s="14"/>
      <c r="G225" s="14"/>
      <c r="H225" s="14"/>
      <c r="I225" s="14"/>
      <c r="J225" s="14"/>
      <c r="K225" s="14"/>
      <c r="L225" s="14"/>
      <c r="M225" s="45"/>
      <c r="O225" s="43"/>
      <c r="P225" s="14"/>
      <c r="Q225" s="14">
        <f>ROUND(_xlfn.T.INV(1-Q223/2,17-(6+1)),2)</f>
        <v>3.17</v>
      </c>
      <c r="R225" s="14"/>
      <c r="S225" s="14"/>
      <c r="T225" s="14"/>
      <c r="U225" s="14"/>
      <c r="V225" s="14"/>
      <c r="W225" s="14"/>
      <c r="X225" s="14"/>
      <c r="Y225" s="45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</row>
    <row r="226" spans="3:37">
      <c r="C226" s="43"/>
      <c r="D226" s="29"/>
      <c r="E226" s="14"/>
      <c r="F226" s="14"/>
      <c r="G226" s="14"/>
      <c r="H226" s="14"/>
      <c r="I226" s="14"/>
      <c r="J226" s="14"/>
      <c r="K226" s="14"/>
      <c r="L226" s="14"/>
      <c r="M226" s="45"/>
      <c r="O226" s="43"/>
      <c r="P226" s="29"/>
      <c r="Q226" s="14"/>
      <c r="R226" s="14"/>
      <c r="S226" s="14"/>
      <c r="T226" s="14"/>
      <c r="U226" s="14"/>
      <c r="V226" s="14"/>
      <c r="W226" s="14"/>
      <c r="X226" s="14"/>
      <c r="Y226" s="45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</row>
    <row r="227" spans="3:37">
      <c r="C227" s="43"/>
      <c r="D227" s="14"/>
      <c r="E227" s="14"/>
      <c r="F227" s="14"/>
      <c r="G227" s="14"/>
      <c r="H227" s="14"/>
      <c r="I227" s="14"/>
      <c r="J227" s="14"/>
      <c r="K227" s="14"/>
      <c r="L227" s="14"/>
      <c r="M227" s="45"/>
      <c r="O227" s="43"/>
      <c r="P227" s="14"/>
      <c r="Q227" s="14"/>
      <c r="R227" s="14"/>
      <c r="S227" s="14"/>
      <c r="T227" s="14"/>
      <c r="U227" s="14"/>
      <c r="V227" s="14"/>
      <c r="W227" s="14"/>
      <c r="X227" s="14"/>
      <c r="Y227" s="45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</row>
    <row r="228" spans="3:37">
      <c r="C228" s="43"/>
      <c r="D228" s="14"/>
      <c r="E228" s="14"/>
      <c r="F228" s="14"/>
      <c r="G228" s="14"/>
      <c r="H228" s="14"/>
      <c r="I228" s="14"/>
      <c r="J228" s="14"/>
      <c r="K228" s="14"/>
      <c r="L228" s="14"/>
      <c r="M228" s="45"/>
      <c r="O228" s="43"/>
      <c r="P228" s="14"/>
      <c r="Q228" s="14"/>
      <c r="R228" s="14"/>
      <c r="S228" s="14"/>
      <c r="T228" s="14"/>
      <c r="U228" s="14"/>
      <c r="V228" s="14"/>
      <c r="W228" s="14"/>
      <c r="X228" s="14"/>
      <c r="Y228" s="45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</row>
    <row r="229" spans="3:37">
      <c r="C229" s="43"/>
      <c r="D229" s="29" t="s">
        <v>106</v>
      </c>
      <c r="E229" s="14">
        <f>ROUND(I216/SQRT(D221*I218),4)</f>
        <v>12.831300000000001</v>
      </c>
      <c r="F229" s="14"/>
      <c r="G229" s="14"/>
      <c r="H229" s="14"/>
      <c r="I229" s="14"/>
      <c r="J229" s="14"/>
      <c r="K229" s="14"/>
      <c r="L229" s="14"/>
      <c r="M229" s="45"/>
      <c r="O229" s="43"/>
      <c r="P229" s="29" t="s">
        <v>106</v>
      </c>
      <c r="Q229" s="14">
        <f>ROUND(U216/SQRT(P221*U218),4)</f>
        <v>12.831300000000001</v>
      </c>
      <c r="R229" s="14"/>
      <c r="S229" s="14"/>
      <c r="T229" s="14"/>
      <c r="U229" s="14"/>
      <c r="V229" s="14"/>
      <c r="W229" s="14"/>
      <c r="X229" s="14"/>
      <c r="Y229" s="45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</row>
    <row r="230" spans="3:37">
      <c r="C230" s="43"/>
      <c r="D230" s="29" t="s">
        <v>107</v>
      </c>
      <c r="E230" s="14">
        <f>ABS(E229)</f>
        <v>12.831300000000001</v>
      </c>
      <c r="F230" s="14"/>
      <c r="G230" s="14"/>
      <c r="H230" s="14"/>
      <c r="I230" s="14"/>
      <c r="J230" s="14"/>
      <c r="K230" s="14"/>
      <c r="L230" s="14"/>
      <c r="M230" s="45"/>
      <c r="O230" s="43"/>
      <c r="P230" s="29" t="s">
        <v>107</v>
      </c>
      <c r="Q230" s="14">
        <f>ABS(Q229)</f>
        <v>12.831300000000001</v>
      </c>
      <c r="R230" s="14"/>
      <c r="S230" s="14"/>
      <c r="T230" s="14"/>
      <c r="U230" s="14"/>
      <c r="V230" s="14"/>
      <c r="W230" s="14"/>
      <c r="X230" s="14"/>
      <c r="Y230" s="45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</row>
    <row r="231" spans="3:37" ht="13.5" thickBot="1">
      <c r="C231" s="47" t="str">
        <f>IF(ABS(E229)&gt;ROUND(E225,4), "Como |"&amp;ROUND(E229,2)&amp;"| &gt; "&amp;ROUND(E225,4)&amp;" então rejeita-se H0, logo a um nível de significância de "&amp;E223*100&amp;"% há evidencia estatística suficiente para se concluir que "&amp;H216&amp;" é não nulo","Como |"&amp;ROUND(E229,2)&amp;"|  ≤ "&amp;ROUND(E225,4)&amp;" então não se rejeita H0, logo a um nível de significância de "&amp;E223*100&amp;"% há evidencia estatística suficiente para se concluir que "&amp;H216&amp;" é nulo")</f>
        <v>Como |12,83| &gt; 2,23 então rejeita-se H0, logo a um nível de significância de 5% há evidencia estatística suficiente para se concluir que β3= é não nulo</v>
      </c>
      <c r="D231" s="28"/>
      <c r="E231" s="28"/>
      <c r="F231" s="28"/>
      <c r="G231" s="28"/>
      <c r="H231" s="28"/>
      <c r="I231" s="28"/>
      <c r="J231" s="28"/>
      <c r="K231" s="28"/>
      <c r="L231" s="49"/>
      <c r="M231" s="49"/>
      <c r="O231" s="47" t="str">
        <f>IF(ABS(Q229)&gt;ROUND(Q225,4), "Como |"&amp;ROUND(Q229,2)&amp;"| &gt; "&amp;ROUND(Q225,4)&amp;" então rejeita-se H0, logo a um nível de significância de "&amp;Q223*100&amp;"% há evidencia estatística suficiente para se concluir que "&amp;T216&amp;" é não nulo","Como |"&amp;ROUND(Q229,2)&amp;"|  ≤ "&amp;ROUND(Q225,4)&amp;" então não se rejeita H0, logo a um nível de significância de "&amp;Q223*100&amp;"% há evidencia estatística suficiente para se concluir que "&amp;T216&amp;" é nulo")</f>
        <v>Como |12,83| &gt; 3,17 então rejeita-se H0, logo a um nível de significância de 1% há evidencia estatística suficiente para se concluir que β3= é não nulo</v>
      </c>
      <c r="P231" s="28"/>
      <c r="Q231" s="28"/>
      <c r="R231" s="28"/>
      <c r="S231" s="28"/>
      <c r="T231" s="28"/>
      <c r="U231" s="28"/>
      <c r="V231" s="28"/>
      <c r="W231" s="28"/>
      <c r="X231" s="49"/>
      <c r="Y231" s="49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</row>
  </sheetData>
  <mergeCells count="1">
    <mergeCell ref="B39:O3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13</vt:i4>
      </vt:variant>
    </vt:vector>
  </HeadingPairs>
  <TitlesOfParts>
    <vt:vector size="13" baseType="lpstr">
      <vt:lpstr>owid-covid-data</vt:lpstr>
      <vt:lpstr>1.1-SLRDaily_NewCases</vt:lpstr>
      <vt:lpstr>1.2-SLRDaily_NewDeaths</vt:lpstr>
      <vt:lpstr>1.3-SLRWeekly_NewCases</vt:lpstr>
      <vt:lpstr>1.4-SLRWeekly_NewDeaths</vt:lpstr>
      <vt:lpstr>2.1-MLRDaily_NewCases</vt:lpstr>
      <vt:lpstr>2.2-MLRDaily_NewDeaths</vt:lpstr>
      <vt:lpstr>2.3-MLRWeekly_NewCases</vt:lpstr>
      <vt:lpstr>2.4-MLRWeekly_NewDeaths</vt:lpstr>
      <vt:lpstr>3.1-MLRDaily_NewCases</vt:lpstr>
      <vt:lpstr>3.2-MLRDaily_NewDeaths</vt:lpstr>
      <vt:lpstr>3.3-MLRWeekly_NewCases</vt:lpstr>
      <vt:lpstr>3.4-MLRWeekly_NewDeaths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Pedro Pereira</cp:lastModifiedBy>
  <cp:revision>1</cp:revision>
  <dcterms:created xsi:type="dcterms:W3CDTF">2022-03-15T17:33:44Z</dcterms:created>
  <dcterms:modified xsi:type="dcterms:W3CDTF">2022-06-21T21:59:34Z</dcterms:modified>
  <cp:category/>
  <cp:contentStatus/>
</cp:coreProperties>
</file>