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PM,AMaPL\Labs\"/>
    </mc:Choice>
  </mc:AlternateContent>
  <xr:revisionPtr revIDLastSave="0" documentId="13_ncr:1_{E7E6862C-727E-4B15-A11C-A76F0CE2F4A2}" xr6:coauthVersionLast="47" xr6:coauthVersionMax="47" xr10:uidLastSave="{00000000-0000-0000-0000-000000000000}"/>
  <bookViews>
    <workbookView xWindow="-108" yWindow="-108" windowWidth="23256" windowHeight="12576" firstSheet="3" activeTab="7" xr2:uid="{685F6175-C15D-4F37-9157-ECB83DFD4D7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6" l="1"/>
  <c r="B5" i="6"/>
  <c r="D10" i="6"/>
  <c r="A21" i="6"/>
  <c r="C21" i="6" s="1"/>
  <c r="F10" i="7"/>
  <c r="B17" i="7"/>
  <c r="B18" i="7"/>
  <c r="B11" i="7"/>
  <c r="B13" i="7"/>
  <c r="F13" i="8"/>
  <c r="C21" i="8" s="1"/>
  <c r="B13" i="8"/>
  <c r="B21" i="8"/>
  <c r="B15" i="8"/>
  <c r="B21" i="6"/>
  <c r="E21" i="6"/>
  <c r="C15" i="6"/>
  <c r="I8" i="8"/>
  <c r="C22" i="8" s="1"/>
  <c r="I7" i="8"/>
  <c r="I6" i="8"/>
  <c r="D8" i="8"/>
  <c r="D7" i="8"/>
  <c r="D6" i="8"/>
  <c r="B22" i="8" s="1"/>
  <c r="B25" i="7"/>
  <c r="B22" i="7"/>
  <c r="B21" i="7" s="1"/>
  <c r="B12" i="7"/>
  <c r="B9" i="7"/>
  <c r="B8" i="7"/>
  <c r="B10" i="7"/>
  <c r="B28" i="7"/>
  <c r="B27" i="7"/>
  <c r="B26" i="7"/>
  <c r="C24" i="8" l="1"/>
  <c r="F15" i="8"/>
  <c r="B24" i="8"/>
  <c r="E11" i="6"/>
  <c r="E12" i="6"/>
  <c r="E13" i="6"/>
  <c r="E15" i="6"/>
  <c r="E16" i="6"/>
  <c r="E17" i="6"/>
  <c r="E18" i="6"/>
  <c r="D11" i="6"/>
  <c r="D12" i="6"/>
  <c r="D14" i="6"/>
  <c r="D15" i="6"/>
  <c r="D16" i="6"/>
  <c r="D17" i="6"/>
  <c r="D18" i="6"/>
  <c r="C14" i="6"/>
  <c r="C13" i="6" s="1"/>
  <c r="C12" i="6" s="1"/>
  <c r="C11" i="6" s="1"/>
  <c r="C10" i="6" s="1"/>
  <c r="C17" i="6"/>
  <c r="C16" i="6"/>
  <c r="D21" i="6" l="1"/>
  <c r="C9" i="6"/>
  <c r="E10" i="6"/>
  <c r="D13" i="6"/>
  <c r="E14" i="6"/>
  <c r="C5" i="5"/>
  <c r="C21" i="5"/>
  <c r="C11" i="5"/>
  <c r="C4" i="5"/>
  <c r="C6" i="5" s="1"/>
  <c r="D17" i="4"/>
  <c r="E17" i="4"/>
  <c r="F17" i="4"/>
  <c r="G17" i="4"/>
  <c r="H17" i="4"/>
  <c r="H18" i="4" s="1"/>
  <c r="I17" i="4"/>
  <c r="I18" i="4" s="1"/>
  <c r="J17" i="4"/>
  <c r="K17" i="4"/>
  <c r="L17" i="4"/>
  <c r="M17" i="4"/>
  <c r="N17" i="4"/>
  <c r="O17" i="4"/>
  <c r="O18" i="4" s="1"/>
  <c r="P17" i="4"/>
  <c r="Q17" i="4"/>
  <c r="R17" i="4"/>
  <c r="S17" i="4"/>
  <c r="T17" i="4"/>
  <c r="U17" i="4"/>
  <c r="U18" i="4" s="1"/>
  <c r="V17" i="4"/>
  <c r="W17" i="4"/>
  <c r="X17" i="4"/>
  <c r="X18" i="4" s="1"/>
  <c r="Y17" i="4"/>
  <c r="Y18" i="4" s="1"/>
  <c r="Z17" i="4"/>
  <c r="Z18" i="4" s="1"/>
  <c r="AA17" i="4"/>
  <c r="AB17" i="4"/>
  <c r="AC17" i="4"/>
  <c r="AD17" i="4"/>
  <c r="AD18" i="4" s="1"/>
  <c r="AE17" i="4"/>
  <c r="AE18" i="4" s="1"/>
  <c r="AF17" i="4"/>
  <c r="AF18" i="4" s="1"/>
  <c r="AG17" i="4"/>
  <c r="AG18" i="4" s="1"/>
  <c r="AH17" i="4"/>
  <c r="AI17" i="4"/>
  <c r="AJ17" i="4"/>
  <c r="AK17" i="4"/>
  <c r="AK18" i="4" s="1"/>
  <c r="AL17" i="4"/>
  <c r="AL18" i="4" s="1"/>
  <c r="AM17" i="4"/>
  <c r="AM18" i="4" s="1"/>
  <c r="AN17" i="4"/>
  <c r="AO17" i="4"/>
  <c r="AP17" i="4"/>
  <c r="AQ17" i="4"/>
  <c r="AR17" i="4"/>
  <c r="AR18" i="4" s="1"/>
  <c r="AS17" i="4"/>
  <c r="AS18" i="4" s="1"/>
  <c r="AT17" i="4"/>
  <c r="AU17" i="4"/>
  <c r="AV17" i="4"/>
  <c r="AW17" i="4"/>
  <c r="AX17" i="4"/>
  <c r="AY17" i="4"/>
  <c r="AY18" i="4" s="1"/>
  <c r="AZ17" i="4"/>
  <c r="BA17" i="4"/>
  <c r="BB17" i="4"/>
  <c r="BC17" i="4"/>
  <c r="BD17" i="4"/>
  <c r="BE17" i="4"/>
  <c r="BE18" i="4" s="1"/>
  <c r="BF17" i="4"/>
  <c r="BG17" i="4"/>
  <c r="BH17" i="4"/>
  <c r="BH18" i="4" s="1"/>
  <c r="BI17" i="4"/>
  <c r="BI18" i="4" s="1"/>
  <c r="BJ17" i="4"/>
  <c r="BJ18" i="4" s="1"/>
  <c r="BK17" i="4"/>
  <c r="BL17" i="4"/>
  <c r="BM17" i="4"/>
  <c r="BN17" i="4"/>
  <c r="BN18" i="4" s="1"/>
  <c r="BO17" i="4"/>
  <c r="BO18" i="4" s="1"/>
  <c r="BP17" i="4"/>
  <c r="BP18" i="4" s="1"/>
  <c r="BQ17" i="4"/>
  <c r="BQ18" i="4" s="1"/>
  <c r="BR17" i="4"/>
  <c r="BS17" i="4"/>
  <c r="BT17" i="4"/>
  <c r="BU17" i="4"/>
  <c r="BU18" i="4" s="1"/>
  <c r="BV17" i="4"/>
  <c r="BV18" i="4" s="1"/>
  <c r="BW17" i="4"/>
  <c r="BW18" i="4" s="1"/>
  <c r="BX17" i="4"/>
  <c r="BY17" i="4"/>
  <c r="BZ17" i="4"/>
  <c r="CA17" i="4"/>
  <c r="CB17" i="4"/>
  <c r="CB18" i="4" s="1"/>
  <c r="CC17" i="4"/>
  <c r="CC18" i="4" s="1"/>
  <c r="CD17" i="4"/>
  <c r="CE17" i="4"/>
  <c r="CF17" i="4"/>
  <c r="CG17" i="4"/>
  <c r="CH17" i="4"/>
  <c r="CI17" i="4"/>
  <c r="CI18" i="4" s="1"/>
  <c r="CJ17" i="4"/>
  <c r="CK17" i="4"/>
  <c r="CL17" i="4"/>
  <c r="CM17" i="4"/>
  <c r="CN17" i="4"/>
  <c r="CO17" i="4"/>
  <c r="CO18" i="4" s="1"/>
  <c r="CP17" i="4"/>
  <c r="CQ17" i="4"/>
  <c r="CR17" i="4"/>
  <c r="CR18" i="4" s="1"/>
  <c r="CS17" i="4"/>
  <c r="CS18" i="4" s="1"/>
  <c r="CT17" i="4"/>
  <c r="CT18" i="4" s="1"/>
  <c r="CU17" i="4"/>
  <c r="CV17" i="4"/>
  <c r="CW17" i="4"/>
  <c r="CX17" i="4"/>
  <c r="CX18" i="4" s="1"/>
  <c r="CY17" i="4"/>
  <c r="CY18" i="4" s="1"/>
  <c r="CZ17" i="4"/>
  <c r="CZ18" i="4" s="1"/>
  <c r="DA17" i="4"/>
  <c r="DA18" i="4" s="1"/>
  <c r="DB17" i="4"/>
  <c r="DC17" i="4"/>
  <c r="DD17" i="4"/>
  <c r="DE17" i="4"/>
  <c r="DE18" i="4" s="1"/>
  <c r="DF17" i="4"/>
  <c r="DF18" i="4" s="1"/>
  <c r="DG17" i="4"/>
  <c r="DG18" i="4" s="1"/>
  <c r="DH17" i="4"/>
  <c r="DI17" i="4"/>
  <c r="DJ17" i="4"/>
  <c r="DK17" i="4"/>
  <c r="DL17" i="4"/>
  <c r="DL18" i="4" s="1"/>
  <c r="DM17" i="4"/>
  <c r="DM18" i="4" s="1"/>
  <c r="DN17" i="4"/>
  <c r="DO17" i="4"/>
  <c r="DP17" i="4"/>
  <c r="DQ17" i="4"/>
  <c r="DR17" i="4"/>
  <c r="DS17" i="4"/>
  <c r="DS18" i="4" s="1"/>
  <c r="DT17" i="4"/>
  <c r="DU17" i="4"/>
  <c r="DV17" i="4"/>
  <c r="DW17" i="4"/>
  <c r="DX17" i="4"/>
  <c r="DY17" i="4"/>
  <c r="DY18" i="4" s="1"/>
  <c r="DZ17" i="4"/>
  <c r="EA17" i="4"/>
  <c r="EB17" i="4"/>
  <c r="EB18" i="4" s="1"/>
  <c r="EC17" i="4"/>
  <c r="EC18" i="4" s="1"/>
  <c r="ED17" i="4"/>
  <c r="ED18" i="4" s="1"/>
  <c r="EE17" i="4"/>
  <c r="EF17" i="4"/>
  <c r="EG17" i="4"/>
  <c r="EH17" i="4"/>
  <c r="EH18" i="4" s="1"/>
  <c r="EI17" i="4"/>
  <c r="EI18" i="4" s="1"/>
  <c r="EJ17" i="4"/>
  <c r="EJ18" i="4" s="1"/>
  <c r="EK17" i="4"/>
  <c r="EK18" i="4" s="1"/>
  <c r="EL17" i="4"/>
  <c r="EM17" i="4"/>
  <c r="EN17" i="4"/>
  <c r="EO17" i="4"/>
  <c r="EO18" i="4" s="1"/>
  <c r="EP17" i="4"/>
  <c r="EP18" i="4" s="1"/>
  <c r="EQ17" i="4"/>
  <c r="EQ18" i="4" s="1"/>
  <c r="ER17" i="4"/>
  <c r="ES17" i="4"/>
  <c r="ET17" i="4"/>
  <c r="EU17" i="4"/>
  <c r="EV17" i="4"/>
  <c r="EV18" i="4" s="1"/>
  <c r="EW17" i="4"/>
  <c r="EW18" i="4" s="1"/>
  <c r="C16" i="4"/>
  <c r="C17" i="4"/>
  <c r="AA18" i="4"/>
  <c r="BK18" i="4"/>
  <c r="CU18" i="4"/>
  <c r="EE18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EF16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28" i="4"/>
  <c r="E27" i="4"/>
  <c r="E26" i="4"/>
  <c r="E25" i="4"/>
  <c r="E23" i="4"/>
  <c r="D18" i="4"/>
  <c r="E18" i="4"/>
  <c r="F18" i="4"/>
  <c r="G18" i="4"/>
  <c r="J18" i="4"/>
  <c r="K18" i="4"/>
  <c r="L18" i="4"/>
  <c r="M18" i="4"/>
  <c r="N18" i="4"/>
  <c r="P18" i="4"/>
  <c r="Q18" i="4"/>
  <c r="R18" i="4"/>
  <c r="S18" i="4"/>
  <c r="T18" i="4"/>
  <c r="V18" i="4"/>
  <c r="W18" i="4"/>
  <c r="AB18" i="4"/>
  <c r="AC18" i="4"/>
  <c r="AH18" i="4"/>
  <c r="AI18" i="4"/>
  <c r="AJ18" i="4"/>
  <c r="AN18" i="4"/>
  <c r="AO18" i="4"/>
  <c r="AP18" i="4"/>
  <c r="AQ18" i="4"/>
  <c r="AT18" i="4"/>
  <c r="AU18" i="4"/>
  <c r="AV18" i="4"/>
  <c r="AW18" i="4"/>
  <c r="AX18" i="4"/>
  <c r="AZ18" i="4"/>
  <c r="BA18" i="4"/>
  <c r="BB18" i="4"/>
  <c r="BC18" i="4"/>
  <c r="BD18" i="4"/>
  <c r="BF18" i="4"/>
  <c r="BG18" i="4"/>
  <c r="BL18" i="4"/>
  <c r="BM18" i="4"/>
  <c r="BR18" i="4"/>
  <c r="BS18" i="4"/>
  <c r="BT18" i="4"/>
  <c r="BX18" i="4"/>
  <c r="BY18" i="4"/>
  <c r="BZ18" i="4"/>
  <c r="CA18" i="4"/>
  <c r="CD18" i="4"/>
  <c r="CE18" i="4"/>
  <c r="CF18" i="4"/>
  <c r="CG18" i="4"/>
  <c r="CH18" i="4"/>
  <c r="CJ18" i="4"/>
  <c r="CK18" i="4"/>
  <c r="CL18" i="4"/>
  <c r="CM18" i="4"/>
  <c r="CN18" i="4"/>
  <c r="CP18" i="4"/>
  <c r="CQ18" i="4"/>
  <c r="CV18" i="4"/>
  <c r="CW18" i="4"/>
  <c r="DB18" i="4"/>
  <c r="DC18" i="4"/>
  <c r="DD18" i="4"/>
  <c r="DH18" i="4"/>
  <c r="DI18" i="4"/>
  <c r="DJ18" i="4"/>
  <c r="DK18" i="4"/>
  <c r="DN18" i="4"/>
  <c r="DO18" i="4"/>
  <c r="DP18" i="4"/>
  <c r="DQ18" i="4"/>
  <c r="DR18" i="4"/>
  <c r="DT18" i="4"/>
  <c r="DU18" i="4"/>
  <c r="DV18" i="4"/>
  <c r="DW18" i="4"/>
  <c r="DX18" i="4"/>
  <c r="DZ18" i="4"/>
  <c r="EA18" i="4"/>
  <c r="EF18" i="4"/>
  <c r="EG18" i="4"/>
  <c r="EL18" i="4"/>
  <c r="EM18" i="4"/>
  <c r="EN18" i="4"/>
  <c r="ER18" i="4"/>
  <c r="ES18" i="4"/>
  <c r="ET18" i="4"/>
  <c r="EU18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D15" i="4"/>
  <c r="C15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EF13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C13" i="4"/>
  <c r="C14" i="4" s="1" a="1"/>
  <c r="C14" i="4" s="1"/>
  <c r="C12" i="4" a="1"/>
  <c r="C12" i="4" s="1"/>
  <c r="C11" i="4"/>
  <c r="C10" i="4"/>
  <c r="C9" i="4"/>
  <c r="C5" i="4"/>
  <c r="C4" i="4"/>
  <c r="M23" i="2"/>
  <c r="D20" i="2"/>
  <c r="L23" i="2"/>
  <c r="D19" i="2"/>
  <c r="K23" i="2"/>
  <c r="D18" i="2"/>
  <c r="J23" i="2"/>
  <c r="D17" i="2"/>
  <c r="H23" i="2"/>
  <c r="D13" i="2"/>
  <c r="D16" i="2"/>
  <c r="D14" i="2"/>
  <c r="S4" i="2"/>
  <c r="D11" i="2"/>
  <c r="R5" i="2"/>
  <c r="D12" i="2"/>
  <c r="Q5" i="2"/>
  <c r="P5" i="2"/>
  <c r="N5" i="2"/>
  <c r="D10" i="2"/>
  <c r="D9" i="2"/>
  <c r="D7" i="2"/>
  <c r="D8" i="2" s="1"/>
  <c r="L5" i="2"/>
  <c r="K5" i="2"/>
  <c r="J5" i="2"/>
  <c r="I5" i="2"/>
  <c r="H5" i="2"/>
  <c r="F5" i="2"/>
  <c r="D14" i="1"/>
  <c r="D11" i="1"/>
  <c r="D13" i="1"/>
  <c r="D12" i="1"/>
  <c r="C8" i="6" l="1"/>
  <c r="E9" i="6"/>
  <c r="D9" i="6"/>
  <c r="E34" i="5"/>
  <c r="C26" i="5"/>
  <c r="C25" i="5"/>
  <c r="D34" i="5"/>
  <c r="C8" i="5"/>
  <c r="C7" i="5"/>
  <c r="C29" i="5"/>
  <c r="C18" i="4"/>
  <c r="C7" i="6" l="1"/>
  <c r="E8" i="6"/>
  <c r="D8" i="6"/>
  <c r="C24" i="5"/>
  <c r="C30" i="5"/>
  <c r="C31" i="5"/>
  <c r="D7" i="6" l="1"/>
  <c r="E7" i="6"/>
  <c r="C34" i="5"/>
  <c r="C27" i="5"/>
  <c r="B34" i="5"/>
  <c r="C2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<sst xmlns="http://schemas.openxmlformats.org/spreadsheetml/2006/main" count="327" uniqueCount="238">
  <si>
    <t>Цель работы: ознакомиться с методикой расчета скоростных параметров однолуче-вых лазерных сканирующих устройств на примере рекордера с фиолетовым лазером.</t>
  </si>
  <si>
    <r>
      <t xml:space="preserve">Лабораторная работа №1
</t>
    </r>
    <r>
      <rPr>
        <sz val="11"/>
        <color theme="1"/>
        <rFont val="Calibri"/>
        <family val="2"/>
        <charset val="204"/>
        <scheme val="minor"/>
      </rPr>
      <t>Скоростные параметры лазерных сканирующих устройств рекордеров</t>
    </r>
  </si>
  <si>
    <t>45×80</t>
  </si>
  <si>
    <t>Вариант</t>
  </si>
  <si>
    <t>Формат изображения, B×L, см</t>
  </si>
  <si>
    <t>Разрешение рекордера, R, dpi</t>
  </si>
  <si>
    <t>Время записи изображения, Т, мин.</t>
  </si>
  <si>
    <t>Число граней дефлектора, m</t>
  </si>
  <si>
    <t>Точность позиционирования светового пятна, δ</t>
  </si>
  <si>
    <t>Коэффициент использования зеркальной грани η</t>
  </si>
  <si>
    <t>СИ</t>
  </si>
  <si>
    <t>Vск</t>
  </si>
  <si>
    <t>n</t>
  </si>
  <si>
    <r>
      <t>v</t>
    </r>
    <r>
      <rPr>
        <vertAlign val="subscript"/>
        <sz val="12"/>
        <color theme="1"/>
        <rFont val="Times New Roman"/>
        <family val="1"/>
        <charset val="204"/>
      </rPr>
      <t>зг</t>
    </r>
  </si>
  <si>
    <t>Vм</t>
  </si>
  <si>
    <t>м/с</t>
  </si>
  <si>
    <t>об/мин</t>
  </si>
  <si>
    <t>Вывод:</t>
  </si>
  <si>
    <t>МГц</t>
  </si>
  <si>
    <t>Лабораторная работа № 2
Тепловой расчет системы термостатирования проявочного процессора</t>
  </si>
  <si>
    <t>Вариант 5</t>
  </si>
  <si>
    <t>Цель работы: изучить принцип работы систем термостатирования, освоить выпол-нение теплового расчета системы термостатирования.</t>
  </si>
  <si>
    <t>tmax = 28 °С + 5 °С = 33 °С</t>
  </si>
  <si>
    <t>t (°C)</t>
  </si>
  <si>
    <t>λ Вт/(м·К)</t>
  </si>
  <si>
    <r>
      <t>υ·10</t>
    </r>
    <r>
      <rPr>
        <b/>
        <vertAlign val="superscript"/>
        <sz val="10"/>
        <color rgb="FF000000"/>
        <rFont val="Times New Roman"/>
        <family val="1"/>
        <charset val="204"/>
      </rPr>
      <t>-6</t>
    </r>
    <r>
      <rPr>
        <b/>
        <sz val="10"/>
        <color rgb="FF000000"/>
        <rFont val="Times New Roman"/>
        <family val="1"/>
        <charset val="204"/>
      </rPr>
      <t xml:space="preserve"> (м</t>
    </r>
    <r>
      <rPr>
        <b/>
        <vertAlign val="superscript"/>
        <sz val="10"/>
        <color rgb="FF000000"/>
        <rFont val="Times New Roman"/>
        <family val="1"/>
        <charset val="204"/>
      </rPr>
      <t>2</t>
    </r>
    <r>
      <rPr>
        <b/>
        <sz val="10"/>
        <color rgb="FF000000"/>
        <rFont val="Times New Roman"/>
        <family val="1"/>
        <charset val="204"/>
      </rPr>
      <t>/с)</t>
    </r>
  </si>
  <si>
    <t>Pr</t>
  </si>
  <si>
    <t>Re</t>
  </si>
  <si>
    <t>q(м3/ч)</t>
  </si>
  <si>
    <t>d1(мм)</t>
  </si>
  <si>
    <t>d2(мм)</t>
  </si>
  <si>
    <t>D1(мм)</t>
  </si>
  <si>
    <t>D2(мм)</t>
  </si>
  <si>
    <t>Nu</t>
  </si>
  <si>
    <t>a1</t>
  </si>
  <si>
    <t>a2</t>
  </si>
  <si>
    <t>k1</t>
  </si>
  <si>
    <t>Вт/(м2∙К)</t>
  </si>
  <si>
    <t>Δt1</t>
  </si>
  <si>
    <t>°C</t>
  </si>
  <si>
    <t>N</t>
  </si>
  <si>
    <t>m1(кг)</t>
  </si>
  <si>
    <t>c1(кДж)</t>
  </si>
  <si>
    <t>a3</t>
  </si>
  <si>
    <t>F3</t>
  </si>
  <si>
    <t>Вт</t>
  </si>
  <si>
    <t>Вт/(м2К)</t>
  </si>
  <si>
    <t>м2</t>
  </si>
  <si>
    <t>z</t>
  </si>
  <si>
    <t>T01'(мин)</t>
  </si>
  <si>
    <t>Δτ (мин)</t>
  </si>
  <si>
    <t>l3</t>
  </si>
  <si>
    <t>t2</t>
  </si>
  <si>
    <t>m2</t>
  </si>
  <si>
    <t>λстк Вт/(м·К)</t>
  </si>
  <si>
    <t>W1 (Вт/К)</t>
  </si>
  <si>
    <t>t'2</t>
  </si>
  <si>
    <t>кг</t>
  </si>
  <si>
    <t>м</t>
  </si>
  <si>
    <t>N(Вт)</t>
  </si>
  <si>
    <t>Nтабл(Вт)</t>
  </si>
  <si>
    <t>l3(м)</t>
  </si>
  <si>
    <t>m2(кг)</t>
  </si>
  <si>
    <t>t2(°C)</t>
  </si>
  <si>
    <t>t'2(°C)</t>
  </si>
  <si>
    <t>Вывод: Холодильник не нужен, так как t'2 &lt; t2 и по расчетам, я получил  N = 1071Вт, значит округляем до 1100 Вт</t>
  </si>
  <si>
    <t>Лабораторная работа № 3
Облучатель контактно-копировальной установки</t>
  </si>
  <si>
    <t>2 схема:</t>
  </si>
  <si>
    <t>1 схема:</t>
  </si>
  <si>
    <t>1 -</t>
  </si>
  <si>
    <t>Электродвигатель</t>
  </si>
  <si>
    <t>2 -</t>
  </si>
  <si>
    <t>3 -</t>
  </si>
  <si>
    <t>4 -</t>
  </si>
  <si>
    <t>5 -</t>
  </si>
  <si>
    <t>Муфта</t>
  </si>
  <si>
    <t>Зубчатый одноступенчатый редуктор</t>
  </si>
  <si>
    <t>Затвор</t>
  </si>
  <si>
    <t>Червячный редуктор</t>
  </si>
  <si>
    <t>Две ремные передачи (рулон между ними)</t>
  </si>
  <si>
    <t>Цепная передача (разные размеры звездочек)</t>
  </si>
  <si>
    <t>Затвор облучателя</t>
  </si>
  <si>
    <t>Механизм раскатно-</t>
  </si>
  <si>
    <t>рассеивающей пленки</t>
  </si>
  <si>
    <t>Вывод: Былы изучены конструкции и принципы действий облучателя для экспонирования в динамическом режиме и устройства для прокопировки краев пленок.</t>
  </si>
  <si>
    <t>Цель работы: изучить конструкцию и принцип действия 1) облучателя для экспонирования в динамическом режиме; 2) устройства для прокопировки краев пленок.</t>
  </si>
  <si>
    <t>Рисунки:</t>
  </si>
  <si>
    <t>2 и 3.</t>
  </si>
  <si>
    <t>1:г,д,е,к,з,л;</t>
  </si>
  <si>
    <t>Лабораторная работа № 4
МЕХАНИЗМЫ НАТИСКА</t>
  </si>
  <si>
    <t>Rэ = Rж</t>
  </si>
  <si>
    <t>l</t>
  </si>
  <si>
    <t>m</t>
  </si>
  <si>
    <t>Eд</t>
  </si>
  <si>
    <t>см</t>
  </si>
  <si>
    <t>(Н/см^2)^m</t>
  </si>
  <si>
    <t>Н/см^2</t>
  </si>
  <si>
    <t>Pтн</t>
  </si>
  <si>
    <t>Ei</t>
  </si>
  <si>
    <t>β</t>
  </si>
  <si>
    <t>δ</t>
  </si>
  <si>
    <t>m0</t>
  </si>
  <si>
    <t>k</t>
  </si>
  <si>
    <t>λmin</t>
  </si>
  <si>
    <t>λmax</t>
  </si>
  <si>
    <t>Zmax</t>
  </si>
  <si>
    <t>Qmin</t>
  </si>
  <si>
    <t>Qmax</t>
  </si>
  <si>
    <t>Q</t>
  </si>
  <si>
    <t>Цель работы: изучить существующие схемы механизмов натиска; выполнить технический расчет печатного аппарата.</t>
  </si>
  <si>
    <t>Вывод: былы изучены формулы и построение схем механизмов натиска и проведен технический расчет печатного аппарата.</t>
  </si>
  <si>
    <t>Pкр</t>
  </si>
  <si>
    <t>Zкр</t>
  </si>
  <si>
    <t>Лабораторная работа № 5
РАСЧЕТ ЛИСТОПИТАЮЩИХ СИСТЕМ</t>
  </si>
  <si>
    <t>i</t>
  </si>
  <si>
    <t>тыс. ц/ч</t>
  </si>
  <si>
    <t>tв</t>
  </si>
  <si>
    <t>T0</t>
  </si>
  <si>
    <t>c</t>
  </si>
  <si>
    <t>с</t>
  </si>
  <si>
    <t>tв'=tв''</t>
  </si>
  <si>
    <t>tб</t>
  </si>
  <si>
    <t>ц/с</t>
  </si>
  <si>
    <t>L</t>
  </si>
  <si>
    <t>Кп</t>
  </si>
  <si>
    <t>Кф</t>
  </si>
  <si>
    <t>y0</t>
  </si>
  <si>
    <t>y1=y4</t>
  </si>
  <si>
    <t>y2</t>
  </si>
  <si>
    <t>y3</t>
  </si>
  <si>
    <t>vT</t>
  </si>
  <si>
    <t>vTmin</t>
  </si>
  <si>
    <t>vTср</t>
  </si>
  <si>
    <t>м/c</t>
  </si>
  <si>
    <t>vTср(в)/vTср</t>
  </si>
  <si>
    <t>vTср(в1)/vTср</t>
  </si>
  <si>
    <t>T1</t>
  </si>
  <si>
    <t>T2</t>
  </si>
  <si>
    <t>T3</t>
  </si>
  <si>
    <t>T4</t>
  </si>
  <si>
    <t>tв1</t>
  </si>
  <si>
    <t>Tв</t>
  </si>
  <si>
    <t>Tвн</t>
  </si>
  <si>
    <t>Tн</t>
  </si>
  <si>
    <r>
      <rPr>
        <b/>
        <sz val="11"/>
        <color theme="1"/>
        <rFont val="Calibri"/>
        <family val="2"/>
        <charset val="204"/>
        <scheme val="minor"/>
      </rPr>
      <t>Цель работы</t>
    </r>
    <r>
      <rPr>
        <sz val="11"/>
        <color theme="1"/>
        <rFont val="Calibri"/>
        <family val="2"/>
        <scheme val="minor"/>
      </rPr>
      <t>: научиться определять эффективность листопитающих систем, освоить методику выбора листопитающей системы по заданным параметрам.</t>
    </r>
  </si>
  <si>
    <t>При vT = const (график О2Е2)</t>
  </si>
  <si>
    <t>При vT = var (график О2D2)</t>
  </si>
  <si>
    <t>Ступенчатая подача листов</t>
  </si>
  <si>
    <t>При vT = var</t>
  </si>
  <si>
    <t>Последовательная подача листов</t>
  </si>
  <si>
    <t>При vT = const</t>
  </si>
  <si>
    <t>Вывод: После расчетов, можно выявить, что ступенчатая подача листов с переменным v и с нижними упорами с нижним форгрейфером дает самую лучшую эффективность (сверка по Ti &lt; T0)</t>
  </si>
  <si>
    <t>Лабораторная работа № 6 КРАСОЧНЫЕ АППАРАТЫ ГАЗЕТНЫХ МАШИН</t>
  </si>
  <si>
    <t>Цель работы: Изучить устройство красочного аппарата ротационных рулонных машин, научиться рассчитывать основные характеристики накатной и раскатной системы красочного аппарата, усвоить принцип передачи краски в газетной печатной машине.</t>
  </si>
  <si>
    <t>v</t>
  </si>
  <si>
    <t>w</t>
  </si>
  <si>
    <t>РВ         12</t>
  </si>
  <si>
    <t>РЦ           4</t>
  </si>
  <si>
    <t>НВ           7</t>
  </si>
  <si>
    <t>ФЦ          1</t>
  </si>
  <si>
    <t>z (кол-во)</t>
  </si>
  <si>
    <t>R (м)</t>
  </si>
  <si>
    <t>D (мм)</t>
  </si>
  <si>
    <t>S (м^2)</t>
  </si>
  <si>
    <t>рад/с</t>
  </si>
  <si>
    <t>Кц</t>
  </si>
  <si>
    <t>Кв</t>
  </si>
  <si>
    <t>К наката</t>
  </si>
  <si>
    <t xml:space="preserve">К раската </t>
  </si>
  <si>
    <t>К акк.спос.</t>
  </si>
  <si>
    <t>Линии раск.</t>
  </si>
  <si>
    <t>Вывод: По итогу мы получили коэффиценты раската (4.428571), наката (1.5556), аккумулирующей способности (5.984127) и линии раската = 9.</t>
  </si>
  <si>
    <t>Лабораторная работа № 7 ОДНОНОЖЕВЫЕ БУМАГОРЕЗАЛЬНЫЕ МАШИНЫ</t>
  </si>
  <si>
    <t>Цель работы: Освоить методику определения основных технологических нагрузок, возникающих во время резания стопы и научиться определять производительность одноножевой бумагорезальной машины.</t>
  </si>
  <si>
    <t>Лабораторная работа № 8 НИТКОШВЕЙНЫЕ МАШИНЫ</t>
  </si>
  <si>
    <t>Цель работы: Изучить устройство основных узлов ниткошвейной машины, освоить этапы технологического процесса шитья различными способами, научиться определять производительность ниткошвейной машины.</t>
  </si>
  <si>
    <t>p</t>
  </si>
  <si>
    <t>ρ</t>
  </si>
  <si>
    <t>Pmax</t>
  </si>
  <si>
    <t>q</t>
  </si>
  <si>
    <t>A</t>
  </si>
  <si>
    <t>Aп</t>
  </si>
  <si>
    <t>Aр</t>
  </si>
  <si>
    <t>Н*м</t>
  </si>
  <si>
    <t>γ</t>
  </si>
  <si>
    <t>H</t>
  </si>
  <si>
    <t>α</t>
  </si>
  <si>
    <t>К</t>
  </si>
  <si>
    <t>B</t>
  </si>
  <si>
    <t>η</t>
  </si>
  <si>
    <t>ц/мин</t>
  </si>
  <si>
    <t>кВТ</t>
  </si>
  <si>
    <t>Пy</t>
  </si>
  <si>
    <t>Σt</t>
  </si>
  <si>
    <t>мин</t>
  </si>
  <si>
    <t>стоп/ч</t>
  </si>
  <si>
    <t>t1</t>
  </si>
  <si>
    <t>tот</t>
  </si>
  <si>
    <t>tос</t>
  </si>
  <si>
    <t>tП</t>
  </si>
  <si>
    <t>tY</t>
  </si>
  <si>
    <t>кг/м^2</t>
  </si>
  <si>
    <t>Н/м</t>
  </si>
  <si>
    <t>Н</t>
  </si>
  <si>
    <t>Вывод: Модель бумагорезальной машины - 3БР-136, Производительность = 10 стоп/ч</t>
  </si>
  <si>
    <t>τ(мм)</t>
  </si>
  <si>
    <t>τ(м)</t>
  </si>
  <si>
    <t>Формат издания (см) и доля листа</t>
  </si>
  <si>
    <t>Количество стежков</t>
  </si>
  <si>
    <t>Брошюрное простое шитье</t>
  </si>
  <si>
    <t>Брошюрное переставное шитье</t>
  </si>
  <si>
    <t>Переплетное переставное шитье</t>
  </si>
  <si>
    <t>60x90/8</t>
  </si>
  <si>
    <t>П</t>
  </si>
  <si>
    <t>И</t>
  </si>
  <si>
    <t>Z</t>
  </si>
  <si>
    <t>Y</t>
  </si>
  <si>
    <t>70x90/16</t>
  </si>
  <si>
    <t>Модель</t>
  </si>
  <si>
    <t>Формат сшиваемых тетрадей, см</t>
  </si>
  <si>
    <t>Скорость работы, цикл/мин</t>
  </si>
  <si>
    <t>Степень автоматизации и технологические возможности</t>
  </si>
  <si>
    <t>наименьший</t>
  </si>
  <si>
    <t>наибольший</t>
  </si>
  <si>
    <t>23x30</t>
  </si>
  <si>
    <t>БНШ-6А</t>
  </si>
  <si>
    <t>11,5x17,5</t>
  </si>
  <si>
    <t>Универсальный автомат</t>
  </si>
  <si>
    <t>Страниц</t>
  </si>
  <si>
    <t>Кол-во инструментов:</t>
  </si>
  <si>
    <t>9.5/19</t>
  </si>
  <si>
    <t>блок/час</t>
  </si>
  <si>
    <t>цикл/мин</t>
  </si>
  <si>
    <t>Длина стежков (мм):</t>
  </si>
  <si>
    <t>Внутр./Внешн.</t>
  </si>
  <si>
    <t>Кол-во тетрадных блоков:</t>
  </si>
  <si>
    <t>Время изготовл. изделий:</t>
  </si>
  <si>
    <r>
      <t xml:space="preserve">Вывод: выбрана машина БНШ-6А, т.к. она подходит для работы с 2 форматами издания, требуется универсальная машина, потому что только она работает и с брошюрным переставным шитьем и с переплетным переставным шитьем, а автомат предподчит. полуавтомата. Пy1 = 948.175, </t>
    </r>
    <r>
      <rPr>
        <sz val="11"/>
        <color theme="1"/>
        <rFont val="Calibri"/>
        <family val="2"/>
        <charset val="204"/>
        <scheme val="minor"/>
      </rPr>
      <t>Пy2 =270.9 (блок/час).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</si>
</sst>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2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right" vertical="center"/>
    </xf>
    <xf numFmtId="0" fontId="0" fillId="0" borderId="0" xfId="0" applyFill="1"/>
    <xf numFmtId="0" fontId="11" fillId="0" borderId="0" xfId="0" applyFont="1" applyFill="1" applyAlignment="1">
      <alignment horizontal="right" vertical="center"/>
    </xf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right"/>
    </xf>
    <xf numFmtId="0" fontId="0" fillId="3" borderId="3" xfId="0" applyFill="1" applyBorder="1"/>
    <xf numFmtId="0" fontId="0" fillId="4" borderId="3" xfId="0" applyFill="1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9" xfId="0" applyBorder="1"/>
    <xf numFmtId="0" fontId="1" fillId="0" borderId="16" xfId="0" applyFont="1" applyBorder="1"/>
    <xf numFmtId="0" fontId="0" fillId="5" borderId="3" xfId="0" applyFill="1" applyBorder="1" applyAlignment="1">
      <alignment horizontal="right"/>
    </xf>
    <xf numFmtId="0" fontId="0" fillId="5" borderId="3" xfId="0" applyFill="1" applyBorder="1"/>
    <xf numFmtId="0" fontId="0" fillId="4" borderId="3" xfId="0" applyFill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NumberFormat="1"/>
    <xf numFmtId="0" fontId="11" fillId="0" borderId="0" xfId="0" applyFont="1" applyAlignment="1">
      <alignment horizontal="left"/>
    </xf>
    <xf numFmtId="0" fontId="0" fillId="0" borderId="0" xfId="0"/>
    <xf numFmtId="0" fontId="0" fillId="0" borderId="23" xfId="0" applyBorder="1"/>
    <xf numFmtId="0" fontId="8" fillId="2" borderId="24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2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0" fillId="0" borderId="26" xfId="0" applyBorder="1"/>
    <xf numFmtId="0" fontId="0" fillId="0" borderId="27" xfId="0" applyBorder="1"/>
    <xf numFmtId="0" fontId="0" fillId="0" borderId="30" xfId="0" applyBorder="1" applyAlignment="1">
      <alignment horizontal="right"/>
    </xf>
    <xf numFmtId="0" fontId="0" fillId="0" borderId="28" xfId="0" applyBorder="1"/>
    <xf numFmtId="0" fontId="0" fillId="0" borderId="26" xfId="0" applyFill="1" applyBorder="1" applyAlignment="1">
      <alignment horizontal="right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7" fillId="2" borderId="1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8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1.Ei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Sheet4!$D$12:$EW$12</c:f>
              <c:numCache>
                <c:formatCode>General</c:formatCode>
                <c:ptCount val="150"/>
                <c:pt idx="0">
                  <c:v>2249214202025.103</c:v>
                </c:pt>
                <c:pt idx="1">
                  <c:v>1129331484942.4121</c:v>
                </c:pt>
                <c:pt idx="2">
                  <c:v>756031353725.71387</c:v>
                </c:pt>
                <c:pt idx="3">
                  <c:v>569376944731.31262</c:v>
                </c:pt>
                <c:pt idx="4">
                  <c:v>457380883721.49353</c:v>
                </c:pt>
                <c:pt idx="5">
                  <c:v>382714044735.3396</c:v>
                </c:pt>
                <c:pt idx="6">
                  <c:v>329378229925.87323</c:v>
                </c:pt>
                <c:pt idx="7">
                  <c:v>289374339518.06348</c:v>
                </c:pt>
                <c:pt idx="8">
                  <c:v>258258428460.39468</c:v>
                </c:pt>
                <c:pt idx="9">
                  <c:v>233364129084.56326</c:v>
                </c:pt>
                <c:pt idx="10">
                  <c:v>212994661404.54602</c:v>
                </c:pt>
                <c:pt idx="11">
                  <c:v>196018838265.42401</c:v>
                </c:pt>
                <c:pt idx="12">
                  <c:v>181653529653.68454</c:v>
                </c:pt>
                <c:pt idx="13">
                  <c:v>169339356588.2673</c:v>
                </c:pt>
                <c:pt idx="14">
                  <c:v>158666107454.72342</c:v>
                </c:pt>
                <c:pt idx="15">
                  <c:v>149326123213.62512</c:v>
                </c:pt>
                <c:pt idx="16">
                  <c:v>141084134887.97913</c:v>
                </c:pt>
                <c:pt idx="17">
                  <c:v>133757155221.15509</c:v>
                </c:pt>
                <c:pt idx="18">
                  <c:v>127200720337.26012</c:v>
                </c:pt>
                <c:pt idx="19">
                  <c:v>121299258903.11728</c:v>
                </c:pt>
                <c:pt idx="20">
                  <c:v>115959212957.99097</c:v>
                </c:pt>
                <c:pt idx="21">
                  <c:v>111104034880.42841</c:v>
                </c:pt>
                <c:pt idx="22">
                  <c:v>106670489493.96758</c:v>
                </c:pt>
                <c:pt idx="23">
                  <c:v>102605880646.22481</c:v>
                </c:pt>
                <c:pt idx="24">
                  <c:v>98865943408.82048</c:v>
                </c:pt>
                <c:pt idx="25">
                  <c:v>95413222692.540085</c:v>
                </c:pt>
                <c:pt idx="26">
                  <c:v>92215812170.086105</c:v>
                </c:pt>
                <c:pt idx="27">
                  <c:v>89246363429.527451</c:v>
                </c:pt>
                <c:pt idx="28">
                  <c:v>86481300130.354553</c:v>
                </c:pt>
                <c:pt idx="29">
                  <c:v>83900189328.201965</c:v>
                </c:pt>
                <c:pt idx="30">
                  <c:v>81485234478.547287</c:v>
                </c:pt>
                <c:pt idx="31">
                  <c:v>79220863502.111526</c:v>
                </c:pt>
                <c:pt idx="32">
                  <c:v>77093391747.364594</c:v>
                </c:pt>
                <c:pt idx="33">
                  <c:v>75090744430.146378</c:v>
                </c:pt>
                <c:pt idx="34">
                  <c:v>73202226654.983276</c:v>
                </c:pt>
                <c:pt idx="35">
                  <c:v>71418331766.1082</c:v>
                </c:pt>
                <c:pt idx="36">
                  <c:v>69730580776.621384</c:v>
                </c:pt>
                <c:pt idx="37">
                  <c:v>68131387150.87339</c:v>
                </c:pt>
                <c:pt idx="38">
                  <c:v>66613942389.495934</c:v>
                </c:pt>
                <c:pt idx="39">
                  <c:v>65172118776.618141</c:v>
                </c:pt>
                <c:pt idx="40">
                  <c:v>63800386359.142448</c:v>
                </c:pt>
                <c:pt idx="41">
                  <c:v>62493741786.071915</c:v>
                </c:pt>
                <c:pt idx="42">
                  <c:v>61247647077.184479</c:v>
                </c:pt>
                <c:pt idx="43">
                  <c:v>60057976741.388351</c:v>
                </c:pt>
                <c:pt idx="44">
                  <c:v>58920971945.919106</c:v>
                </c:pt>
                <c:pt idx="45">
                  <c:v>57833200663.428085</c:v>
                </c:pt>
                <c:pt idx="46">
                  <c:v>56791522906.637444</c:v>
                </c:pt>
                <c:pt idx="47">
                  <c:v>55793060308.62793</c:v>
                </c:pt>
                <c:pt idx="48">
                  <c:v>54835169427.954819</c:v>
                </c:pt>
                <c:pt idx="49">
                  <c:v>53915418257.118645</c:v>
                </c:pt>
                <c:pt idx="50">
                  <c:v>53031565494.714043</c:v>
                </c:pt>
                <c:pt idx="51">
                  <c:v>52181542209.226074</c:v>
                </c:pt>
                <c:pt idx="52">
                  <c:v>51363435578.595375</c:v>
                </c:pt>
                <c:pt idx="53">
                  <c:v>50575474436.473274</c:v>
                </c:pt>
                <c:pt idx="54">
                  <c:v>49816016395.224525</c:v>
                </c:pt>
                <c:pt idx="55">
                  <c:v>49083536348.585472</c:v>
                </c:pt>
                <c:pt idx="56">
                  <c:v>48376616184.547264</c:v>
                </c:pt>
                <c:pt idx="57">
                  <c:v>47693935562.402428</c:v>
                </c:pt>
                <c:pt idx="58">
                  <c:v>47034263627.700005</c:v>
                </c:pt>
                <c:pt idx="59">
                  <c:v>46396451555.686073</c:v>
                </c:pt>
                <c:pt idx="60">
                  <c:v>45779425828.159019</c:v>
                </c:pt>
                <c:pt idx="61">
                  <c:v>45182182160.935104</c:v>
                </c:pt>
                <c:pt idx="62">
                  <c:v>44603780009.634323</c:v>
                </c:pt>
                <c:pt idx="63">
                  <c:v>44043337590.534233</c:v>
                </c:pt>
                <c:pt idx="64">
                  <c:v>43500027361.022491</c:v>
                </c:pt>
                <c:pt idx="65">
                  <c:v>42973071910.903847</c:v>
                </c:pt>
                <c:pt idx="66">
                  <c:v>42461740221.636734</c:v>
                </c:pt>
                <c:pt idx="67">
                  <c:v>41965344255.624672</c:v>
                </c:pt>
                <c:pt idx="68">
                  <c:v>41483235842.079407</c:v>
                </c:pt>
                <c:pt idx="69">
                  <c:v>41014803829.798691</c:v>
                </c:pt>
                <c:pt idx="70">
                  <c:v>40559471480.543472</c:v>
                </c:pt>
                <c:pt idx="71">
                  <c:v>40116694079.623672</c:v>
                </c:pt>
                <c:pt idx="72">
                  <c:v>39685956742.864098</c:v>
                </c:pt>
                <c:pt idx="73">
                  <c:v>39266772401.374786</c:v>
                </c:pt>
                <c:pt idx="74">
                  <c:v>38858679947.530609</c:v>
                </c:pt>
                <c:pt idx="75">
                  <c:v>38461242527.312592</c:v>
                </c:pt>
                <c:pt idx="76">
                  <c:v>38074045965.704987</c:v>
                </c:pt>
                <c:pt idx="77">
                  <c:v>37696697313.208366</c:v>
                </c:pt>
                <c:pt idx="78">
                  <c:v>37328823502.736099</c:v>
                </c:pt>
                <c:pt idx="79">
                  <c:v>36970070107.236923</c:v>
                </c:pt>
                <c:pt idx="80">
                  <c:v>36620100189.338371</c:v>
                </c:pt>
                <c:pt idx="81">
                  <c:v>36278593235.156082</c:v>
                </c:pt>
                <c:pt idx="82">
                  <c:v>35945244165.170975</c:v>
                </c:pt>
                <c:pt idx="83">
                  <c:v>35619762415.751961</c:v>
                </c:pt>
                <c:pt idx="84">
                  <c:v>35301871085.506531</c:v>
                </c:pt>
                <c:pt idx="85">
                  <c:v>34991306141.182953</c:v>
                </c:pt>
                <c:pt idx="86">
                  <c:v>34687815678.332321</c:v>
                </c:pt>
                <c:pt idx="87">
                  <c:v>34391159232.375061</c:v>
                </c:pt>
                <c:pt idx="88">
                  <c:v>34101107136.107388</c:v>
                </c:pt>
                <c:pt idx="89">
                  <c:v>33817439920.036148</c:v>
                </c:pt>
                <c:pt idx="90">
                  <c:v>33539947752.247379</c:v>
                </c:pt>
                <c:pt idx="91">
                  <c:v>33268429914.800961</c:v>
                </c:pt>
                <c:pt idx="92">
                  <c:v>33002694313.902081</c:v>
                </c:pt>
                <c:pt idx="93">
                  <c:v>32742557021.334351</c:v>
                </c:pt>
                <c:pt idx="94">
                  <c:v>32487841844.851147</c:v>
                </c:pt>
                <c:pt idx="95">
                  <c:v>32238379925.41404</c:v>
                </c:pt>
                <c:pt idx="96">
                  <c:v>31994009359.340466</c:v>
                </c:pt>
                <c:pt idx="97">
                  <c:v>31754574843.582012</c:v>
                </c:pt>
                <c:pt idx="98">
                  <c:v>31519927342.497673</c:v>
                </c:pt>
                <c:pt idx="99">
                  <c:v>31289923774.617523</c:v>
                </c:pt>
                <c:pt idx="100">
                  <c:v>31064426718.011452</c:v>
                </c:pt>
                <c:pt idx="101">
                  <c:v>30843304132.986202</c:v>
                </c:pt>
                <c:pt idx="102">
                  <c:v>30626429100.933304</c:v>
                </c:pt>
                <c:pt idx="103">
                  <c:v>30413679578.24057</c:v>
                </c:pt>
                <c:pt idx="104">
                  <c:v>30204938164.263317</c:v>
                </c:pt>
                <c:pt idx="105">
                  <c:v>30000091882.426712</c:v>
                </c:pt>
                <c:pt idx="106">
                  <c:v>29799031973.600342</c:v>
                </c:pt>
                <c:pt idx="107">
                  <c:v>29601653700.949566</c:v>
                </c:pt>
                <c:pt idx="108">
                  <c:v>29407856165.526943</c:v>
                </c:pt>
                <c:pt idx="109">
                  <c:v>29217542131.919857</c:v>
                </c:pt>
                <c:pt idx="110">
                  <c:v>29030617863.320702</c:v>
                </c:pt>
                <c:pt idx="111">
                  <c:v>28846992965.43045</c:v>
                </c:pt>
                <c:pt idx="112">
                  <c:v>28666580238.648659</c:v>
                </c:pt>
                <c:pt idx="113">
                  <c:v>28489295538.040947</c:v>
                </c:pt>
                <c:pt idx="114">
                  <c:v>28315057640.610901</c:v>
                </c:pt>
                <c:pt idx="115">
                  <c:v>28143788119.435139</c:v>
                </c:pt>
                <c:pt idx="116">
                  <c:v>27975411224.251617</c:v>
                </c:pt>
                <c:pt idx="117">
                  <c:v>27809853768.117889</c:v>
                </c:pt>
                <c:pt idx="118">
                  <c:v>27647045019.782516</c:v>
                </c:pt>
                <c:pt idx="119">
                  <c:v>27486916601.436398</c:v>
                </c:pt>
                <c:pt idx="120">
                  <c:v>27329402391.532803</c:v>
                </c:pt>
                <c:pt idx="121">
                  <c:v>27174438432.385273</c:v>
                </c:pt>
                <c:pt idx="122">
                  <c:v>27021962842.271595</c:v>
                </c:pt>
                <c:pt idx="123">
                  <c:v>26871915731.789448</c:v>
                </c:pt>
                <c:pt idx="124">
                  <c:v>26724239124.225697</c:v>
                </c:pt>
                <c:pt idx="125">
                  <c:v>26578876879.71632</c:v>
                </c:pt>
                <c:pt idx="126">
                  <c:v>26435774622.988197</c:v>
                </c:pt>
                <c:pt idx="127">
                  <c:v>26294879674.486778</c:v>
                </c:pt>
                <c:pt idx="128">
                  <c:v>26156140984.705948</c:v>
                </c:pt>
                <c:pt idx="129">
                  <c:v>26019509071.547806</c:v>
                </c:pt>
                <c:pt idx="130">
                  <c:v>25884935960.550274</c:v>
                </c:pt>
                <c:pt idx="131">
                  <c:v>25752375127.830746</c:v>
                </c:pt>
                <c:pt idx="132">
                  <c:v>25621781445.602554</c:v>
                </c:pt>
                <c:pt idx="133">
                  <c:v>25493111130.130169</c:v>
                </c:pt>
                <c:pt idx="134">
                  <c:v>25366321691.996418</c:v>
                </c:pt>
                <c:pt idx="135">
                  <c:v>25241371888.563038</c:v>
                </c:pt>
                <c:pt idx="136">
                  <c:v>25118221678.512218</c:v>
                </c:pt>
                <c:pt idx="137">
                  <c:v>24996832178.363873</c:v>
                </c:pt>
                <c:pt idx="138">
                  <c:v>24877165620.8689</c:v>
                </c:pt>
                <c:pt idx="139">
                  <c:v>24759185315.184956</c:v>
                </c:pt>
                <c:pt idx="140">
                  <c:v>24642855608.745895</c:v>
                </c:pt>
                <c:pt idx="141">
                  <c:v>24528141850.741791</c:v>
                </c:pt>
                <c:pt idx="142">
                  <c:v>24415010357.130371</c:v>
                </c:pt>
                <c:pt idx="143">
                  <c:v>24303428377.105721</c:v>
                </c:pt>
                <c:pt idx="144">
                  <c:v>24193364060.953716</c:v>
                </c:pt>
                <c:pt idx="145">
                  <c:v>24084786429.227833</c:v>
                </c:pt>
                <c:pt idx="146">
                  <c:v>23977665343.182457</c:v>
                </c:pt>
                <c:pt idx="147">
                  <c:v>23871971476.404114</c:v>
                </c:pt>
                <c:pt idx="148">
                  <c:v>23767676287.584572</c:v>
                </c:pt>
                <c:pt idx="149">
                  <c:v>23664751994.382339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0-42B4-922B-A8BD31BA7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422783"/>
        <c:axId val="1825424031"/>
      </c:lineChart>
      <c:catAx>
        <c:axId val="18254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4031"/>
        <c:crosses val="autoZero"/>
        <c:auto val="1"/>
        <c:lblAlgn val="ctr"/>
        <c:lblOffset val="100"/>
        <c:noMultiLvlLbl val="0"/>
      </c:catAx>
      <c:valAx>
        <c:axId val="182542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</a:t>
            </a:r>
            <a:r>
              <a:rPr lang="el-GR"/>
              <a:t>λ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λmax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Sheet4!$C$13:$EW$13</c:f>
              <c:numCache>
                <c:formatCode>General</c:formatCode>
                <c:ptCount val="151"/>
                <c:pt idx="0">
                  <c:v>1.5811388300841896E-2</c:v>
                </c:pt>
                <c:pt idx="1">
                  <c:v>1.5811388300841896E-2</c:v>
                </c:pt>
                <c:pt idx="2">
                  <c:v>1.5811388300841896E-2</c:v>
                </c:pt>
                <c:pt idx="3">
                  <c:v>1.5811388300841896E-2</c:v>
                </c:pt>
                <c:pt idx="4">
                  <c:v>1.5811388300841896E-2</c:v>
                </c:pt>
                <c:pt idx="5">
                  <c:v>1.5811388300841896E-2</c:v>
                </c:pt>
                <c:pt idx="6">
                  <c:v>1.5811388300841896E-2</c:v>
                </c:pt>
                <c:pt idx="7">
                  <c:v>1.5811388300841896E-2</c:v>
                </c:pt>
                <c:pt idx="8">
                  <c:v>1.5811388300841896E-2</c:v>
                </c:pt>
                <c:pt idx="9">
                  <c:v>1.5811388300841896E-2</c:v>
                </c:pt>
                <c:pt idx="10">
                  <c:v>1.5811388300841896E-2</c:v>
                </c:pt>
                <c:pt idx="11">
                  <c:v>1.5811388300841896E-2</c:v>
                </c:pt>
                <c:pt idx="12">
                  <c:v>1.5811388300841896E-2</c:v>
                </c:pt>
                <c:pt idx="13">
                  <c:v>1.5811388300841896E-2</c:v>
                </c:pt>
                <c:pt idx="14">
                  <c:v>1.5811388300841896E-2</c:v>
                </c:pt>
                <c:pt idx="15">
                  <c:v>1.5811388300841896E-2</c:v>
                </c:pt>
                <c:pt idx="16">
                  <c:v>1.5811388300841896E-2</c:v>
                </c:pt>
                <c:pt idx="17">
                  <c:v>1.5811388300841896E-2</c:v>
                </c:pt>
                <c:pt idx="18">
                  <c:v>1.5811388300841896E-2</c:v>
                </c:pt>
                <c:pt idx="19">
                  <c:v>1.5811388300841896E-2</c:v>
                </c:pt>
                <c:pt idx="20">
                  <c:v>1.5811388300841896E-2</c:v>
                </c:pt>
                <c:pt idx="21">
                  <c:v>1.5811388300841896E-2</c:v>
                </c:pt>
                <c:pt idx="22">
                  <c:v>1.5811388300841896E-2</c:v>
                </c:pt>
                <c:pt idx="23">
                  <c:v>1.5811388300841896E-2</c:v>
                </c:pt>
                <c:pt idx="24">
                  <c:v>1.5811388300841896E-2</c:v>
                </c:pt>
                <c:pt idx="25">
                  <c:v>1.5811388300841896E-2</c:v>
                </c:pt>
                <c:pt idx="26">
                  <c:v>1.5811388300841896E-2</c:v>
                </c:pt>
                <c:pt idx="27">
                  <c:v>1.5811388300841896E-2</c:v>
                </c:pt>
                <c:pt idx="28">
                  <c:v>1.5811388300841896E-2</c:v>
                </c:pt>
                <c:pt idx="29">
                  <c:v>1.5811388300841896E-2</c:v>
                </c:pt>
                <c:pt idx="30">
                  <c:v>1.5811388300841896E-2</c:v>
                </c:pt>
                <c:pt idx="31">
                  <c:v>1.5811388300841896E-2</c:v>
                </c:pt>
                <c:pt idx="32">
                  <c:v>1.5811388300841896E-2</c:v>
                </c:pt>
                <c:pt idx="33">
                  <c:v>1.5811388300841896E-2</c:v>
                </c:pt>
                <c:pt idx="34">
                  <c:v>1.5811388300841896E-2</c:v>
                </c:pt>
                <c:pt idx="35">
                  <c:v>1.5811388300841896E-2</c:v>
                </c:pt>
                <c:pt idx="36">
                  <c:v>1.5811388300841896E-2</c:v>
                </c:pt>
                <c:pt idx="37">
                  <c:v>1.5811388300841896E-2</c:v>
                </c:pt>
                <c:pt idx="38">
                  <c:v>1.5811388300841896E-2</c:v>
                </c:pt>
                <c:pt idx="39">
                  <c:v>1.5811388300841896E-2</c:v>
                </c:pt>
                <c:pt idx="40">
                  <c:v>1.5811388300841896E-2</c:v>
                </c:pt>
                <c:pt idx="41">
                  <c:v>1.5811388300841896E-2</c:v>
                </c:pt>
                <c:pt idx="42">
                  <c:v>1.5811388300841896E-2</c:v>
                </c:pt>
                <c:pt idx="43">
                  <c:v>1.5811388300841896E-2</c:v>
                </c:pt>
                <c:pt idx="44">
                  <c:v>1.5811388300841896E-2</c:v>
                </c:pt>
                <c:pt idx="45">
                  <c:v>1.5811388300841896E-2</c:v>
                </c:pt>
                <c:pt idx="46">
                  <c:v>1.5811388300841896E-2</c:v>
                </c:pt>
                <c:pt idx="47">
                  <c:v>1.5811388300841896E-2</c:v>
                </c:pt>
                <c:pt idx="48">
                  <c:v>1.5811388300841896E-2</c:v>
                </c:pt>
                <c:pt idx="49">
                  <c:v>1.5811388300841896E-2</c:v>
                </c:pt>
                <c:pt idx="50">
                  <c:v>1.5811388300841896E-2</c:v>
                </c:pt>
                <c:pt idx="51">
                  <c:v>1.5811388300841896E-2</c:v>
                </c:pt>
                <c:pt idx="52">
                  <c:v>1.5811388300841896E-2</c:v>
                </c:pt>
                <c:pt idx="53">
                  <c:v>1.5811388300841896E-2</c:v>
                </c:pt>
                <c:pt idx="54">
                  <c:v>1.5811388300841896E-2</c:v>
                </c:pt>
                <c:pt idx="55">
                  <c:v>1.5811388300841896E-2</c:v>
                </c:pt>
                <c:pt idx="56">
                  <c:v>1.5811388300841896E-2</c:v>
                </c:pt>
                <c:pt idx="57">
                  <c:v>1.5811388300841896E-2</c:v>
                </c:pt>
                <c:pt idx="58">
                  <c:v>1.5811388300841896E-2</c:v>
                </c:pt>
                <c:pt idx="59">
                  <c:v>1.5811388300841896E-2</c:v>
                </c:pt>
                <c:pt idx="60">
                  <c:v>1.5811388300841896E-2</c:v>
                </c:pt>
                <c:pt idx="61">
                  <c:v>1.5811388300841896E-2</c:v>
                </c:pt>
                <c:pt idx="62">
                  <c:v>1.5811388300841896E-2</c:v>
                </c:pt>
                <c:pt idx="63">
                  <c:v>1.5811388300841896E-2</c:v>
                </c:pt>
                <c:pt idx="64">
                  <c:v>1.5811388300841896E-2</c:v>
                </c:pt>
                <c:pt idx="65">
                  <c:v>1.5811388300841896E-2</c:v>
                </c:pt>
                <c:pt idx="66">
                  <c:v>1.5811388300841896E-2</c:v>
                </c:pt>
                <c:pt idx="67">
                  <c:v>1.5811388300841896E-2</c:v>
                </c:pt>
                <c:pt idx="68">
                  <c:v>1.5811388300841896E-2</c:v>
                </c:pt>
                <c:pt idx="69">
                  <c:v>1.5811388300841896E-2</c:v>
                </c:pt>
                <c:pt idx="70">
                  <c:v>1.5811388300841896E-2</c:v>
                </c:pt>
                <c:pt idx="71">
                  <c:v>1.5811388300841896E-2</c:v>
                </c:pt>
                <c:pt idx="72">
                  <c:v>1.5811388300841896E-2</c:v>
                </c:pt>
                <c:pt idx="73">
                  <c:v>1.5811388300841896E-2</c:v>
                </c:pt>
                <c:pt idx="74">
                  <c:v>1.5811388300841896E-2</c:v>
                </c:pt>
                <c:pt idx="75">
                  <c:v>1.5811388300841896E-2</c:v>
                </c:pt>
                <c:pt idx="76">
                  <c:v>1.5811388300841896E-2</c:v>
                </c:pt>
                <c:pt idx="77">
                  <c:v>1.5811388300841896E-2</c:v>
                </c:pt>
                <c:pt idx="78">
                  <c:v>1.5811388300841896E-2</c:v>
                </c:pt>
                <c:pt idx="79">
                  <c:v>1.5811388300841896E-2</c:v>
                </c:pt>
                <c:pt idx="80">
                  <c:v>1.5811388300841896E-2</c:v>
                </c:pt>
                <c:pt idx="81">
                  <c:v>1.5811388300841896E-2</c:v>
                </c:pt>
                <c:pt idx="82">
                  <c:v>1.5811388300841896E-2</c:v>
                </c:pt>
                <c:pt idx="83">
                  <c:v>1.5811388300841896E-2</c:v>
                </c:pt>
                <c:pt idx="84">
                  <c:v>1.5811388300841896E-2</c:v>
                </c:pt>
                <c:pt idx="85">
                  <c:v>1.5811388300841896E-2</c:v>
                </c:pt>
                <c:pt idx="86">
                  <c:v>1.5811388300841896E-2</c:v>
                </c:pt>
                <c:pt idx="87">
                  <c:v>1.5811388300841896E-2</c:v>
                </c:pt>
                <c:pt idx="88">
                  <c:v>1.5811388300841896E-2</c:v>
                </c:pt>
                <c:pt idx="89">
                  <c:v>1.5811388300841896E-2</c:v>
                </c:pt>
                <c:pt idx="90">
                  <c:v>1.5811388300841896E-2</c:v>
                </c:pt>
                <c:pt idx="91">
                  <c:v>1.5811388300841896E-2</c:v>
                </c:pt>
                <c:pt idx="92">
                  <c:v>1.5811388300841896E-2</c:v>
                </c:pt>
                <c:pt idx="93">
                  <c:v>1.5811388300841896E-2</c:v>
                </c:pt>
                <c:pt idx="94">
                  <c:v>1.5811388300841896E-2</c:v>
                </c:pt>
                <c:pt idx="95">
                  <c:v>1.5811388300841896E-2</c:v>
                </c:pt>
                <c:pt idx="96">
                  <c:v>1.5811388300841896E-2</c:v>
                </c:pt>
                <c:pt idx="97">
                  <c:v>1.5811388300841896E-2</c:v>
                </c:pt>
                <c:pt idx="98">
                  <c:v>1.5811388300841896E-2</c:v>
                </c:pt>
                <c:pt idx="99">
                  <c:v>1.5811388300841896E-2</c:v>
                </c:pt>
                <c:pt idx="100">
                  <c:v>1.5811388300841896E-2</c:v>
                </c:pt>
                <c:pt idx="101">
                  <c:v>1.5811388300841896E-2</c:v>
                </c:pt>
                <c:pt idx="102">
                  <c:v>1.5811388300841896E-2</c:v>
                </c:pt>
                <c:pt idx="103">
                  <c:v>1.5811388300841896E-2</c:v>
                </c:pt>
                <c:pt idx="104">
                  <c:v>1.5811388300841896E-2</c:v>
                </c:pt>
                <c:pt idx="105">
                  <c:v>1.5811388300841896E-2</c:v>
                </c:pt>
                <c:pt idx="106">
                  <c:v>1.5811388300841896E-2</c:v>
                </c:pt>
                <c:pt idx="107">
                  <c:v>1.5811388300841896E-2</c:v>
                </c:pt>
                <c:pt idx="108">
                  <c:v>1.5811388300841896E-2</c:v>
                </c:pt>
                <c:pt idx="109">
                  <c:v>1.5811388300841896E-2</c:v>
                </c:pt>
                <c:pt idx="110">
                  <c:v>1.5811388300841896E-2</c:v>
                </c:pt>
                <c:pt idx="111">
                  <c:v>1.5811388300841896E-2</c:v>
                </c:pt>
                <c:pt idx="112">
                  <c:v>1.5811388300841896E-2</c:v>
                </c:pt>
                <c:pt idx="113">
                  <c:v>1.5811388300841896E-2</c:v>
                </c:pt>
                <c:pt idx="114">
                  <c:v>1.5811388300841896E-2</c:v>
                </c:pt>
                <c:pt idx="115">
                  <c:v>1.5811388300841896E-2</c:v>
                </c:pt>
                <c:pt idx="116">
                  <c:v>1.5811388300841896E-2</c:v>
                </c:pt>
                <c:pt idx="117">
                  <c:v>1.5811388300841896E-2</c:v>
                </c:pt>
                <c:pt idx="118">
                  <c:v>1.5811388300841896E-2</c:v>
                </c:pt>
                <c:pt idx="119">
                  <c:v>1.5811388300841896E-2</c:v>
                </c:pt>
                <c:pt idx="120">
                  <c:v>1.5811388300841896E-2</c:v>
                </c:pt>
                <c:pt idx="121">
                  <c:v>1.5811388300841896E-2</c:v>
                </c:pt>
                <c:pt idx="122">
                  <c:v>1.5811388300841896E-2</c:v>
                </c:pt>
                <c:pt idx="123">
                  <c:v>1.5811388300841896E-2</c:v>
                </c:pt>
                <c:pt idx="124">
                  <c:v>1.5811388300841896E-2</c:v>
                </c:pt>
                <c:pt idx="125">
                  <c:v>1.5811388300841896E-2</c:v>
                </c:pt>
                <c:pt idx="126">
                  <c:v>1.5811388300841896E-2</c:v>
                </c:pt>
                <c:pt idx="127">
                  <c:v>1.5811388300841896E-2</c:v>
                </c:pt>
                <c:pt idx="128">
                  <c:v>1.5811388300841896E-2</c:v>
                </c:pt>
                <c:pt idx="129">
                  <c:v>1.5811388300841896E-2</c:v>
                </c:pt>
                <c:pt idx="130">
                  <c:v>1.5811388300841896E-2</c:v>
                </c:pt>
                <c:pt idx="131">
                  <c:v>1.5811388300841896E-2</c:v>
                </c:pt>
                <c:pt idx="132">
                  <c:v>1.5811388300841896E-2</c:v>
                </c:pt>
                <c:pt idx="133">
                  <c:v>1.5811388300841896E-2</c:v>
                </c:pt>
                <c:pt idx="134">
                  <c:v>1.5811388300841896E-2</c:v>
                </c:pt>
                <c:pt idx="135">
                  <c:v>1.5811388300841896E-2</c:v>
                </c:pt>
                <c:pt idx="136">
                  <c:v>1.5811388300841896E-2</c:v>
                </c:pt>
                <c:pt idx="137">
                  <c:v>1.5811388300841896E-2</c:v>
                </c:pt>
                <c:pt idx="138">
                  <c:v>1.5811388300841896E-2</c:v>
                </c:pt>
                <c:pt idx="139">
                  <c:v>1.5811388300841896E-2</c:v>
                </c:pt>
                <c:pt idx="140">
                  <c:v>1.5811388300841896E-2</c:v>
                </c:pt>
                <c:pt idx="141">
                  <c:v>1.5811388300841896E-2</c:v>
                </c:pt>
                <c:pt idx="142">
                  <c:v>1.5811388300841896E-2</c:v>
                </c:pt>
                <c:pt idx="143">
                  <c:v>1.5811388300841896E-2</c:v>
                </c:pt>
                <c:pt idx="144">
                  <c:v>1.5811388300841896E-2</c:v>
                </c:pt>
                <c:pt idx="145">
                  <c:v>1.5811388300841896E-2</c:v>
                </c:pt>
                <c:pt idx="146">
                  <c:v>1.5811388300841896E-2</c:v>
                </c:pt>
                <c:pt idx="147">
                  <c:v>1.5811388300841896E-2</c:v>
                </c:pt>
                <c:pt idx="148">
                  <c:v>1.5811388300841896E-2</c:v>
                </c:pt>
                <c:pt idx="149">
                  <c:v>1.5811388300841896E-2</c:v>
                </c:pt>
                <c:pt idx="150">
                  <c:v>1.5811388300841896E-2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9-4A89-9B41-AF25EE09A4F3}"/>
            </c:ext>
          </c:extLst>
        </c:ser>
        <c:ser>
          <c:idx val="1"/>
          <c:order val="1"/>
          <c:tx>
            <c:v>λmin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Sheet4!$C$14:$EW$14</c:f>
              <c:numCache>
                <c:formatCode>General</c:formatCode>
                <c:ptCount val="151"/>
                <c:pt idx="0">
                  <c:v>1.5811388300841896E-2</c:v>
                </c:pt>
                <c:pt idx="1">
                  <c:v>1.58902485820707E-2</c:v>
                </c:pt>
                <c:pt idx="2">
                  <c:v>1.596871942267131E-2</c:v>
                </c:pt>
                <c:pt idx="3">
                  <c:v>1.6046806535881211E-2</c:v>
                </c:pt>
                <c:pt idx="4">
                  <c:v>1.6124515496597099E-2</c:v>
                </c:pt>
                <c:pt idx="5">
                  <c:v>1.6201851746019652E-2</c:v>
                </c:pt>
                <c:pt idx="6">
                  <c:v>1.6278820596099704E-2</c:v>
                </c:pt>
                <c:pt idx="7">
                  <c:v>1.6355427233796124E-2</c:v>
                </c:pt>
                <c:pt idx="8">
                  <c:v>1.6431676725154984E-2</c:v>
                </c:pt>
                <c:pt idx="9">
                  <c:v>1.6507574019219179E-2</c:v>
                </c:pt>
                <c:pt idx="10">
                  <c:v>1.6583123951776999E-2</c:v>
                </c:pt>
                <c:pt idx="11">
                  <c:v>1.6658331248957679E-2</c:v>
                </c:pt>
                <c:pt idx="12">
                  <c:v>1.6733200530681513E-2</c:v>
                </c:pt>
                <c:pt idx="13">
                  <c:v>1.6807736313971609E-2</c:v>
                </c:pt>
                <c:pt idx="14">
                  <c:v>1.6881943016134132E-2</c:v>
                </c:pt>
                <c:pt idx="15">
                  <c:v>1.695582495781317E-2</c:v>
                </c:pt>
                <c:pt idx="16">
                  <c:v>1.7029386365926401E-2</c:v>
                </c:pt>
                <c:pt idx="17">
                  <c:v>1.7102631376487067E-2</c:v>
                </c:pt>
                <c:pt idx="18">
                  <c:v>1.7175564037317667E-2</c:v>
                </c:pt>
                <c:pt idx="19">
                  <c:v>1.7248188310660339E-2</c:v>
                </c:pt>
                <c:pt idx="20">
                  <c:v>1.732050807568877E-2</c:v>
                </c:pt>
                <c:pt idx="21">
                  <c:v>1.7392527130926087E-2</c:v>
                </c:pt>
                <c:pt idx="22">
                  <c:v>1.7464249196572978E-2</c:v>
                </c:pt>
                <c:pt idx="23">
                  <c:v>1.7535677916750179E-2</c:v>
                </c:pt>
                <c:pt idx="24">
                  <c:v>1.7606816861659009E-2</c:v>
                </c:pt>
                <c:pt idx="25">
                  <c:v>1.7677669529663688E-2</c:v>
                </c:pt>
                <c:pt idx="26">
                  <c:v>1.7748239349298846E-2</c:v>
                </c:pt>
                <c:pt idx="27">
                  <c:v>1.781852968120546E-2</c:v>
                </c:pt>
                <c:pt idx="28">
                  <c:v>1.7888543819998316E-2</c:v>
                </c:pt>
                <c:pt idx="29">
                  <c:v>1.7958284996067969E-2</c:v>
                </c:pt>
                <c:pt idx="30">
                  <c:v>1.8027756377319945E-2</c:v>
                </c:pt>
                <c:pt idx="31">
                  <c:v>1.8096961070853856E-2</c:v>
                </c:pt>
                <c:pt idx="32">
                  <c:v>1.8165902124584948E-2</c:v>
                </c:pt>
                <c:pt idx="33">
                  <c:v>1.823458252881047E-2</c:v>
                </c:pt>
                <c:pt idx="34">
                  <c:v>1.8303005217723128E-2</c:v>
                </c:pt>
                <c:pt idx="35">
                  <c:v>1.8371173070873836E-2</c:v>
                </c:pt>
                <c:pt idx="36">
                  <c:v>1.8439088914585774E-2</c:v>
                </c:pt>
                <c:pt idx="37">
                  <c:v>1.8506755523321747E-2</c:v>
                </c:pt>
                <c:pt idx="38">
                  <c:v>1.857417562100671E-2</c:v>
                </c:pt>
                <c:pt idx="39">
                  <c:v>1.8641351882307249E-2</c:v>
                </c:pt>
                <c:pt idx="40">
                  <c:v>1.8708286933869705E-2</c:v>
                </c:pt>
                <c:pt idx="41">
                  <c:v>1.8774983355518585E-2</c:v>
                </c:pt>
                <c:pt idx="42">
                  <c:v>1.884144368141677E-2</c:v>
                </c:pt>
                <c:pt idx="43">
                  <c:v>1.8907670401189038E-2</c:v>
                </c:pt>
                <c:pt idx="44">
                  <c:v>1.8973665961010275E-2</c:v>
                </c:pt>
                <c:pt idx="45">
                  <c:v>1.9039432764659771E-2</c:v>
                </c:pt>
                <c:pt idx="46">
                  <c:v>1.9104973174542801E-2</c:v>
                </c:pt>
                <c:pt idx="47">
                  <c:v>1.9170289512680815E-2</c:v>
                </c:pt>
                <c:pt idx="48">
                  <c:v>1.9235384061671343E-2</c:v>
                </c:pt>
                <c:pt idx="49">
                  <c:v>1.9300259065618781E-2</c:v>
                </c:pt>
                <c:pt idx="50">
                  <c:v>1.9364916731037081E-2</c:v>
                </c:pt>
                <c:pt idx="51">
                  <c:v>1.9429359227725446E-2</c:v>
                </c:pt>
                <c:pt idx="52">
                  <c:v>1.9493588689617928E-2</c:v>
                </c:pt>
                <c:pt idx="53">
                  <c:v>1.9557607215607946E-2</c:v>
                </c:pt>
                <c:pt idx="54">
                  <c:v>1.9621416870348584E-2</c:v>
                </c:pt>
                <c:pt idx="55">
                  <c:v>1.9685019685029524E-2</c:v>
                </c:pt>
                <c:pt idx="56">
                  <c:v>1.9748417658131498E-2</c:v>
                </c:pt>
                <c:pt idx="57">
                  <c:v>1.9811612756158947E-2</c:v>
                </c:pt>
                <c:pt idx="58">
                  <c:v>1.9874606914351792E-2</c:v>
                </c:pt>
                <c:pt idx="59">
                  <c:v>1.9937402037376886E-2</c:v>
                </c:pt>
                <c:pt idx="60">
                  <c:v>0.02</c:v>
                </c:pt>
                <c:pt idx="61">
                  <c:v>2.006240264773888E-2</c:v>
                </c:pt>
                <c:pt idx="62">
                  <c:v>2.0124611797498106E-2</c:v>
                </c:pt>
                <c:pt idx="63">
                  <c:v>2.0186629238186347E-2</c:v>
                </c:pt>
                <c:pt idx="64">
                  <c:v>2.0248456731316585E-2</c:v>
                </c:pt>
                <c:pt idx="65">
                  <c:v>2.0310096011589899E-2</c:v>
                </c:pt>
                <c:pt idx="66">
                  <c:v>2.0371548787463362E-2</c:v>
                </c:pt>
                <c:pt idx="67">
                  <c:v>2.0432816741702546E-2</c:v>
                </c:pt>
                <c:pt idx="68">
                  <c:v>2.0493901531919195E-2</c:v>
                </c:pt>
                <c:pt idx="69">
                  <c:v>2.0554804791094464E-2</c:v>
                </c:pt>
                <c:pt idx="70">
                  <c:v>2.0615528128088301E-2</c:v>
                </c:pt>
                <c:pt idx="71">
                  <c:v>2.0676073128135332E-2</c:v>
                </c:pt>
                <c:pt idx="72">
                  <c:v>2.0736441353327719E-2</c:v>
                </c:pt>
                <c:pt idx="73">
                  <c:v>2.0796634343085419E-2</c:v>
                </c:pt>
                <c:pt idx="74">
                  <c:v>2.0856653614614206E-2</c:v>
                </c:pt>
                <c:pt idx="75">
                  <c:v>2.0916500663351888E-2</c:v>
                </c:pt>
                <c:pt idx="76">
                  <c:v>2.097617696340303E-2</c:v>
                </c:pt>
                <c:pt idx="77">
                  <c:v>2.103568396796263E-2</c:v>
                </c:pt>
                <c:pt idx="78">
                  <c:v>2.1095023109728984E-2</c:v>
                </c:pt>
                <c:pt idx="79">
                  <c:v>2.1154195801306178E-2</c:v>
                </c:pt>
                <c:pt idx="80">
                  <c:v>2.1213203435596423E-2</c:v>
                </c:pt>
                <c:pt idx="81">
                  <c:v>2.1272047386182647E-2</c:v>
                </c:pt>
                <c:pt idx="82">
                  <c:v>2.133072900770154E-2</c:v>
                </c:pt>
                <c:pt idx="83">
                  <c:v>2.138924963620744E-2</c:v>
                </c:pt>
                <c:pt idx="84">
                  <c:v>2.1447610589527214E-2</c:v>
                </c:pt>
                <c:pt idx="85">
                  <c:v>2.1505813167606566E-2</c:v>
                </c:pt>
                <c:pt idx="86">
                  <c:v>2.1563858652847823E-2</c:v>
                </c:pt>
                <c:pt idx="87">
                  <c:v>2.1621748310439653E-2</c:v>
                </c:pt>
                <c:pt idx="88">
                  <c:v>2.16794833886788E-2</c:v>
                </c:pt>
                <c:pt idx="89">
                  <c:v>2.1737065119284159E-2</c:v>
                </c:pt>
                <c:pt idx="90">
                  <c:v>2.1794494717703367E-2</c:v>
                </c:pt>
                <c:pt idx="91">
                  <c:v>2.1851773383412154E-2</c:v>
                </c:pt>
                <c:pt idx="92">
                  <c:v>2.1908902300206642E-2</c:v>
                </c:pt>
                <c:pt idx="93">
                  <c:v>2.1965882636488795E-2</c:v>
                </c:pt>
                <c:pt idx="94">
                  <c:v>2.2022715545545239E-2</c:v>
                </c:pt>
                <c:pt idx="95">
                  <c:v>2.2079402165819616E-2</c:v>
                </c:pt>
                <c:pt idx="96">
                  <c:v>2.2135943621178652E-2</c:v>
                </c:pt>
                <c:pt idx="97">
                  <c:v>2.2192341021172145E-2</c:v>
                </c:pt>
                <c:pt idx="98">
                  <c:v>2.2248595461286987E-2</c:v>
                </c:pt>
                <c:pt idx="99">
                  <c:v>2.2304708023195462E-2</c:v>
                </c:pt>
                <c:pt idx="100">
                  <c:v>2.2360679774997897E-2</c:v>
                </c:pt>
                <c:pt idx="101">
                  <c:v>2.2416511771459893E-2</c:v>
                </c:pt>
                <c:pt idx="102">
                  <c:v>2.2472205054244229E-2</c:v>
                </c:pt>
                <c:pt idx="103">
                  <c:v>2.2527760652137619E-2</c:v>
                </c:pt>
                <c:pt idx="104">
                  <c:v>2.2583179581272428E-2</c:v>
                </c:pt>
                <c:pt idx="105">
                  <c:v>2.263846284534354E-2</c:v>
                </c:pt>
                <c:pt idx="106">
                  <c:v>2.2693611435820434E-2</c:v>
                </c:pt>
                <c:pt idx="107">
                  <c:v>2.2748626332154648E-2</c:v>
                </c:pt>
                <c:pt idx="108">
                  <c:v>2.2803508501982761E-2</c:v>
                </c:pt>
                <c:pt idx="109">
                  <c:v>2.285825890132492E-2</c:v>
                </c:pt>
                <c:pt idx="110">
                  <c:v>2.29128784747792E-2</c:v>
                </c:pt>
                <c:pt idx="111">
                  <c:v>2.2967368155711702E-2</c:v>
                </c:pt>
                <c:pt idx="112">
                  <c:v>2.3021728866442676E-2</c:v>
                </c:pt>
                <c:pt idx="113">
                  <c:v>2.307596151842865E-2</c:v>
                </c:pt>
                <c:pt idx="114">
                  <c:v>2.3130067012440757E-2</c:v>
                </c:pt>
                <c:pt idx="115">
                  <c:v>2.3184046238739257E-2</c:v>
                </c:pt>
                <c:pt idx="116">
                  <c:v>2.3237900077244501E-2</c:v>
                </c:pt>
                <c:pt idx="117">
                  <c:v>2.3291629397704232E-2</c:v>
                </c:pt>
                <c:pt idx="118">
                  <c:v>2.3345235059857503E-2</c:v>
                </c:pt>
                <c:pt idx="119">
                  <c:v>2.3398717913595178E-2</c:v>
                </c:pt>
                <c:pt idx="120">
                  <c:v>2.3452078799117149E-2</c:v>
                </c:pt>
                <c:pt idx="121">
                  <c:v>2.3505318547086314E-2</c:v>
                </c:pt>
                <c:pt idx="122">
                  <c:v>2.3558437978779493E-2</c:v>
                </c:pt>
                <c:pt idx="123">
                  <c:v>2.361143790623519E-2</c:v>
                </c:pt>
                <c:pt idx="124">
                  <c:v>2.3664319132398463E-2</c:v>
                </c:pt>
                <c:pt idx="125">
                  <c:v>2.3717082451262844E-2</c:v>
                </c:pt>
                <c:pt idx="126">
                  <c:v>2.3769728648009421E-2</c:v>
                </c:pt>
                <c:pt idx="127">
                  <c:v>2.3822258499143191E-2</c:v>
                </c:pt>
                <c:pt idx="128">
                  <c:v>2.3874672772626639E-2</c:v>
                </c:pt>
                <c:pt idx="129">
                  <c:v>2.3926972228010795E-2</c:v>
                </c:pt>
                <c:pt idx="130">
                  <c:v>2.3979157616563593E-2</c:v>
                </c:pt>
                <c:pt idx="131">
                  <c:v>2.403122968139583E-2</c:v>
                </c:pt>
                <c:pt idx="132">
                  <c:v>2.4083189157584589E-2</c:v>
                </c:pt>
                <c:pt idx="133">
                  <c:v>2.4135036772294338E-2</c:v>
                </c:pt>
                <c:pt idx="134">
                  <c:v>2.4186773244895647E-2</c:v>
                </c:pt>
                <c:pt idx="135">
                  <c:v>2.4238399287081644E-2</c:v>
                </c:pt>
                <c:pt idx="136">
                  <c:v>2.4289915602982239E-2</c:v>
                </c:pt>
                <c:pt idx="137">
                  <c:v>2.4341322889276172E-2</c:v>
                </c:pt>
                <c:pt idx="138">
                  <c:v>2.4392621835300932E-2</c:v>
                </c:pt>
                <c:pt idx="139">
                  <c:v>2.4443813123160633E-2</c:v>
                </c:pt>
                <c:pt idx="140">
                  <c:v>2.4494897427831782E-2</c:v>
                </c:pt>
                <c:pt idx="141">
                  <c:v>2.4545875417267153E-2</c:v>
                </c:pt>
                <c:pt idx="142">
                  <c:v>2.4596747752497684E-2</c:v>
                </c:pt>
                <c:pt idx="143">
                  <c:v>2.4647515087732472E-2</c:v>
                </c:pt>
                <c:pt idx="144">
                  <c:v>2.4698178070456937E-2</c:v>
                </c:pt>
                <c:pt idx="145">
                  <c:v>2.4748737341529162E-2</c:v>
                </c:pt>
                <c:pt idx="146">
                  <c:v>2.4799193535274489E-2</c:v>
                </c:pt>
                <c:pt idx="147">
                  <c:v>2.4849547279578353E-2</c:v>
                </c:pt>
                <c:pt idx="148">
                  <c:v>2.4899799195977464E-2</c:v>
                </c:pt>
                <c:pt idx="149">
                  <c:v>2.4949949899749295E-2</c:v>
                </c:pt>
                <c:pt idx="150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9-4A89-9B41-AF25EE09A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863599"/>
        <c:axId val="1828847791"/>
      </c:lineChart>
      <c:catAx>
        <c:axId val="182886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47791"/>
        <c:crosses val="autoZero"/>
        <c:auto val="1"/>
        <c:lblAlgn val="ctr"/>
        <c:lblOffset val="100"/>
        <c:noMultiLvlLbl val="0"/>
      </c:catAx>
      <c:valAx>
        <c:axId val="18288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6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3.Zmax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Sheet4!$C$15:$EW$15</c:f>
              <c:numCache>
                <c:formatCode>General</c:formatCode>
                <c:ptCount val="151"/>
                <c:pt idx="0">
                  <c:v>0</c:v>
                </c:pt>
                <c:pt idx="1">
                  <c:v>7.8860281228804174E-5</c:v>
                </c:pt>
                <c:pt idx="2">
                  <c:v>1.5733112182941475E-4</c:v>
                </c:pt>
                <c:pt idx="3">
                  <c:v>2.3541823503931553E-4</c:v>
                </c:pt>
                <c:pt idx="4">
                  <c:v>3.1312719575520356E-4</c:v>
                </c:pt>
                <c:pt idx="5">
                  <c:v>3.9046344517775639E-4</c:v>
                </c:pt>
                <c:pt idx="6">
                  <c:v>4.6743229525780805E-4</c:v>
                </c:pt>
                <c:pt idx="7">
                  <c:v>5.4403893295422792E-4</c:v>
                </c:pt>
                <c:pt idx="8">
                  <c:v>6.2028842431308823E-4</c:v>
                </c:pt>
                <c:pt idx="9">
                  <c:v>6.9618571837728321E-4</c:v>
                </c:pt>
                <c:pt idx="10">
                  <c:v>7.7173565093510352E-4</c:v>
                </c:pt>
                <c:pt idx="11">
                  <c:v>8.4694294811578363E-4</c:v>
                </c:pt>
                <c:pt idx="12">
                  <c:v>9.2181222983961711E-4</c:v>
                </c:pt>
                <c:pt idx="13">
                  <c:v>9.9634801312971366E-4</c:v>
                </c:pt>
                <c:pt idx="14">
                  <c:v>1.0705547152922365E-3</c:v>
                </c:pt>
                <c:pt idx="15">
                  <c:v>1.1444366569712747E-3</c:v>
                </c:pt>
                <c:pt idx="16">
                  <c:v>1.2179980650845051E-3</c:v>
                </c:pt>
                <c:pt idx="17">
                  <c:v>1.2912430756451716E-3</c:v>
                </c:pt>
                <c:pt idx="18">
                  <c:v>1.3641757364757714E-3</c:v>
                </c:pt>
                <c:pt idx="19">
                  <c:v>1.4368000098184432E-3</c:v>
                </c:pt>
                <c:pt idx="20">
                  <c:v>1.5091197748468739E-3</c:v>
                </c:pt>
                <c:pt idx="21">
                  <c:v>1.5811388300841916E-3</c:v>
                </c:pt>
                <c:pt idx="22">
                  <c:v>1.6528608957310821E-3</c:v>
                </c:pt>
                <c:pt idx="23">
                  <c:v>1.7242896159082831E-3</c:v>
                </c:pt>
                <c:pt idx="24">
                  <c:v>1.7954285608171132E-3</c:v>
                </c:pt>
                <c:pt idx="25">
                  <c:v>1.8662812288217923E-3</c:v>
                </c:pt>
                <c:pt idx="26">
                  <c:v>1.9368510484569501E-3</c:v>
                </c:pt>
                <c:pt idx="27">
                  <c:v>2.007141380363564E-3</c:v>
                </c:pt>
                <c:pt idx="28">
                  <c:v>2.0771555191564199E-3</c:v>
                </c:pt>
                <c:pt idx="29">
                  <c:v>2.1468966952260735E-3</c:v>
                </c:pt>
                <c:pt idx="30">
                  <c:v>2.2163680764780494E-3</c:v>
                </c:pt>
                <c:pt idx="31">
                  <c:v>2.28557277001196E-3</c:v>
                </c:pt>
                <c:pt idx="32">
                  <c:v>2.354513823743052E-3</c:v>
                </c:pt>
                <c:pt idx="33">
                  <c:v>2.4231942279685746E-3</c:v>
                </c:pt>
                <c:pt idx="34">
                  <c:v>2.4916169168812327E-3</c:v>
                </c:pt>
                <c:pt idx="35">
                  <c:v>2.55978477003194E-3</c:v>
                </c:pt>
                <c:pt idx="36">
                  <c:v>2.6277006137438788E-3</c:v>
                </c:pt>
                <c:pt idx="37">
                  <c:v>2.6953672224798511E-3</c:v>
                </c:pt>
                <c:pt idx="38">
                  <c:v>2.762787320164814E-3</c:v>
                </c:pt>
                <c:pt idx="39">
                  <c:v>2.8299635814653529E-3</c:v>
                </c:pt>
                <c:pt idx="40">
                  <c:v>2.8968986330278092E-3</c:v>
                </c:pt>
                <c:pt idx="41">
                  <c:v>2.9635950546766897E-3</c:v>
                </c:pt>
                <c:pt idx="42">
                  <c:v>3.0300553805748739E-3</c:v>
                </c:pt>
                <c:pt idx="43">
                  <c:v>3.0962821003471426E-3</c:v>
                </c:pt>
                <c:pt idx="44">
                  <c:v>3.1622776601683798E-3</c:v>
                </c:pt>
                <c:pt idx="45">
                  <c:v>3.2280444638178758E-3</c:v>
                </c:pt>
                <c:pt idx="46">
                  <c:v>3.2935848737009055E-3</c:v>
                </c:pt>
                <c:pt idx="47">
                  <c:v>3.3589012118389189E-3</c:v>
                </c:pt>
                <c:pt idx="48">
                  <c:v>3.4239957608294472E-3</c:v>
                </c:pt>
                <c:pt idx="49">
                  <c:v>3.4888707647768857E-3</c:v>
                </c:pt>
                <c:pt idx="50">
                  <c:v>3.5535284301951853E-3</c:v>
                </c:pt>
                <c:pt idx="51">
                  <c:v>3.6179709268835507E-3</c:v>
                </c:pt>
                <c:pt idx="52">
                  <c:v>3.6822003887760323E-3</c:v>
                </c:pt>
                <c:pt idx="53">
                  <c:v>3.7462189147660502E-3</c:v>
                </c:pt>
                <c:pt idx="54">
                  <c:v>3.8100285695066884E-3</c:v>
                </c:pt>
                <c:pt idx="55">
                  <c:v>3.8736313841876285E-3</c:v>
                </c:pt>
                <c:pt idx="56">
                  <c:v>3.9370293572896023E-3</c:v>
                </c:pt>
                <c:pt idx="57">
                  <c:v>4.0002244553170516E-3</c:v>
                </c:pt>
                <c:pt idx="58">
                  <c:v>4.063218613509896E-3</c:v>
                </c:pt>
                <c:pt idx="59">
                  <c:v>4.1260137365349905E-3</c:v>
                </c:pt>
                <c:pt idx="60">
                  <c:v>4.1886116991581047E-3</c:v>
                </c:pt>
                <c:pt idx="61">
                  <c:v>4.2510143468969842E-3</c:v>
                </c:pt>
                <c:pt idx="62">
                  <c:v>4.3132234966562107E-3</c:v>
                </c:pt>
                <c:pt idx="63">
                  <c:v>4.375240937344451E-3</c:v>
                </c:pt>
                <c:pt idx="64">
                  <c:v>4.4370684304746895E-3</c:v>
                </c:pt>
                <c:pt idx="65">
                  <c:v>4.4987077107480032E-3</c:v>
                </c:pt>
                <c:pt idx="66">
                  <c:v>4.5601604866214659E-3</c:v>
                </c:pt>
                <c:pt idx="67">
                  <c:v>4.6214284408606504E-3</c:v>
                </c:pt>
                <c:pt idx="68">
                  <c:v>4.6825132310772989E-3</c:v>
                </c:pt>
                <c:pt idx="69">
                  <c:v>4.743416490252568E-3</c:v>
                </c:pt>
                <c:pt idx="70">
                  <c:v>4.8041398272464057E-3</c:v>
                </c:pt>
                <c:pt idx="71">
                  <c:v>4.8646848272934362E-3</c:v>
                </c:pt>
                <c:pt idx="72">
                  <c:v>4.9250530524858234E-3</c:v>
                </c:pt>
                <c:pt idx="73">
                  <c:v>4.9852460422435234E-3</c:v>
                </c:pt>
                <c:pt idx="74">
                  <c:v>5.0452653137723104E-3</c:v>
                </c:pt>
                <c:pt idx="75">
                  <c:v>5.1051123625099927E-3</c:v>
                </c:pt>
                <c:pt idx="76">
                  <c:v>5.1647886625611344E-3</c:v>
                </c:pt>
                <c:pt idx="77">
                  <c:v>5.224295667120734E-3</c:v>
                </c:pt>
                <c:pt idx="78">
                  <c:v>5.2836348088870881E-3</c:v>
                </c:pt>
                <c:pt idx="79">
                  <c:v>5.3428075004642826E-3</c:v>
                </c:pt>
                <c:pt idx="80">
                  <c:v>5.4018151347545278E-3</c:v>
                </c:pt>
                <c:pt idx="81">
                  <c:v>5.4606590853407515E-3</c:v>
                </c:pt>
                <c:pt idx="82">
                  <c:v>5.5193407068596448E-3</c:v>
                </c:pt>
                <c:pt idx="83">
                  <c:v>5.5778613353655443E-3</c:v>
                </c:pt>
                <c:pt idx="84">
                  <c:v>5.6362222886853185E-3</c:v>
                </c:pt>
                <c:pt idx="85">
                  <c:v>5.6944248667646705E-3</c:v>
                </c:pt>
                <c:pt idx="86">
                  <c:v>5.752470352005927E-3</c:v>
                </c:pt>
                <c:pt idx="87">
                  <c:v>5.8103600095977571E-3</c:v>
                </c:pt>
                <c:pt idx="88">
                  <c:v>5.8680950878369047E-3</c:v>
                </c:pt>
                <c:pt idx="89">
                  <c:v>5.9256768184422631E-3</c:v>
                </c:pt>
                <c:pt idx="90">
                  <c:v>5.9831064168614709E-3</c:v>
                </c:pt>
                <c:pt idx="91">
                  <c:v>6.0403850825702585E-3</c:v>
                </c:pt>
                <c:pt idx="92">
                  <c:v>6.0975139993647461E-3</c:v>
                </c:pt>
                <c:pt idx="93">
                  <c:v>6.1544943356468991E-3</c:v>
                </c:pt>
                <c:pt idx="94">
                  <c:v>6.2113272447033435E-3</c:v>
                </c:pt>
                <c:pt idx="95">
                  <c:v>6.2680138649777208E-3</c:v>
                </c:pt>
                <c:pt idx="96">
                  <c:v>6.3245553203367562E-3</c:v>
                </c:pt>
                <c:pt idx="97">
                  <c:v>6.3809527203302491E-3</c:v>
                </c:pt>
                <c:pt idx="98">
                  <c:v>6.4372071604450916E-3</c:v>
                </c:pt>
                <c:pt idx="99">
                  <c:v>6.4933197223535667E-3</c:v>
                </c:pt>
                <c:pt idx="100">
                  <c:v>6.5492914741560014E-3</c:v>
                </c:pt>
                <c:pt idx="101">
                  <c:v>6.6051234706179969E-3</c:v>
                </c:pt>
                <c:pt idx="102">
                  <c:v>6.6608167534023335E-3</c:v>
                </c:pt>
                <c:pt idx="103">
                  <c:v>6.7163723512957234E-3</c:v>
                </c:pt>
                <c:pt idx="104">
                  <c:v>6.7717912804305322E-3</c:v>
                </c:pt>
                <c:pt idx="105">
                  <c:v>6.8270745445016441E-3</c:v>
                </c:pt>
                <c:pt idx="106">
                  <c:v>6.8822231349785386E-3</c:v>
                </c:pt>
                <c:pt idx="107">
                  <c:v>6.9372380313127528E-3</c:v>
                </c:pt>
                <c:pt idx="108">
                  <c:v>6.9921202011408654E-3</c:v>
                </c:pt>
                <c:pt idx="109">
                  <c:v>7.0468706004830246E-3</c:v>
                </c:pt>
                <c:pt idx="110">
                  <c:v>7.101490173937304E-3</c:v>
                </c:pt>
                <c:pt idx="111">
                  <c:v>7.1559798548698067E-3</c:v>
                </c:pt>
                <c:pt idx="112">
                  <c:v>7.2103405656007806E-3</c:v>
                </c:pt>
                <c:pt idx="113">
                  <c:v>7.264573217586754E-3</c:v>
                </c:pt>
                <c:pt idx="114">
                  <c:v>7.3186787115988618E-3</c:v>
                </c:pt>
                <c:pt idx="115">
                  <c:v>7.3726579378973617E-3</c:v>
                </c:pt>
                <c:pt idx="116">
                  <c:v>7.4265117764026056E-3</c:v>
                </c:pt>
                <c:pt idx="117">
                  <c:v>7.4802410968623362E-3</c:v>
                </c:pt>
                <c:pt idx="118">
                  <c:v>7.5338467590156076E-3</c:v>
                </c:pt>
                <c:pt idx="119">
                  <c:v>7.5873296127532824E-3</c:v>
                </c:pt>
                <c:pt idx="120">
                  <c:v>7.640690498275253E-3</c:v>
                </c:pt>
                <c:pt idx="121">
                  <c:v>7.6939302462444188E-3</c:v>
                </c:pt>
                <c:pt idx="122">
                  <c:v>7.7470496779375973E-3</c:v>
                </c:pt>
                <c:pt idx="123">
                  <c:v>7.8000496053932944E-3</c:v>
                </c:pt>
                <c:pt idx="124">
                  <c:v>7.8529308315565677E-3</c:v>
                </c:pt>
                <c:pt idx="125">
                  <c:v>7.9056941504209478E-3</c:v>
                </c:pt>
                <c:pt idx="126">
                  <c:v>7.9583403471675251E-3</c:v>
                </c:pt>
                <c:pt idx="127">
                  <c:v>8.0108701983012953E-3</c:v>
                </c:pt>
                <c:pt idx="128">
                  <c:v>8.0632844717847436E-3</c:v>
                </c:pt>
                <c:pt idx="129">
                  <c:v>8.1155839271688998E-3</c:v>
                </c:pt>
                <c:pt idx="130">
                  <c:v>8.1677693157216971E-3</c:v>
                </c:pt>
                <c:pt idx="131">
                  <c:v>8.2198413805539342E-3</c:v>
                </c:pt>
                <c:pt idx="132">
                  <c:v>8.2718008567426934E-3</c:v>
                </c:pt>
                <c:pt idx="133">
                  <c:v>8.3236484714524425E-3</c:v>
                </c:pt>
                <c:pt idx="134">
                  <c:v>8.3753849440537514E-3</c:v>
                </c:pt>
                <c:pt idx="135">
                  <c:v>8.4270109862397483E-3</c:v>
                </c:pt>
                <c:pt idx="136">
                  <c:v>8.4785273021403436E-3</c:v>
                </c:pt>
                <c:pt idx="137">
                  <c:v>8.5299345884342764E-3</c:v>
                </c:pt>
                <c:pt idx="138">
                  <c:v>8.5812335344590367E-3</c:v>
                </c:pt>
                <c:pt idx="139">
                  <c:v>8.6324248223187371E-3</c:v>
                </c:pt>
                <c:pt idx="140">
                  <c:v>8.6835091269898863E-3</c:v>
                </c:pt>
                <c:pt idx="141">
                  <c:v>8.7344871164252574E-3</c:v>
                </c:pt>
                <c:pt idx="142">
                  <c:v>8.7853594516557887E-3</c:v>
                </c:pt>
                <c:pt idx="143">
                  <c:v>8.8361267868905767E-3</c:v>
                </c:pt>
                <c:pt idx="144">
                  <c:v>8.8867897696150409E-3</c:v>
                </c:pt>
                <c:pt idx="145">
                  <c:v>8.9373490406872667E-3</c:v>
                </c:pt>
                <c:pt idx="146">
                  <c:v>8.9878052344325929E-3</c:v>
                </c:pt>
                <c:pt idx="147">
                  <c:v>9.0381589787364575E-3</c:v>
                </c:pt>
                <c:pt idx="148">
                  <c:v>9.088410895135568E-3</c:v>
                </c:pt>
                <c:pt idx="149">
                  <c:v>9.1385615989073993E-3</c:v>
                </c:pt>
                <c:pt idx="150">
                  <c:v>9.1886116991581057E-3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D-4BF7-BC49-8DD57FC3B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4976703"/>
        <c:axId val="1654975039"/>
      </c:lineChart>
      <c:catAx>
        <c:axId val="1654976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75039"/>
        <c:crosses val="autoZero"/>
        <c:auto val="1"/>
        <c:lblAlgn val="ctr"/>
        <c:lblOffset val="100"/>
        <c:noMultiLvlLbl val="0"/>
      </c:catAx>
      <c:valAx>
        <c:axId val="165497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7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Sheet4!$C$16:$EW$16</c:f>
              <c:numCache>
                <c:formatCode>General</c:formatCode>
                <c:ptCount val="151"/>
                <c:pt idx="0">
                  <c:v>136.20583298689698</c:v>
                </c:pt>
                <c:pt idx="1">
                  <c:v>136.20583298689698</c:v>
                </c:pt>
                <c:pt idx="2">
                  <c:v>136.20583298689698</c:v>
                </c:pt>
                <c:pt idx="3">
                  <c:v>136.20583298689698</c:v>
                </c:pt>
                <c:pt idx="4">
                  <c:v>136.20583298689698</c:v>
                </c:pt>
                <c:pt idx="5">
                  <c:v>136.20583298689698</c:v>
                </c:pt>
                <c:pt idx="6">
                  <c:v>136.20583298689698</c:v>
                </c:pt>
                <c:pt idx="7">
                  <c:v>136.20583298689698</c:v>
                </c:pt>
                <c:pt idx="8">
                  <c:v>136.20583298689698</c:v>
                </c:pt>
                <c:pt idx="9">
                  <c:v>136.20583298689698</c:v>
                </c:pt>
                <c:pt idx="10">
                  <c:v>136.20583298689698</c:v>
                </c:pt>
                <c:pt idx="11">
                  <c:v>136.20583298689698</c:v>
                </c:pt>
                <c:pt idx="12">
                  <c:v>136.20583298689698</c:v>
                </c:pt>
                <c:pt idx="13">
                  <c:v>136.20583298689698</c:v>
                </c:pt>
                <c:pt idx="14">
                  <c:v>136.20583298689698</c:v>
                </c:pt>
                <c:pt idx="15">
                  <c:v>136.20583298689698</c:v>
                </c:pt>
                <c:pt idx="16">
                  <c:v>136.20583298689698</c:v>
                </c:pt>
                <c:pt idx="17">
                  <c:v>136.20583298689698</c:v>
                </c:pt>
                <c:pt idx="18">
                  <c:v>136.20583298689698</c:v>
                </c:pt>
                <c:pt idx="19">
                  <c:v>136.20583298689698</c:v>
                </c:pt>
                <c:pt idx="20">
                  <c:v>136.20583298689698</c:v>
                </c:pt>
                <c:pt idx="21">
                  <c:v>136.20583298689698</c:v>
                </c:pt>
                <c:pt idx="22">
                  <c:v>136.20583298689698</c:v>
                </c:pt>
                <c:pt idx="23">
                  <c:v>136.20583298689698</c:v>
                </c:pt>
                <c:pt idx="24">
                  <c:v>136.20583298689698</c:v>
                </c:pt>
                <c:pt idx="25">
                  <c:v>136.20583298689698</c:v>
                </c:pt>
                <c:pt idx="26">
                  <c:v>136.20583298689698</c:v>
                </c:pt>
                <c:pt idx="27">
                  <c:v>136.20583298689698</c:v>
                </c:pt>
                <c:pt idx="28">
                  <c:v>136.20583298689698</c:v>
                </c:pt>
                <c:pt idx="29">
                  <c:v>136.20583298689698</c:v>
                </c:pt>
                <c:pt idx="30">
                  <c:v>136.20583298689698</c:v>
                </c:pt>
                <c:pt idx="31">
                  <c:v>136.20583298689698</c:v>
                </c:pt>
                <c:pt idx="32">
                  <c:v>136.20583298689698</c:v>
                </c:pt>
                <c:pt idx="33">
                  <c:v>136.20583298689698</c:v>
                </c:pt>
                <c:pt idx="34">
                  <c:v>136.20583298689698</c:v>
                </c:pt>
                <c:pt idx="35">
                  <c:v>136.20583298689698</c:v>
                </c:pt>
                <c:pt idx="36">
                  <c:v>136.20583298689698</c:v>
                </c:pt>
                <c:pt idx="37">
                  <c:v>136.20583298689698</c:v>
                </c:pt>
                <c:pt idx="38">
                  <c:v>136.20583298689698</c:v>
                </c:pt>
                <c:pt idx="39">
                  <c:v>136.20583298689698</c:v>
                </c:pt>
                <c:pt idx="40">
                  <c:v>136.20583298689698</c:v>
                </c:pt>
                <c:pt idx="41">
                  <c:v>136.20583298689698</c:v>
                </c:pt>
                <c:pt idx="42">
                  <c:v>136.20583298689698</c:v>
                </c:pt>
                <c:pt idx="43">
                  <c:v>136.20583298689698</c:v>
                </c:pt>
                <c:pt idx="44">
                  <c:v>136.20583298689698</c:v>
                </c:pt>
                <c:pt idx="45">
                  <c:v>136.20583298689698</c:v>
                </c:pt>
                <c:pt idx="46">
                  <c:v>136.20583298689698</c:v>
                </c:pt>
                <c:pt idx="47">
                  <c:v>136.20583298689698</c:v>
                </c:pt>
                <c:pt idx="48">
                  <c:v>136.20583298689698</c:v>
                </c:pt>
                <c:pt idx="49">
                  <c:v>136.20583298689698</c:v>
                </c:pt>
                <c:pt idx="50">
                  <c:v>136.20583298689698</c:v>
                </c:pt>
                <c:pt idx="51">
                  <c:v>136.20583298689698</c:v>
                </c:pt>
                <c:pt idx="52">
                  <c:v>136.20583298689698</c:v>
                </c:pt>
                <c:pt idx="53">
                  <c:v>136.20583298689698</c:v>
                </c:pt>
                <c:pt idx="54">
                  <c:v>136.20583298689698</c:v>
                </c:pt>
                <c:pt idx="55">
                  <c:v>136.20583298689698</c:v>
                </c:pt>
                <c:pt idx="56">
                  <c:v>136.20583298689698</c:v>
                </c:pt>
                <c:pt idx="57">
                  <c:v>136.20583298689698</c:v>
                </c:pt>
                <c:pt idx="58">
                  <c:v>136.20583298689698</c:v>
                </c:pt>
                <c:pt idx="59">
                  <c:v>136.20583298689698</c:v>
                </c:pt>
                <c:pt idx="60">
                  <c:v>136.20583298689698</c:v>
                </c:pt>
                <c:pt idx="61">
                  <c:v>136.20583298689698</c:v>
                </c:pt>
                <c:pt idx="62">
                  <c:v>136.20583298689698</c:v>
                </c:pt>
                <c:pt idx="63">
                  <c:v>136.20583298689698</c:v>
                </c:pt>
                <c:pt idx="64">
                  <c:v>136.20583298689698</c:v>
                </c:pt>
                <c:pt idx="65">
                  <c:v>136.20583298689698</c:v>
                </c:pt>
                <c:pt idx="66">
                  <c:v>136.20583298689698</c:v>
                </c:pt>
                <c:pt idx="67">
                  <c:v>136.20583298689698</c:v>
                </c:pt>
                <c:pt idx="68">
                  <c:v>136.20583298689698</c:v>
                </c:pt>
                <c:pt idx="69">
                  <c:v>136.20583298689698</c:v>
                </c:pt>
                <c:pt idx="70">
                  <c:v>136.20583298689698</c:v>
                </c:pt>
                <c:pt idx="71">
                  <c:v>136.20583298689698</c:v>
                </c:pt>
                <c:pt idx="72">
                  <c:v>136.20583298689698</c:v>
                </c:pt>
                <c:pt idx="73">
                  <c:v>136.20583298689698</c:v>
                </c:pt>
                <c:pt idx="74">
                  <c:v>136.20583298689698</c:v>
                </c:pt>
                <c:pt idx="75">
                  <c:v>136.20583298689698</c:v>
                </c:pt>
                <c:pt idx="76">
                  <c:v>136.20583298689698</c:v>
                </c:pt>
                <c:pt idx="77">
                  <c:v>136.20583298689698</c:v>
                </c:pt>
                <c:pt idx="78">
                  <c:v>136.20583298689698</c:v>
                </c:pt>
                <c:pt idx="79">
                  <c:v>136.20583298689698</c:v>
                </c:pt>
                <c:pt idx="80">
                  <c:v>136.20583298689698</c:v>
                </c:pt>
                <c:pt idx="81">
                  <c:v>136.20583298689698</c:v>
                </c:pt>
                <c:pt idx="82">
                  <c:v>136.20583298689698</c:v>
                </c:pt>
                <c:pt idx="83">
                  <c:v>136.20583298689698</c:v>
                </c:pt>
                <c:pt idx="84">
                  <c:v>136.20583298689698</c:v>
                </c:pt>
                <c:pt idx="85">
                  <c:v>136.20583298689698</c:v>
                </c:pt>
                <c:pt idx="86">
                  <c:v>136.20583298689698</c:v>
                </c:pt>
                <c:pt idx="87">
                  <c:v>136.20583298689698</c:v>
                </c:pt>
                <c:pt idx="88">
                  <c:v>136.20583298689698</c:v>
                </c:pt>
                <c:pt idx="89">
                  <c:v>136.20583298689698</c:v>
                </c:pt>
                <c:pt idx="90">
                  <c:v>136.20583298689698</c:v>
                </c:pt>
                <c:pt idx="91">
                  <c:v>136.20583298689698</c:v>
                </c:pt>
                <c:pt idx="92">
                  <c:v>136.20583298689698</c:v>
                </c:pt>
                <c:pt idx="93">
                  <c:v>136.20583298689698</c:v>
                </c:pt>
                <c:pt idx="94">
                  <c:v>136.20583298689698</c:v>
                </c:pt>
                <c:pt idx="95">
                  <c:v>136.20583298689698</c:v>
                </c:pt>
                <c:pt idx="96">
                  <c:v>136.20583298689698</c:v>
                </c:pt>
                <c:pt idx="97">
                  <c:v>136.20583298689698</c:v>
                </c:pt>
                <c:pt idx="98">
                  <c:v>136.20583298689698</c:v>
                </c:pt>
                <c:pt idx="99">
                  <c:v>136.20583298689698</c:v>
                </c:pt>
                <c:pt idx="100">
                  <c:v>136.20583298689698</c:v>
                </c:pt>
                <c:pt idx="101">
                  <c:v>136.20583298689698</c:v>
                </c:pt>
                <c:pt idx="102">
                  <c:v>136.20583298689698</c:v>
                </c:pt>
                <c:pt idx="103">
                  <c:v>136.20583298689698</c:v>
                </c:pt>
                <c:pt idx="104">
                  <c:v>136.20583298689698</c:v>
                </c:pt>
                <c:pt idx="105">
                  <c:v>136.20583298689698</c:v>
                </c:pt>
                <c:pt idx="106">
                  <c:v>136.20583298689698</c:v>
                </c:pt>
                <c:pt idx="107">
                  <c:v>136.20583298689698</c:v>
                </c:pt>
                <c:pt idx="108">
                  <c:v>136.20583298689698</c:v>
                </c:pt>
                <c:pt idx="109">
                  <c:v>136.20583298689698</c:v>
                </c:pt>
                <c:pt idx="110">
                  <c:v>136.20583298689698</c:v>
                </c:pt>
                <c:pt idx="111">
                  <c:v>136.20583298689698</c:v>
                </c:pt>
                <c:pt idx="112">
                  <c:v>136.20583298689698</c:v>
                </c:pt>
                <c:pt idx="113">
                  <c:v>136.20583298689698</c:v>
                </c:pt>
                <c:pt idx="114">
                  <c:v>136.20583298689698</c:v>
                </c:pt>
                <c:pt idx="115">
                  <c:v>136.20583298689698</c:v>
                </c:pt>
                <c:pt idx="116">
                  <c:v>136.20583298689698</c:v>
                </c:pt>
                <c:pt idx="117">
                  <c:v>136.20583298689698</c:v>
                </c:pt>
                <c:pt idx="118">
                  <c:v>136.20583298689698</c:v>
                </c:pt>
                <c:pt idx="119">
                  <c:v>136.20583298689698</c:v>
                </c:pt>
                <c:pt idx="120">
                  <c:v>136.20583298689698</c:v>
                </c:pt>
                <c:pt idx="121">
                  <c:v>136.20583298689698</c:v>
                </c:pt>
                <c:pt idx="122">
                  <c:v>136.20583298689698</c:v>
                </c:pt>
                <c:pt idx="123">
                  <c:v>136.20583298689698</c:v>
                </c:pt>
                <c:pt idx="124">
                  <c:v>136.20583298689698</c:v>
                </c:pt>
                <c:pt idx="125">
                  <c:v>136.20583298689698</c:v>
                </c:pt>
                <c:pt idx="126">
                  <c:v>136.20583298689698</c:v>
                </c:pt>
                <c:pt idx="127">
                  <c:v>136.20583298689698</c:v>
                </c:pt>
                <c:pt idx="128">
                  <c:v>136.20583298689698</c:v>
                </c:pt>
                <c:pt idx="129">
                  <c:v>136.20583298689698</c:v>
                </c:pt>
                <c:pt idx="130">
                  <c:v>136.20583298689698</c:v>
                </c:pt>
                <c:pt idx="131">
                  <c:v>136.20583298689698</c:v>
                </c:pt>
                <c:pt idx="132">
                  <c:v>136.20583298689698</c:v>
                </c:pt>
                <c:pt idx="133">
                  <c:v>136.20583298689698</c:v>
                </c:pt>
                <c:pt idx="134">
                  <c:v>136.20583298689698</c:v>
                </c:pt>
                <c:pt idx="135">
                  <c:v>136.20583298689698</c:v>
                </c:pt>
                <c:pt idx="136">
                  <c:v>136.20583298689698</c:v>
                </c:pt>
                <c:pt idx="137">
                  <c:v>136.20583298689698</c:v>
                </c:pt>
                <c:pt idx="138">
                  <c:v>136.20583298689698</c:v>
                </c:pt>
                <c:pt idx="139">
                  <c:v>136.20583298689698</c:v>
                </c:pt>
                <c:pt idx="140">
                  <c:v>136.20583298689698</c:v>
                </c:pt>
                <c:pt idx="141">
                  <c:v>136.20583298689698</c:v>
                </c:pt>
                <c:pt idx="142">
                  <c:v>136.20583298689698</c:v>
                </c:pt>
                <c:pt idx="143">
                  <c:v>136.20583298689698</c:v>
                </c:pt>
                <c:pt idx="144">
                  <c:v>136.20583298689698</c:v>
                </c:pt>
                <c:pt idx="145">
                  <c:v>136.20583298689698</c:v>
                </c:pt>
                <c:pt idx="146">
                  <c:v>136.20583298689698</c:v>
                </c:pt>
                <c:pt idx="147">
                  <c:v>136.20583298689698</c:v>
                </c:pt>
                <c:pt idx="148">
                  <c:v>136.20583298689698</c:v>
                </c:pt>
                <c:pt idx="149">
                  <c:v>136.20583298689698</c:v>
                </c:pt>
                <c:pt idx="150">
                  <c:v>136.20583298689698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0-4047-8CBA-1EB823D8E310}"/>
            </c:ext>
          </c:extLst>
        </c:ser>
        <c:ser>
          <c:idx val="1"/>
          <c:order val="1"/>
          <c:tx>
            <c:v>Qmax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Sheet4!$C$17:$EW$17</c:f>
              <c:numCache>
                <c:formatCode>General</c:formatCode>
                <c:ptCount val="151"/>
                <c:pt idx="0">
                  <c:v>136.20583298689698</c:v>
                </c:pt>
                <c:pt idx="1">
                  <c:v>137.91052881798342</c:v>
                </c:pt>
                <c:pt idx="2">
                  <c:v>139.61944948020007</c:v>
                </c:pt>
                <c:pt idx="3">
                  <c:v>141.33256386950791</c:v>
                </c:pt>
                <c:pt idx="4">
                  <c:v>143.04984141100417</c:v>
                </c:pt>
                <c:pt idx="5">
                  <c:v>144.77125204491051</c:v>
                </c:pt>
                <c:pt idx="6">
                  <c:v>146.49676621306617</c:v>
                </c:pt>
                <c:pt idx="7">
                  <c:v>148.22635484589733</c:v>
                </c:pt>
                <c:pt idx="8">
                  <c:v>149.95998934984522</c:v>
                </c:pt>
                <c:pt idx="9">
                  <c:v>151.69764159523001</c:v>
                </c:pt>
                <c:pt idx="10">
                  <c:v>153.43928390453428</c:v>
                </c:pt>
                <c:pt idx="11">
                  <c:v>155.18488904108284</c:v>
                </c:pt>
                <c:pt idx="12">
                  <c:v>156.93443019811176</c:v>
                </c:pt>
                <c:pt idx="13">
                  <c:v>158.68788098819687</c:v>
                </c:pt>
                <c:pt idx="14">
                  <c:v>160.44521543303946</c:v>
                </c:pt>
                <c:pt idx="15">
                  <c:v>162.2064079535823</c:v>
                </c:pt>
                <c:pt idx="16">
                  <c:v>163.97143336045548</c:v>
                </c:pt>
                <c:pt idx="17">
                  <c:v>165.74026684472472</c:v>
                </c:pt>
                <c:pt idx="18">
                  <c:v>167.5128839689402</c:v>
                </c:pt>
                <c:pt idx="19">
                  <c:v>169.28926065847151</c:v>
                </c:pt>
                <c:pt idx="20">
                  <c:v>171.06937319311075</c:v>
                </c:pt>
                <c:pt idx="21">
                  <c:v>172.85319819894261</c:v>
                </c:pt>
                <c:pt idx="22">
                  <c:v>174.64071264046717</c:v>
                </c:pt>
                <c:pt idx="23">
                  <c:v>176.43189381296196</c:v>
                </c:pt>
                <c:pt idx="24">
                  <c:v>178.22671933507809</c:v>
                </c:pt>
                <c:pt idx="25">
                  <c:v>180.02516714166197</c:v>
                </c:pt>
                <c:pt idx="26">
                  <c:v>181.82721547679373</c:v>
                </c:pt>
                <c:pt idx="27">
                  <c:v>183.63284288702579</c:v>
                </c:pt>
                <c:pt idx="28">
                  <c:v>185.4420282148325</c:v>
                </c:pt>
                <c:pt idx="29">
                  <c:v>187.25475059224149</c:v>
                </c:pt>
                <c:pt idx="30">
                  <c:v>189.07098943465738</c:v>
                </c:pt>
                <c:pt idx="31">
                  <c:v>190.89072443485986</c:v>
                </c:pt>
                <c:pt idx="32">
                  <c:v>192.71393555717606</c:v>
                </c:pt>
                <c:pt idx="33">
                  <c:v>194.54060303181703</c:v>
                </c:pt>
                <c:pt idx="34">
                  <c:v>196.37070734937504</c:v>
                </c:pt>
                <c:pt idx="35">
                  <c:v>198.20422925547436</c:v>
                </c:pt>
                <c:pt idx="36">
                  <c:v>200.0411497455718</c:v>
                </c:pt>
                <c:pt idx="37">
                  <c:v>201.88145005989992</c:v>
                </c:pt>
                <c:pt idx="38">
                  <c:v>203.72511167854833</c:v>
                </c:pt>
                <c:pt idx="39">
                  <c:v>205.57211631668085</c:v>
                </c:pt>
                <c:pt idx="40">
                  <c:v>207.42244591987784</c:v>
                </c:pt>
                <c:pt idx="41">
                  <c:v>209.27608265960953</c:v>
                </c:pt>
                <c:pt idx="42">
                  <c:v>211.13300892882262</c:v>
                </c:pt>
                <c:pt idx="43">
                  <c:v>212.99320733765043</c:v>
                </c:pt>
                <c:pt idx="44">
                  <c:v>214.8566607092298</c:v>
                </c:pt>
                <c:pt idx="45">
                  <c:v>216.72335207563145</c:v>
                </c:pt>
                <c:pt idx="46">
                  <c:v>218.59326467389263</c:v>
                </c:pt>
                <c:pt idx="47">
                  <c:v>220.4663819421539</c:v>
                </c:pt>
                <c:pt idx="48">
                  <c:v>222.34268751589386</c:v>
                </c:pt>
                <c:pt idx="49">
                  <c:v>224.22216522425742</c:v>
                </c:pt>
                <c:pt idx="50">
                  <c:v>226.10479908648082</c:v>
                </c:pt>
                <c:pt idx="51">
                  <c:v>227.99057330840213</c:v>
                </c:pt>
                <c:pt idx="52">
                  <c:v>229.87947227905931</c:v>
                </c:pt>
                <c:pt idx="53">
                  <c:v>231.77148056737482</c:v>
                </c:pt>
                <c:pt idx="54">
                  <c:v>233.66658291891744</c:v>
                </c:pt>
                <c:pt idx="55">
                  <c:v>235.56476425274766</c:v>
                </c:pt>
                <c:pt idx="56">
                  <c:v>237.466009658335</c:v>
                </c:pt>
                <c:pt idx="57">
                  <c:v>239.37030439255275</c:v>
                </c:pt>
                <c:pt idx="58">
                  <c:v>241.27763387674156</c:v>
                </c:pt>
                <c:pt idx="59">
                  <c:v>243.18798369384794</c:v>
                </c:pt>
                <c:pt idx="60">
                  <c:v>245.10133958562287</c:v>
                </c:pt>
                <c:pt idx="61">
                  <c:v>247.01768744989246</c:v>
                </c:pt>
                <c:pt idx="62">
                  <c:v>248.93701333788977</c:v>
                </c:pt>
                <c:pt idx="63">
                  <c:v>250.859303451649</c:v>
                </c:pt>
                <c:pt idx="64">
                  <c:v>252.78454414145733</c:v>
                </c:pt>
                <c:pt idx="65">
                  <c:v>254.7127219033685</c:v>
                </c:pt>
                <c:pt idx="66">
                  <c:v>256.64382337677262</c:v>
                </c:pt>
                <c:pt idx="67">
                  <c:v>258.57783534201621</c:v>
                </c:pt>
                <c:pt idx="68">
                  <c:v>260.51474471808325</c:v>
                </c:pt>
                <c:pt idx="69">
                  <c:v>262.45453856032145</c:v>
                </c:pt>
                <c:pt idx="70">
                  <c:v>264.39720405822311</c:v>
                </c:pt>
                <c:pt idx="71">
                  <c:v>266.34272853325126</c:v>
                </c:pt>
                <c:pt idx="72">
                  <c:v>268.29109943671921</c:v>
                </c:pt>
                <c:pt idx="73">
                  <c:v>270.24230434770925</c:v>
                </c:pt>
                <c:pt idx="74">
                  <c:v>272.19633097104332</c:v>
                </c:pt>
                <c:pt idx="75">
                  <c:v>274.15316713529182</c:v>
                </c:pt>
                <c:pt idx="76">
                  <c:v>276.11280079082877</c:v>
                </c:pt>
                <c:pt idx="77">
                  <c:v>278.07522000792648</c:v>
                </c:pt>
                <c:pt idx="78">
                  <c:v>280.04041297489283</c:v>
                </c:pt>
                <c:pt idx="79">
                  <c:v>282.00836799624545</c:v>
                </c:pt>
                <c:pt idx="80">
                  <c:v>283.97907349092378</c:v>
                </c:pt>
                <c:pt idx="81">
                  <c:v>285.95251799054176</c:v>
                </c:pt>
                <c:pt idx="82">
                  <c:v>287.92869013767381</c:v>
                </c:pt>
                <c:pt idx="83">
                  <c:v>289.90757868417717</c:v>
                </c:pt>
                <c:pt idx="84">
                  <c:v>291.88917248954829</c:v>
                </c:pt>
                <c:pt idx="85">
                  <c:v>293.87346051931371</c:v>
                </c:pt>
                <c:pt idx="86">
                  <c:v>295.86043184345203</c:v>
                </c:pt>
                <c:pt idx="87">
                  <c:v>297.85007563484771</c:v>
                </c:pt>
                <c:pt idx="88">
                  <c:v>299.84238116777897</c:v>
                </c:pt>
                <c:pt idx="89">
                  <c:v>301.83733781643315</c:v>
                </c:pt>
                <c:pt idx="90">
                  <c:v>303.83493505344853</c:v>
                </c:pt>
                <c:pt idx="91">
                  <c:v>305.83516244849449</c:v>
                </c:pt>
                <c:pt idx="92">
                  <c:v>307.83800966686749</c:v>
                </c:pt>
                <c:pt idx="93">
                  <c:v>309.84346646812537</c:v>
                </c:pt>
                <c:pt idx="94">
                  <c:v>311.85152270473901</c:v>
                </c:pt>
                <c:pt idx="95">
                  <c:v>313.86216832077878</c:v>
                </c:pt>
                <c:pt idx="96">
                  <c:v>315.87539335061786</c:v>
                </c:pt>
                <c:pt idx="97">
                  <c:v>317.89118791766646</c:v>
                </c:pt>
                <c:pt idx="98">
                  <c:v>319.90954223312946</c:v>
                </c:pt>
                <c:pt idx="99">
                  <c:v>321.93044659478375</c:v>
                </c:pt>
                <c:pt idx="100">
                  <c:v>323.95389138578065</c:v>
                </c:pt>
                <c:pt idx="101">
                  <c:v>325.97986707347462</c:v>
                </c:pt>
                <c:pt idx="102">
                  <c:v>328.00836420826749</c:v>
                </c:pt>
                <c:pt idx="103">
                  <c:v>330.03937342247849</c:v>
                </c:pt>
                <c:pt idx="104">
                  <c:v>332.07288542923339</c:v>
                </c:pt>
                <c:pt idx="105">
                  <c:v>334.10889102137435</c:v>
                </c:pt>
                <c:pt idx="106">
                  <c:v>336.14738107039079</c:v>
                </c:pt>
                <c:pt idx="107">
                  <c:v>338.18834652536742</c:v>
                </c:pt>
                <c:pt idx="108">
                  <c:v>340.23177841195428</c:v>
                </c:pt>
                <c:pt idx="109">
                  <c:v>342.27766783135195</c:v>
                </c:pt>
                <c:pt idx="110">
                  <c:v>344.32600595931984</c:v>
                </c:pt>
                <c:pt idx="111">
                  <c:v>346.37678404519539</c:v>
                </c:pt>
                <c:pt idx="112">
                  <c:v>348.42999341093724</c:v>
                </c:pt>
                <c:pt idx="113">
                  <c:v>350.48562545018183</c:v>
                </c:pt>
                <c:pt idx="114">
                  <c:v>352.54367162731853</c:v>
                </c:pt>
                <c:pt idx="115">
                  <c:v>354.60412347657677</c:v>
                </c:pt>
                <c:pt idx="116">
                  <c:v>356.66697260113665</c:v>
                </c:pt>
                <c:pt idx="117">
                  <c:v>358.73221067224631</c:v>
                </c:pt>
                <c:pt idx="118">
                  <c:v>360.79982942836136</c:v>
                </c:pt>
                <c:pt idx="119">
                  <c:v>362.8698206742954</c:v>
                </c:pt>
                <c:pt idx="120">
                  <c:v>364.94217628038882</c:v>
                </c:pt>
                <c:pt idx="121">
                  <c:v>367.01688818168441</c:v>
                </c:pt>
                <c:pt idx="122">
                  <c:v>369.09394837712722</c:v>
                </c:pt>
                <c:pt idx="123">
                  <c:v>371.1733489287663</c:v>
                </c:pt>
                <c:pt idx="124">
                  <c:v>373.2550819609844</c:v>
                </c:pt>
                <c:pt idx="125">
                  <c:v>375.33913965972323</c:v>
                </c:pt>
                <c:pt idx="126">
                  <c:v>377.42551427173771</c:v>
                </c:pt>
                <c:pt idx="127">
                  <c:v>379.51419810385124</c:v>
                </c:pt>
                <c:pt idx="128">
                  <c:v>381.60518352222937</c:v>
                </c:pt>
                <c:pt idx="129">
                  <c:v>383.69846295166428</c:v>
                </c:pt>
                <c:pt idx="130">
                  <c:v>385.79402887486827</c:v>
                </c:pt>
                <c:pt idx="131">
                  <c:v>387.8918738317829</c:v>
                </c:pt>
                <c:pt idx="132">
                  <c:v>389.99199041889585</c:v>
                </c:pt>
                <c:pt idx="133">
                  <c:v>392.09437128857286</c:v>
                </c:pt>
                <c:pt idx="134">
                  <c:v>394.19900914839195</c:v>
                </c:pt>
                <c:pt idx="135">
                  <c:v>396.30589676050232</c:v>
                </c:pt>
                <c:pt idx="136">
                  <c:v>398.41502694097881</c:v>
                </c:pt>
                <c:pt idx="137">
                  <c:v>400.52639255919559</c:v>
                </c:pt>
                <c:pt idx="138">
                  <c:v>402.63998653720938</c:v>
                </c:pt>
                <c:pt idx="139">
                  <c:v>404.75580184914662</c:v>
                </c:pt>
                <c:pt idx="140">
                  <c:v>406.8738315206063</c:v>
                </c:pt>
                <c:pt idx="141">
                  <c:v>408.99406862806859</c:v>
                </c:pt>
                <c:pt idx="142">
                  <c:v>411.11650629831644</c:v>
                </c:pt>
                <c:pt idx="143">
                  <c:v>413.24113770786062</c:v>
                </c:pt>
                <c:pt idx="144">
                  <c:v>415.36795608237867</c:v>
                </c:pt>
                <c:pt idx="145">
                  <c:v>417.49695469615949</c:v>
                </c:pt>
                <c:pt idx="146">
                  <c:v>419.62812687155809</c:v>
                </c:pt>
                <c:pt idx="147">
                  <c:v>421.76146597845565</c:v>
                </c:pt>
                <c:pt idx="148">
                  <c:v>423.89696543373526</c:v>
                </c:pt>
                <c:pt idx="149">
                  <c:v>426.03461870075478</c:v>
                </c:pt>
                <c:pt idx="150">
                  <c:v>428.1744192888379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C0-4047-8CBA-1EB823D8E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335023"/>
        <c:axId val="1757334191"/>
      </c:lineChart>
      <c:catAx>
        <c:axId val="175733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34191"/>
        <c:crosses val="autoZero"/>
        <c:auto val="1"/>
        <c:lblAlgn val="ctr"/>
        <c:lblOffset val="100"/>
        <c:noMultiLvlLbl val="0"/>
      </c:catAx>
      <c:valAx>
        <c:axId val="175733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3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5.Q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Sheet4!$C$18:$EW$18</c:f>
              <c:numCache>
                <c:formatCode>General</c:formatCode>
                <c:ptCount val="151"/>
                <c:pt idx="0">
                  <c:v>13620.583298689698</c:v>
                </c:pt>
                <c:pt idx="1">
                  <c:v>13681.952348608809</c:v>
                </c:pt>
                <c:pt idx="2">
                  <c:v>13743.473492448609</c:v>
                </c:pt>
                <c:pt idx="3">
                  <c:v>13805.145610463691</c:v>
                </c:pt>
                <c:pt idx="4">
                  <c:v>13866.967601957558</c:v>
                </c:pt>
                <c:pt idx="5">
                  <c:v>13928.938384778186</c:v>
                </c:pt>
                <c:pt idx="6">
                  <c:v>13991.056894831789</c:v>
                </c:pt>
                <c:pt idx="7">
                  <c:v>14053.322085613712</c:v>
                </c:pt>
                <c:pt idx="8">
                  <c:v>14115.732927755835</c:v>
                </c:pt>
                <c:pt idx="9">
                  <c:v>14178.288408589688</c:v>
                </c:pt>
                <c:pt idx="10">
                  <c:v>14240.987531724642</c:v>
                </c:pt>
                <c:pt idx="11">
                  <c:v>14303.829316640389</c:v>
                </c:pt>
                <c:pt idx="12">
                  <c:v>14366.812798293429</c:v>
                </c:pt>
                <c:pt idx="13">
                  <c:v>14429.937026736494</c:v>
                </c:pt>
                <c:pt idx="14">
                  <c:v>14493.201066750828</c:v>
                </c:pt>
                <c:pt idx="15">
                  <c:v>14556.603997490371</c:v>
                </c:pt>
                <c:pt idx="16">
                  <c:v>14620.144912137806</c:v>
                </c:pt>
                <c:pt idx="17">
                  <c:v>14683.822917571495</c:v>
                </c:pt>
                <c:pt idx="18">
                  <c:v>14747.637134043254</c:v>
                </c:pt>
                <c:pt idx="19">
                  <c:v>14811.586694866381</c:v>
                </c:pt>
                <c:pt idx="20">
                  <c:v>14875.670746113394</c:v>
                </c:pt>
                <c:pt idx="21">
                  <c:v>14939.888446323341</c:v>
                </c:pt>
                <c:pt idx="22">
                  <c:v>15004.238966218225</c:v>
                </c:pt>
                <c:pt idx="23">
                  <c:v>15068.721488428037</c:v>
                </c:pt>
                <c:pt idx="24">
                  <c:v>15133.335207224218</c:v>
                </c:pt>
                <c:pt idx="25">
                  <c:v>15198.079328261238</c:v>
                </c:pt>
                <c:pt idx="26">
                  <c:v>15262.953068325982</c:v>
                </c:pt>
                <c:pt idx="27">
                  <c:v>15327.955655094336</c:v>
                </c:pt>
                <c:pt idx="28">
                  <c:v>15393.086326895376</c:v>
                </c:pt>
                <c:pt idx="29">
                  <c:v>15458.344332482102</c:v>
                </c:pt>
                <c:pt idx="30">
                  <c:v>15523.728930809073</c:v>
                </c:pt>
                <c:pt idx="31">
                  <c:v>15589.239390816363</c:v>
                </c:pt>
                <c:pt idx="32">
                  <c:v>15654.874991219745</c:v>
                </c:pt>
                <c:pt idx="33">
                  <c:v>15720.635020306821</c:v>
                </c:pt>
                <c:pt idx="34">
                  <c:v>15786.51877573891</c:v>
                </c:pt>
                <c:pt idx="35">
                  <c:v>15852.525564358484</c:v>
                </c:pt>
                <c:pt idx="36">
                  <c:v>15918.654702001993</c:v>
                </c:pt>
                <c:pt idx="37">
                  <c:v>15984.905513317804</c:v>
                </c:pt>
                <c:pt idx="38">
                  <c:v>16051.277331589148</c:v>
                </c:pt>
                <c:pt idx="39">
                  <c:v>16117.769498561918</c:v>
                </c:pt>
                <c:pt idx="40">
                  <c:v>16184.381364277011</c:v>
                </c:pt>
                <c:pt idx="41">
                  <c:v>16251.112286907352</c:v>
                </c:pt>
                <c:pt idx="42">
                  <c:v>16317.961632599019</c:v>
                </c:pt>
                <c:pt idx="43">
                  <c:v>16384.928775316821</c:v>
                </c:pt>
                <c:pt idx="44">
                  <c:v>16452.013096693678</c:v>
                </c:pt>
                <c:pt idx="45">
                  <c:v>16519.21398588414</c:v>
                </c:pt>
                <c:pt idx="46">
                  <c:v>16586.530839421543</c:v>
                </c:pt>
                <c:pt idx="47">
                  <c:v>16653.963061078946</c:v>
                </c:pt>
                <c:pt idx="48">
                  <c:v>16721.510061733585</c:v>
                </c:pt>
                <c:pt idx="49">
                  <c:v>16789.171259234674</c:v>
                </c:pt>
                <c:pt idx="50">
                  <c:v>16856.946078274716</c:v>
                </c:pt>
                <c:pt idx="51">
                  <c:v>16924.833950263885</c:v>
                </c:pt>
                <c:pt idx="52">
                  <c:v>16992.834313207542</c:v>
                </c:pt>
                <c:pt idx="53">
                  <c:v>17060.9466115869</c:v>
                </c:pt>
                <c:pt idx="54">
                  <c:v>17129.170296242435</c:v>
                </c:pt>
                <c:pt idx="55">
                  <c:v>17197.504824260322</c:v>
                </c:pt>
                <c:pt idx="56">
                  <c:v>17265.949658861467</c:v>
                </c:pt>
                <c:pt idx="57">
                  <c:v>17334.504269293309</c:v>
                </c:pt>
                <c:pt idx="58">
                  <c:v>17403.168130724102</c:v>
                </c:pt>
                <c:pt idx="59">
                  <c:v>17471.940724139931</c:v>
                </c:pt>
                <c:pt idx="60">
                  <c:v>17540.821536243828</c:v>
                </c:pt>
                <c:pt idx="61">
                  <c:v>17609.810059357533</c:v>
                </c:pt>
                <c:pt idx="62">
                  <c:v>17678.90579132544</c:v>
                </c:pt>
                <c:pt idx="63">
                  <c:v>17748.108235420772</c:v>
                </c:pt>
                <c:pt idx="64">
                  <c:v>17817.416900253869</c:v>
                </c:pt>
                <c:pt idx="65">
                  <c:v>17886.831299682672</c:v>
                </c:pt>
                <c:pt idx="66">
                  <c:v>17956.350952725221</c:v>
                </c:pt>
                <c:pt idx="67">
                  <c:v>18025.975383473989</c:v>
                </c:pt>
                <c:pt idx="68">
                  <c:v>18095.704121012404</c:v>
                </c:pt>
                <c:pt idx="69">
                  <c:v>18165.536699332977</c:v>
                </c:pt>
                <c:pt idx="70">
                  <c:v>18235.47265725744</c:v>
                </c:pt>
                <c:pt idx="71">
                  <c:v>18305.511538358449</c:v>
                </c:pt>
                <c:pt idx="72">
                  <c:v>18375.652890883299</c:v>
                </c:pt>
                <c:pt idx="73">
                  <c:v>18445.896267678938</c:v>
                </c:pt>
                <c:pt idx="74">
                  <c:v>18516.241226118967</c:v>
                </c:pt>
                <c:pt idx="75">
                  <c:v>18586.687328031912</c:v>
                </c:pt>
                <c:pt idx="76">
                  <c:v>18657.234139631244</c:v>
                </c:pt>
                <c:pt idx="77">
                  <c:v>18727.881231446758</c:v>
                </c:pt>
                <c:pt idx="78">
                  <c:v>18798.628178257546</c:v>
                </c:pt>
                <c:pt idx="79">
                  <c:v>18869.474559026243</c:v>
                </c:pt>
                <c:pt idx="80">
                  <c:v>18940.419956834663</c:v>
                </c:pt>
                <c:pt idx="81">
                  <c:v>19011.46395882091</c:v>
                </c:pt>
                <c:pt idx="82">
                  <c:v>19082.606156117661</c:v>
                </c:pt>
                <c:pt idx="83">
                  <c:v>19153.846143791783</c:v>
                </c:pt>
                <c:pt idx="84">
                  <c:v>19225.183520785147</c:v>
                </c:pt>
                <c:pt idx="85">
                  <c:v>19296.617889856701</c:v>
                </c:pt>
                <c:pt idx="86">
                  <c:v>19368.148857525681</c:v>
                </c:pt>
                <c:pt idx="87">
                  <c:v>19439.776034015926</c:v>
                </c:pt>
                <c:pt idx="88">
                  <c:v>19511.499033201449</c:v>
                </c:pt>
                <c:pt idx="89">
                  <c:v>19583.317472553001</c:v>
                </c:pt>
                <c:pt idx="90">
                  <c:v>19655.230973085556</c:v>
                </c:pt>
                <c:pt idx="91">
                  <c:v>19727.23915930721</c:v>
                </c:pt>
                <c:pt idx="92">
                  <c:v>19799.341659168636</c:v>
                </c:pt>
                <c:pt idx="93">
                  <c:v>19871.538104013922</c:v>
                </c:pt>
                <c:pt idx="94">
                  <c:v>19943.828128532012</c:v>
                </c:pt>
                <c:pt idx="95">
                  <c:v>20016.211370709443</c:v>
                </c:pt>
                <c:pt idx="96">
                  <c:v>20088.687471783651</c:v>
                </c:pt>
                <c:pt idx="97">
                  <c:v>20161.256076197402</c:v>
                </c:pt>
                <c:pt idx="98">
                  <c:v>20233.91683155407</c:v>
                </c:pt>
                <c:pt idx="99">
                  <c:v>20306.66938857362</c:v>
                </c:pt>
                <c:pt idx="100">
                  <c:v>20379.513401049509</c:v>
                </c:pt>
                <c:pt idx="101">
                  <c:v>20452.448525806496</c:v>
                </c:pt>
                <c:pt idx="102">
                  <c:v>20525.474422659037</c:v>
                </c:pt>
                <c:pt idx="103">
                  <c:v>20598.590754370634</c:v>
                </c:pt>
                <c:pt idx="104">
                  <c:v>20671.79718661381</c:v>
                </c:pt>
                <c:pt idx="105">
                  <c:v>20745.093387930883</c:v>
                </c:pt>
                <c:pt idx="106">
                  <c:v>20818.479029695474</c:v>
                </c:pt>
                <c:pt idx="107">
                  <c:v>20891.953786074635</c:v>
                </c:pt>
                <c:pt idx="108">
                  <c:v>20965.51733399176</c:v>
                </c:pt>
                <c:pt idx="109">
                  <c:v>21039.169353090077</c:v>
                </c:pt>
                <c:pt idx="110">
                  <c:v>21112.909525696919</c:v>
                </c:pt>
                <c:pt idx="111">
                  <c:v>21186.737536788438</c:v>
                </c:pt>
                <c:pt idx="112">
                  <c:v>21260.653073955149</c:v>
                </c:pt>
                <c:pt idx="113">
                  <c:v>21334.655827367955</c:v>
                </c:pt>
                <c:pt idx="114">
                  <c:v>21408.745489744873</c:v>
                </c:pt>
                <c:pt idx="115">
                  <c:v>21482.92175631817</c:v>
                </c:pt>
                <c:pt idx="116">
                  <c:v>21557.184324802325</c:v>
                </c:pt>
                <c:pt idx="117">
                  <c:v>21631.532895362274</c:v>
                </c:pt>
                <c:pt idx="118">
                  <c:v>21705.967170582415</c:v>
                </c:pt>
                <c:pt idx="119">
                  <c:v>21780.486855436044</c:v>
                </c:pt>
                <c:pt idx="120">
                  <c:v>21855.091657255405</c:v>
                </c:pt>
                <c:pt idx="121">
                  <c:v>21929.781285702047</c:v>
                </c:pt>
                <c:pt idx="122">
                  <c:v>22004.555452737986</c:v>
                </c:pt>
                <c:pt idx="123">
                  <c:v>22079.413872596997</c:v>
                </c:pt>
                <c:pt idx="124">
                  <c:v>22154.356261756846</c:v>
                </c:pt>
                <c:pt idx="125">
                  <c:v>22229.382338911444</c:v>
                </c:pt>
                <c:pt idx="126">
                  <c:v>22304.491824943965</c:v>
                </c:pt>
                <c:pt idx="127">
                  <c:v>22379.684442900056</c:v>
                </c:pt>
                <c:pt idx="128">
                  <c:v>22454.959917961663</c:v>
                </c:pt>
                <c:pt idx="129">
                  <c:v>22530.31797742132</c:v>
                </c:pt>
                <c:pt idx="130">
                  <c:v>22605.758350656663</c:v>
                </c:pt>
                <c:pt idx="131">
                  <c:v>22681.280769105593</c:v>
                </c:pt>
                <c:pt idx="132">
                  <c:v>22756.884966241661</c:v>
                </c:pt>
                <c:pt idx="133">
                  <c:v>22832.570677550029</c:v>
                </c:pt>
                <c:pt idx="134">
                  <c:v>22908.337640503516</c:v>
                </c:pt>
                <c:pt idx="135">
                  <c:v>22984.185594539493</c:v>
                </c:pt>
                <c:pt idx="136">
                  <c:v>23060.11428103664</c:v>
                </c:pt>
                <c:pt idx="137">
                  <c:v>23136.12344329245</c:v>
                </c:pt>
                <c:pt idx="138">
                  <c:v>23212.212826500945</c:v>
                </c:pt>
                <c:pt idx="139">
                  <c:v>23288.382177730688</c:v>
                </c:pt>
                <c:pt idx="140">
                  <c:v>23364.631245903234</c:v>
                </c:pt>
                <c:pt idx="141">
                  <c:v>23440.959781771875</c:v>
                </c:pt>
                <c:pt idx="142">
                  <c:v>23517.367537900798</c:v>
                </c:pt>
                <c:pt idx="143">
                  <c:v>23593.854268644391</c:v>
                </c:pt>
                <c:pt idx="144">
                  <c:v>23670.419730127036</c:v>
                </c:pt>
                <c:pt idx="145">
                  <c:v>23747.063680223146</c:v>
                </c:pt>
                <c:pt idx="146">
                  <c:v>23823.785878537499</c:v>
                </c:pt>
                <c:pt idx="147">
                  <c:v>23900.586086385811</c:v>
                </c:pt>
                <c:pt idx="148">
                  <c:v>23977.464066775876</c:v>
                </c:pt>
                <c:pt idx="149">
                  <c:v>24054.419584388579</c:v>
                </c:pt>
                <c:pt idx="150">
                  <c:v>24131.452405559572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7D-4C47-B953-8E9FB5699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322959"/>
        <c:axId val="1757325455"/>
      </c:lineChart>
      <c:catAx>
        <c:axId val="175732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25455"/>
        <c:crosses val="autoZero"/>
        <c:auto val="1"/>
        <c:lblAlgn val="ctr"/>
        <c:lblOffset val="100"/>
        <c:noMultiLvlLbl val="0"/>
      </c:catAx>
      <c:valAx>
        <c:axId val="17573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2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259080</xdr:colOff>
      <xdr:row>2</xdr:row>
      <xdr:rowOff>72390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23326</xdr:rowOff>
    </xdr:from>
    <xdr:to>
      <xdr:col>8</xdr:col>
      <xdr:colOff>7776</xdr:colOff>
      <xdr:row>21</xdr:row>
      <xdr:rowOff>42633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1A4CBC-8024-4C76-B7F8-84E50AE3C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8" y="1127448"/>
          <a:ext cx="4253204" cy="35882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907339</xdr:colOff>
      <xdr:row>0</xdr:row>
      <xdr:rowOff>0</xdr:rowOff>
    </xdr:from>
    <xdr:to>
      <xdr:col>13</xdr:col>
      <xdr:colOff>448900</xdr:colOff>
      <xdr:row>10</xdr:row>
      <xdr:rowOff>141513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1B5CE-C06D-42A9-BF00-ADF9BE662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393487</xdr:colOff>
      <xdr:row>0</xdr:row>
      <xdr:rowOff>0</xdr:rowOff>
    </xdr:from>
    <xdr:to>
      <xdr:col>18</xdr:col>
      <xdr:colOff>897685</xdr:colOff>
      <xdr:row>11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C4B8AD-76C9-4AEB-91B0-05EF7FB29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912853</xdr:colOff>
      <xdr:row>0</xdr:row>
      <xdr:rowOff>0</xdr:rowOff>
    </xdr:from>
    <xdr:to>
      <xdr:col>23</xdr:col>
      <xdr:colOff>537498</xdr:colOff>
      <xdr:row>10</xdr:row>
      <xdr:rowOff>173856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A29254-B535-44B2-835A-7C03F1990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519470</xdr:colOff>
      <xdr:row>0</xdr:row>
      <xdr:rowOff>0</xdr:rowOff>
    </xdr:from>
    <xdr:to>
      <xdr:col>28</xdr:col>
      <xdr:colOff>454685</xdr:colOff>
      <xdr:row>10</xdr:row>
      <xdr:rowOff>130628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846F26-586E-41B9-9FC5-02A4C9A37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434101</xdr:colOff>
      <xdr:row>0</xdr:row>
      <xdr:rowOff>0</xdr:rowOff>
    </xdr:from>
    <xdr:to>
      <xdr:col>34</xdr:col>
      <xdr:colOff>166381</xdr:colOff>
      <xdr:row>10</xdr:row>
      <xdr:rowOff>164081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5863E6-0782-4126-B1DA-C576092A3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739140</xdr:colOff>
      <xdr:row>1</xdr:row>
      <xdr:rowOff>167640</xdr:rowOff>
    </xdr:from>
    <xdr:to>
      <xdr:col>14</xdr:col>
      <xdr:colOff>402693</xdr:colOff>
      <xdr:row>31</xdr:row>
      <xdr:rowOff>71241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7B0DF8-83AF-4FCF-B170-3363B293E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7640" y="746760"/>
          <a:ext cx="5287113" cy="5420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529-8CD6-4160-B956-9B6C461A755A}">
  <dimension ref="A1:J14"/>
  <sheetViews>
    <sheetView zoomScale="76" workbookViewId="0">
      <selection activeCell="B1" sqref="B1"/>
    </sheetView>
  </sheetViews>
  <sheetFormatPr defaultRowHeight="14.4" x14ac:dyDescent="0.3"/>
  <cols>
    <col min="1" max="1" width="33.5546875" customWidth="1"/>
    <col min="2" max="2" width="26.33203125" customWidth="1"/>
    <col min="4" max="4" width="10" customWidth="1"/>
  </cols>
  <sheetData>
    <row r="1" spans="1:10" ht="57" customHeight="1" thickBot="1" x14ac:dyDescent="0.35">
      <c r="A1" s="1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ht="125.4" thickBot="1" x14ac:dyDescent="0.35"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10" ht="16.2" thickBot="1" x14ac:dyDescent="0.35">
      <c r="C3" s="4">
        <v>5</v>
      </c>
      <c r="D3" s="5" t="s">
        <v>2</v>
      </c>
      <c r="E3" s="6">
        <v>4064</v>
      </c>
      <c r="F3" s="6">
        <v>2.5</v>
      </c>
      <c r="G3" s="6">
        <v>6</v>
      </c>
      <c r="H3" s="6">
        <v>10</v>
      </c>
      <c r="I3" s="6">
        <v>0.75</v>
      </c>
    </row>
    <row r="4" spans="1:10" x14ac:dyDescent="0.3">
      <c r="B4" s="9"/>
      <c r="C4" s="20" t="s">
        <v>10</v>
      </c>
      <c r="D4" s="20">
        <v>0.45</v>
      </c>
      <c r="E4" s="20">
        <v>160000</v>
      </c>
      <c r="F4" s="20">
        <v>150</v>
      </c>
    </row>
    <row r="5" spans="1:10" x14ac:dyDescent="0.3">
      <c r="C5" s="10"/>
      <c r="D5" s="10">
        <v>0.8</v>
      </c>
      <c r="E5" s="10"/>
      <c r="F5" s="10"/>
    </row>
    <row r="10" spans="1:10" ht="15" thickBot="1" x14ac:dyDescent="0.35"/>
    <row r="11" spans="1:10" x14ac:dyDescent="0.3">
      <c r="B11" s="9" t="s">
        <v>17</v>
      </c>
      <c r="C11" s="11" t="s">
        <v>11</v>
      </c>
      <c r="D11" s="12">
        <f>(D4*D5*E4)/(I3*F4)</f>
        <v>512.00000000000011</v>
      </c>
      <c r="E11" s="13" t="s">
        <v>15</v>
      </c>
    </row>
    <row r="12" spans="1:10" x14ac:dyDescent="0.3">
      <c r="C12" s="14" t="s">
        <v>12</v>
      </c>
      <c r="D12" s="10">
        <f>(60*D5*E4)/(G3*F4)</f>
        <v>8533.3333333333339</v>
      </c>
      <c r="E12" s="15" t="s">
        <v>16</v>
      </c>
    </row>
    <row r="13" spans="1:10" ht="18" x14ac:dyDescent="0.4">
      <c r="C13" s="16" t="s">
        <v>13</v>
      </c>
      <c r="D13" s="10">
        <f>D5/(F4*(1-I3))</f>
        <v>2.1333333333333336E-2</v>
      </c>
      <c r="E13" s="15" t="s">
        <v>15</v>
      </c>
    </row>
    <row r="14" spans="1:10" ht="15" thickBot="1" x14ac:dyDescent="0.35">
      <c r="C14" s="17" t="s">
        <v>14</v>
      </c>
      <c r="D14" s="18">
        <f>(((D5*D4*(E4*E4))/(F4*I3))*H3)/1000000</f>
        <v>819.20000000000016</v>
      </c>
      <c r="E14" s="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C29B-397D-4C39-9AF4-668FAEA09AEE}">
  <dimension ref="A1:S23"/>
  <sheetViews>
    <sheetView workbookViewId="0">
      <selection activeCell="B3" sqref="B3"/>
    </sheetView>
  </sheetViews>
  <sheetFormatPr defaultRowHeight="14.4" x14ac:dyDescent="0.3"/>
  <cols>
    <col min="1" max="1" width="23.88671875" customWidth="1"/>
    <col min="2" max="2" width="9.33203125" customWidth="1"/>
    <col min="3" max="3" width="22.44140625" customWidth="1"/>
    <col min="4" max="4" width="12.6640625" bestFit="1" customWidth="1"/>
    <col min="6" max="6" width="11" bestFit="1" customWidth="1"/>
  </cols>
  <sheetData>
    <row r="1" spans="1:19" ht="72" x14ac:dyDescent="0.3">
      <c r="A1" s="1" t="s">
        <v>19</v>
      </c>
      <c r="B1" s="2" t="s">
        <v>20</v>
      </c>
      <c r="C1" s="2" t="s">
        <v>22</v>
      </c>
    </row>
    <row r="2" spans="1:19" ht="14.4" customHeight="1" thickBot="1" x14ac:dyDescent="0.35">
      <c r="A2" t="s">
        <v>21</v>
      </c>
    </row>
    <row r="3" spans="1:19" ht="27" thickBot="1" x14ac:dyDescent="0.35">
      <c r="D3" s="23" t="s">
        <v>23</v>
      </c>
      <c r="E3" s="24" t="s">
        <v>24</v>
      </c>
      <c r="F3" s="24" t="s">
        <v>25</v>
      </c>
      <c r="G3" s="24" t="s">
        <v>26</v>
      </c>
      <c r="H3" s="25" t="s">
        <v>28</v>
      </c>
      <c r="I3" s="24" t="s">
        <v>29</v>
      </c>
      <c r="J3" s="24" t="s">
        <v>30</v>
      </c>
      <c r="K3" s="24" t="s">
        <v>31</v>
      </c>
      <c r="L3" s="24" t="s">
        <v>32</v>
      </c>
      <c r="M3" s="26"/>
      <c r="N3" s="31" t="s">
        <v>42</v>
      </c>
      <c r="O3" s="32" t="s">
        <v>41</v>
      </c>
      <c r="P3" s="25" t="s">
        <v>49</v>
      </c>
      <c r="Q3" s="25" t="s">
        <v>50</v>
      </c>
      <c r="R3" s="25" t="s">
        <v>54</v>
      </c>
      <c r="S3" s="25" t="s">
        <v>55</v>
      </c>
    </row>
    <row r="4" spans="1:19" ht="15" thickBot="1" x14ac:dyDescent="0.35">
      <c r="D4" s="21">
        <v>33</v>
      </c>
      <c r="E4" s="22">
        <v>0.623</v>
      </c>
      <c r="F4" s="22">
        <v>0.77</v>
      </c>
      <c r="G4" s="22">
        <v>5.09</v>
      </c>
      <c r="H4" s="27">
        <v>0.6</v>
      </c>
      <c r="I4" s="28">
        <v>16</v>
      </c>
      <c r="J4" s="28">
        <v>18</v>
      </c>
      <c r="K4" s="28">
        <v>25</v>
      </c>
      <c r="L4" s="28">
        <v>28</v>
      </c>
      <c r="M4" s="29">
        <v>3.14</v>
      </c>
      <c r="N4" s="29">
        <v>4.2</v>
      </c>
      <c r="O4" s="29">
        <v>30</v>
      </c>
      <c r="P4" s="29">
        <v>500</v>
      </c>
      <c r="Q4" s="29">
        <v>20</v>
      </c>
      <c r="R4" s="29">
        <v>4.4999999999999998E-2</v>
      </c>
      <c r="S4" s="28">
        <f>1000*N5*H5</f>
        <v>700</v>
      </c>
    </row>
    <row r="5" spans="1:19" x14ac:dyDescent="0.3">
      <c r="C5" s="9" t="s">
        <v>10</v>
      </c>
      <c r="F5">
        <f>F4/1000000</f>
        <v>7.7000000000000004E-7</v>
      </c>
      <c r="H5" s="2">
        <f>H4/3600</f>
        <v>1.6666666666666666E-4</v>
      </c>
      <c r="I5" s="2">
        <f>I4/1000</f>
        <v>1.6E-2</v>
      </c>
      <c r="J5" s="2">
        <f>J4/1000</f>
        <v>1.7999999999999999E-2</v>
      </c>
      <c r="K5" s="2">
        <f>K4/1000</f>
        <v>2.5000000000000001E-2</v>
      </c>
      <c r="L5" s="2">
        <f>L4/1000</f>
        <v>2.8000000000000001E-2</v>
      </c>
      <c r="N5" s="2">
        <f>N4*1000</f>
        <v>4200</v>
      </c>
      <c r="O5" s="2"/>
      <c r="P5" s="2">
        <f>P4*60</f>
        <v>30000</v>
      </c>
      <c r="Q5" s="2">
        <f>Q4*60</f>
        <v>1200</v>
      </c>
      <c r="R5" s="2">
        <f>R4*1000</f>
        <v>45</v>
      </c>
    </row>
    <row r="7" spans="1:19" x14ac:dyDescent="0.3">
      <c r="C7" s="9" t="s">
        <v>27</v>
      </c>
      <c r="D7">
        <f>(4*H5)/(F5*M4*I5)</f>
        <v>17233.297488074553</v>
      </c>
    </row>
    <row r="8" spans="1:19" x14ac:dyDescent="0.3">
      <c r="C8" s="9" t="s">
        <v>33</v>
      </c>
      <c r="D8">
        <f>0.023*POWER(D7,0.8)*POWER(G4,0.43)</f>
        <v>113.42562746920869</v>
      </c>
    </row>
    <row r="9" spans="1:19" x14ac:dyDescent="0.3">
      <c r="C9" s="30" t="s">
        <v>34</v>
      </c>
      <c r="D9">
        <f>D8*(E4/I5)</f>
        <v>4416.5103695823136</v>
      </c>
      <c r="E9" t="s">
        <v>37</v>
      </c>
    </row>
    <row r="10" spans="1:19" x14ac:dyDescent="0.3">
      <c r="C10" s="30" t="s">
        <v>35</v>
      </c>
      <c r="D10">
        <f>D8*(E4/J5)</f>
        <v>3925.786995184279</v>
      </c>
      <c r="E10" t="s">
        <v>37</v>
      </c>
    </row>
    <row r="11" spans="1:19" x14ac:dyDescent="0.3">
      <c r="C11" s="30" t="s">
        <v>36</v>
      </c>
      <c r="D11">
        <f>1/((1/(D9*I5))+((1/(2*R5))*(LN(J5/I5)))+(1/(D10*J5)))</f>
        <v>33.770562184515164</v>
      </c>
      <c r="E11" t="s">
        <v>37</v>
      </c>
    </row>
    <row r="12" spans="1:19" x14ac:dyDescent="0.3">
      <c r="C12" s="30" t="s">
        <v>38</v>
      </c>
      <c r="D12">
        <f>D4-23</f>
        <v>10</v>
      </c>
      <c r="E12" t="s">
        <v>39</v>
      </c>
    </row>
    <row r="13" spans="1:19" x14ac:dyDescent="0.3">
      <c r="C13" s="30" t="s">
        <v>40</v>
      </c>
      <c r="D13">
        <f>N5*O4*((D12/Q5)+(D12/(2*P5)))</f>
        <v>1071</v>
      </c>
      <c r="E13">
        <v>1100</v>
      </c>
      <c r="F13" t="s">
        <v>45</v>
      </c>
    </row>
    <row r="14" spans="1:19" x14ac:dyDescent="0.3">
      <c r="C14" s="30" t="s">
        <v>43</v>
      </c>
      <c r="D14">
        <f>300+(5*50)</f>
        <v>550</v>
      </c>
      <c r="E14" t="s">
        <v>46</v>
      </c>
    </row>
    <row r="15" spans="1:19" x14ac:dyDescent="0.3">
      <c r="C15" s="30" t="s">
        <v>44</v>
      </c>
      <c r="D15">
        <v>4.4999999999999998E-2</v>
      </c>
      <c r="E15" t="s">
        <v>47</v>
      </c>
    </row>
    <row r="16" spans="1:19" x14ac:dyDescent="0.3">
      <c r="C16" s="30" t="s">
        <v>48</v>
      </c>
      <c r="D16">
        <f>E13/(S4*(98-(E13/(D14*D15))-23-(0.2*D12)))</f>
        <v>5.5030572540300166E-2</v>
      </c>
    </row>
    <row r="17" spans="1:13" x14ac:dyDescent="0.3">
      <c r="C17" s="30" t="s">
        <v>51</v>
      </c>
      <c r="D17">
        <f>S4/(D11*((1/D16)-1))</f>
        <v>1.2071077069911735</v>
      </c>
      <c r="E17" t="s">
        <v>58</v>
      </c>
    </row>
    <row r="18" spans="1:13" x14ac:dyDescent="0.3">
      <c r="C18" s="30" t="s">
        <v>53</v>
      </c>
      <c r="D18">
        <f>1000*((M4*(POWER(K5,2)-POWER(J5,2)))/4)*D17</f>
        <v>0.28522144454640957</v>
      </c>
      <c r="E18" t="s">
        <v>57</v>
      </c>
    </row>
    <row r="19" spans="1:13" x14ac:dyDescent="0.3">
      <c r="C19" s="30" t="s">
        <v>52</v>
      </c>
      <c r="D19">
        <f>33.2+((O4/D18)*(2*0.2-0.05))</f>
        <v>70.013501231291542</v>
      </c>
      <c r="E19" t="s">
        <v>39</v>
      </c>
    </row>
    <row r="20" spans="1:13" x14ac:dyDescent="0.3">
      <c r="C20" s="30" t="s">
        <v>56</v>
      </c>
      <c r="D20">
        <f>(0.2*D12)+23+(E13/(D16*S4))</f>
        <v>53.555555555555557</v>
      </c>
      <c r="E20" t="s">
        <v>39</v>
      </c>
    </row>
    <row r="22" spans="1:13" x14ac:dyDescent="0.3">
      <c r="A22" s="104" t="s">
        <v>65</v>
      </c>
      <c r="B22" s="104"/>
      <c r="C22" s="104"/>
      <c r="D22" s="104"/>
      <c r="E22" s="104"/>
      <c r="F22" s="104"/>
      <c r="G22" s="104"/>
      <c r="H22" s="2" t="s">
        <v>59</v>
      </c>
      <c r="I22" s="2" t="s">
        <v>60</v>
      </c>
      <c r="J22" s="2" t="s">
        <v>61</v>
      </c>
      <c r="K22" s="2" t="s">
        <v>62</v>
      </c>
      <c r="L22" s="2" t="s">
        <v>63</v>
      </c>
      <c r="M22" s="2" t="s">
        <v>64</v>
      </c>
    </row>
    <row r="23" spans="1:13" x14ac:dyDescent="0.3">
      <c r="H23" s="2">
        <f>N5*O4*((D12/Q5)+(D12/(2*P5)))</f>
        <v>1071</v>
      </c>
      <c r="I23" s="2">
        <v>1100</v>
      </c>
      <c r="J23" s="2">
        <f>S4/(D11*((1/D16)-1))</f>
        <v>1.2071077069911735</v>
      </c>
      <c r="K23" s="2">
        <f>1000*((M4*(POWER(K5,2)-POWER(J5,2)))/4)*D17</f>
        <v>0.28522144454640957</v>
      </c>
      <c r="L23" s="2">
        <f>33.2+((O4/D18)*(2*0.2-0.05))</f>
        <v>70.013501231291542</v>
      </c>
      <c r="M23" s="2">
        <f>(0.2*D12)+23+(E13/(D16*S4))</f>
        <v>53.555555555555557</v>
      </c>
    </row>
  </sheetData>
  <mergeCells count="1">
    <mergeCell ref="A22:G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1AA5-5D7B-4C84-AE47-68E81DF43EA6}">
  <dimension ref="A1:O22"/>
  <sheetViews>
    <sheetView zoomScale="98" workbookViewId="0">
      <selection activeCell="A22" sqref="A22:O22"/>
    </sheetView>
  </sheetViews>
  <sheetFormatPr defaultRowHeight="14.4" x14ac:dyDescent="0.3"/>
  <cols>
    <col min="1" max="1" width="23.6640625" customWidth="1"/>
  </cols>
  <sheetData>
    <row r="1" spans="1:15" ht="72" x14ac:dyDescent="0.3">
      <c r="A1" s="1" t="s">
        <v>66</v>
      </c>
      <c r="B1" s="2" t="s">
        <v>20</v>
      </c>
    </row>
    <row r="2" spans="1:15" x14ac:dyDescent="0.3">
      <c r="A2" s="106" t="s">
        <v>85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5" ht="15" thickBot="1" x14ac:dyDescent="0.35">
      <c r="I3" s="33"/>
      <c r="J3" s="33"/>
      <c r="K3" s="33"/>
      <c r="L3" s="33"/>
      <c r="M3" s="33"/>
      <c r="N3" s="33"/>
      <c r="O3" s="33"/>
    </row>
    <row r="4" spans="1:15" x14ac:dyDescent="0.3">
      <c r="J4" t="s">
        <v>68</v>
      </c>
    </row>
    <row r="5" spans="1:15" x14ac:dyDescent="0.3">
      <c r="A5">
        <v>1</v>
      </c>
      <c r="J5" s="9" t="s">
        <v>69</v>
      </c>
      <c r="K5" t="s">
        <v>70</v>
      </c>
    </row>
    <row r="6" spans="1:15" x14ac:dyDescent="0.3">
      <c r="A6" s="2" t="s">
        <v>81</v>
      </c>
      <c r="J6" s="9" t="s">
        <v>71</v>
      </c>
      <c r="K6" t="s">
        <v>75</v>
      </c>
    </row>
    <row r="7" spans="1:15" x14ac:dyDescent="0.3">
      <c r="J7" s="9" t="s">
        <v>72</v>
      </c>
      <c r="K7" t="s">
        <v>76</v>
      </c>
    </row>
    <row r="8" spans="1:15" x14ac:dyDescent="0.3">
      <c r="J8" s="9" t="s">
        <v>73</v>
      </c>
      <c r="K8" t="s">
        <v>75</v>
      </c>
    </row>
    <row r="9" spans="1:15" ht="15" thickBot="1" x14ac:dyDescent="0.35">
      <c r="A9" s="33"/>
      <c r="I9" s="33"/>
      <c r="J9" s="34" t="s">
        <v>74</v>
      </c>
      <c r="K9" s="33" t="s">
        <v>77</v>
      </c>
      <c r="L9" s="33"/>
      <c r="M9" s="33"/>
      <c r="N9" s="33"/>
      <c r="O9" s="33"/>
    </row>
    <row r="10" spans="1:15" x14ac:dyDescent="0.3">
      <c r="A10">
        <v>2</v>
      </c>
      <c r="J10" t="s">
        <v>67</v>
      </c>
    </row>
    <row r="11" spans="1:15" x14ac:dyDescent="0.3">
      <c r="A11" s="2" t="s">
        <v>82</v>
      </c>
      <c r="J11" s="9" t="s">
        <v>69</v>
      </c>
      <c r="K11" s="35" t="s">
        <v>70</v>
      </c>
      <c r="L11" s="35"/>
    </row>
    <row r="12" spans="1:15" x14ac:dyDescent="0.3">
      <c r="A12" s="2" t="s">
        <v>83</v>
      </c>
      <c r="J12" s="9" t="s">
        <v>71</v>
      </c>
      <c r="K12" s="35" t="s">
        <v>78</v>
      </c>
      <c r="L12" s="35"/>
      <c r="M12" s="35"/>
    </row>
    <row r="13" spans="1:15" x14ac:dyDescent="0.3">
      <c r="J13" s="9" t="s">
        <v>72</v>
      </c>
      <c r="K13" t="s">
        <v>80</v>
      </c>
    </row>
    <row r="14" spans="1:15" ht="15" thickBot="1" x14ac:dyDescent="0.35">
      <c r="I14" s="33"/>
      <c r="J14" s="34" t="s">
        <v>73</v>
      </c>
      <c r="K14" s="33" t="s">
        <v>79</v>
      </c>
      <c r="L14" s="33"/>
      <c r="M14" s="33"/>
      <c r="N14" s="33"/>
      <c r="O14" s="33"/>
    </row>
    <row r="22" spans="1:15" x14ac:dyDescent="0.3">
      <c r="A22" s="105" t="s">
        <v>84</v>
      </c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</row>
  </sheetData>
  <mergeCells count="2">
    <mergeCell ref="A22:O22"/>
    <mergeCell ref="A2:O2"/>
  </mergeCells>
  <phoneticPr fontId="1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9C4C-7954-4B7A-8177-8B98C8AC0615}">
  <dimension ref="A1:EY28"/>
  <sheetViews>
    <sheetView zoomScale="64" workbookViewId="0">
      <selection activeCell="A15" sqref="A15"/>
    </sheetView>
  </sheetViews>
  <sheetFormatPr defaultRowHeight="14.4" x14ac:dyDescent="0.3"/>
  <cols>
    <col min="1" max="1" width="24" customWidth="1"/>
    <col min="2" max="2" width="9.5546875" customWidth="1"/>
    <col min="3" max="3" width="10.44140625" customWidth="1"/>
    <col min="4" max="4" width="10.33203125" customWidth="1"/>
    <col min="5" max="25" width="14.109375" bestFit="1" customWidth="1"/>
    <col min="26" max="26" width="13" bestFit="1" customWidth="1"/>
    <col min="27" max="41" width="14.109375" bestFit="1" customWidth="1"/>
  </cols>
  <sheetData>
    <row r="1" spans="1:155" ht="25.95" customHeight="1" x14ac:dyDescent="0.3">
      <c r="A1" s="1" t="s">
        <v>89</v>
      </c>
      <c r="B1" s="2" t="s">
        <v>20</v>
      </c>
      <c r="C1">
        <v>5</v>
      </c>
    </row>
    <row r="2" spans="1:155" x14ac:dyDescent="0.3">
      <c r="A2" s="106" t="s">
        <v>109</v>
      </c>
      <c r="B2" s="106"/>
      <c r="C2" s="106"/>
      <c r="D2" s="106"/>
      <c r="E2" s="106"/>
      <c r="F2" s="106"/>
      <c r="G2" s="106"/>
      <c r="H2" s="106"/>
      <c r="I2" s="106"/>
      <c r="J2" s="106"/>
    </row>
    <row r="4" spans="1:155" x14ac:dyDescent="0.3">
      <c r="B4" s="38" t="s">
        <v>90</v>
      </c>
      <c r="C4">
        <f>14+(0.5*C1)</f>
        <v>16.5</v>
      </c>
      <c r="D4" t="s">
        <v>94</v>
      </c>
    </row>
    <row r="5" spans="1:155" x14ac:dyDescent="0.3">
      <c r="B5" s="38" t="s">
        <v>91</v>
      </c>
      <c r="C5">
        <f>90+(2*C1)</f>
        <v>100</v>
      </c>
      <c r="D5" t="s">
        <v>94</v>
      </c>
    </row>
    <row r="6" spans="1:155" x14ac:dyDescent="0.3">
      <c r="B6" s="38" t="s">
        <v>92</v>
      </c>
      <c r="C6">
        <v>0.5</v>
      </c>
    </row>
    <row r="7" spans="1:155" x14ac:dyDescent="0.3">
      <c r="B7" s="38" t="s">
        <v>93</v>
      </c>
      <c r="C7">
        <v>200</v>
      </c>
      <c r="D7" t="s">
        <v>95</v>
      </c>
    </row>
    <row r="8" spans="1:155" x14ac:dyDescent="0.3">
      <c r="B8" s="38" t="s">
        <v>97</v>
      </c>
      <c r="C8">
        <v>250</v>
      </c>
      <c r="D8" t="s">
        <v>96</v>
      </c>
    </row>
    <row r="9" spans="1:155" x14ac:dyDescent="0.3">
      <c r="B9" s="39" t="s">
        <v>100</v>
      </c>
      <c r="C9">
        <f>0.15+(0.01*C1)</f>
        <v>0.2</v>
      </c>
      <c r="D9" t="s">
        <v>94</v>
      </c>
    </row>
    <row r="10" spans="1:155" x14ac:dyDescent="0.3">
      <c r="B10" s="38" t="s">
        <v>101</v>
      </c>
      <c r="C10">
        <f>1-(1/(3*C6))+((1-C6)/(10*POWER(C6,2)))</f>
        <v>0.53333333333333344</v>
      </c>
    </row>
    <row r="11" spans="1:155" x14ac:dyDescent="0.3">
      <c r="B11" s="39" t="s">
        <v>99</v>
      </c>
      <c r="C11">
        <f>((2*C10*POWER(C5,4))/100)*SQRT((2*C4*C4)/(C4+C4)*(C7/C9))</f>
        <v>137015814.1724281</v>
      </c>
    </row>
    <row r="12" spans="1:155" x14ac:dyDescent="0.3">
      <c r="B12" s="38" t="s">
        <v>98</v>
      </c>
      <c r="C12" t="e" cm="1">
        <f t="array" ref="C12:EW12">C11*POWER(C8,(2-C6)/2)*(1+0.3*POWER(B21:EV21,(2-C6)/2))/(POWER(B21:EV21,C6)-1)</f>
        <v>#DIV/0!</v>
      </c>
      <c r="D12">
        <v>2249214202025.103</v>
      </c>
      <c r="E12">
        <v>1129331484942.4121</v>
      </c>
      <c r="F12">
        <v>756031353725.71387</v>
      </c>
      <c r="G12">
        <v>569376944731.31262</v>
      </c>
      <c r="H12">
        <v>457380883721.49353</v>
      </c>
      <c r="I12">
        <v>382714044735.3396</v>
      </c>
      <c r="J12">
        <v>329378229925.87323</v>
      </c>
      <c r="K12">
        <v>289374339518.06348</v>
      </c>
      <c r="L12">
        <v>258258428460.39468</v>
      </c>
      <c r="M12">
        <v>233364129084.56326</v>
      </c>
      <c r="N12">
        <v>212994661404.54602</v>
      </c>
      <c r="O12">
        <v>196018838265.42401</v>
      </c>
      <c r="P12">
        <v>181653529653.68454</v>
      </c>
      <c r="Q12">
        <v>169339356588.2673</v>
      </c>
      <c r="R12">
        <v>158666107454.72342</v>
      </c>
      <c r="S12">
        <v>149326123213.62512</v>
      </c>
      <c r="T12">
        <v>141084134887.97913</v>
      </c>
      <c r="U12">
        <v>133757155221.15509</v>
      </c>
      <c r="V12">
        <v>127200720337.26012</v>
      </c>
      <c r="W12">
        <v>121299258903.11728</v>
      </c>
      <c r="X12">
        <v>115959212957.99097</v>
      </c>
      <c r="Y12">
        <v>111104034880.42841</v>
      </c>
      <c r="Z12">
        <v>106670489493.96758</v>
      </c>
      <c r="AA12">
        <v>102605880646.22481</v>
      </c>
      <c r="AB12">
        <v>98865943408.82048</v>
      </c>
      <c r="AC12">
        <v>95413222692.540085</v>
      </c>
      <c r="AD12">
        <v>92215812170.086105</v>
      </c>
      <c r="AE12">
        <v>89246363429.527451</v>
      </c>
      <c r="AF12">
        <v>86481300130.354553</v>
      </c>
      <c r="AG12">
        <v>83900189328.201965</v>
      </c>
      <c r="AH12">
        <v>81485234478.547287</v>
      </c>
      <c r="AI12">
        <v>79220863502.111526</v>
      </c>
      <c r="AJ12">
        <v>77093391747.364594</v>
      </c>
      <c r="AK12">
        <v>75090744430.146378</v>
      </c>
      <c r="AL12">
        <v>73202226654.983276</v>
      </c>
      <c r="AM12">
        <v>71418331766.1082</v>
      </c>
      <c r="AN12">
        <v>69730580776.621384</v>
      </c>
      <c r="AO12">
        <v>68131387150.87339</v>
      </c>
      <c r="AP12">
        <v>66613942389.495934</v>
      </c>
      <c r="AQ12">
        <v>65172118776.618141</v>
      </c>
      <c r="AR12">
        <v>63800386359.142448</v>
      </c>
      <c r="AS12">
        <v>62493741786.071915</v>
      </c>
      <c r="AT12">
        <v>61247647077.184479</v>
      </c>
      <c r="AU12">
        <v>60057976741.388351</v>
      </c>
      <c r="AV12">
        <v>58920971945.919106</v>
      </c>
      <c r="AW12">
        <v>57833200663.428085</v>
      </c>
      <c r="AX12">
        <v>56791522906.637444</v>
      </c>
      <c r="AY12">
        <v>55793060308.62793</v>
      </c>
      <c r="AZ12">
        <v>54835169427.954819</v>
      </c>
      <c r="BA12">
        <v>53915418257.118645</v>
      </c>
      <c r="BB12">
        <v>53031565494.714043</v>
      </c>
      <c r="BC12">
        <v>52181542209.226074</v>
      </c>
      <c r="BD12">
        <v>51363435578.595375</v>
      </c>
      <c r="BE12">
        <v>50575474436.473274</v>
      </c>
      <c r="BF12">
        <v>49816016395.224525</v>
      </c>
      <c r="BG12">
        <v>49083536348.585472</v>
      </c>
      <c r="BH12">
        <v>48376616184.547264</v>
      </c>
      <c r="BI12">
        <v>47693935562.402428</v>
      </c>
      <c r="BJ12">
        <v>47034263627.700005</v>
      </c>
      <c r="BK12">
        <v>46396451555.686073</v>
      </c>
      <c r="BL12">
        <v>45779425828.159019</v>
      </c>
      <c r="BM12">
        <v>45182182160.935104</v>
      </c>
      <c r="BN12">
        <v>44603780009.634323</v>
      </c>
      <c r="BO12">
        <v>44043337590.534233</v>
      </c>
      <c r="BP12">
        <v>43500027361.022491</v>
      </c>
      <c r="BQ12">
        <v>42973071910.903847</v>
      </c>
      <c r="BR12">
        <v>42461740221.636734</v>
      </c>
      <c r="BS12">
        <v>41965344255.624672</v>
      </c>
      <c r="BT12">
        <v>41483235842.079407</v>
      </c>
      <c r="BU12">
        <v>41014803829.798691</v>
      </c>
      <c r="BV12">
        <v>40559471480.543472</v>
      </c>
      <c r="BW12">
        <v>40116694079.623672</v>
      </c>
      <c r="BX12">
        <v>39685956742.864098</v>
      </c>
      <c r="BY12">
        <v>39266772401.374786</v>
      </c>
      <c r="BZ12">
        <v>38858679947.530609</v>
      </c>
      <c r="CA12">
        <v>38461242527.312592</v>
      </c>
      <c r="CB12">
        <v>38074045965.704987</v>
      </c>
      <c r="CC12">
        <v>37696697313.208366</v>
      </c>
      <c r="CD12">
        <v>37328823502.736099</v>
      </c>
      <c r="CE12">
        <v>36970070107.236923</v>
      </c>
      <c r="CF12">
        <v>36620100189.338371</v>
      </c>
      <c r="CG12">
        <v>36278593235.156082</v>
      </c>
      <c r="CH12">
        <v>35945244165.170975</v>
      </c>
      <c r="CI12">
        <v>35619762415.751961</v>
      </c>
      <c r="CJ12">
        <v>35301871085.506531</v>
      </c>
      <c r="CK12">
        <v>34991306141.182953</v>
      </c>
      <c r="CL12">
        <v>34687815678.332321</v>
      </c>
      <c r="CM12">
        <v>34391159232.375061</v>
      </c>
      <c r="CN12">
        <v>34101107136.107388</v>
      </c>
      <c r="CO12">
        <v>33817439920.036148</v>
      </c>
      <c r="CP12">
        <v>33539947752.247379</v>
      </c>
      <c r="CQ12">
        <v>33268429914.800961</v>
      </c>
      <c r="CR12">
        <v>33002694313.902081</v>
      </c>
      <c r="CS12">
        <v>32742557021.334351</v>
      </c>
      <c r="CT12">
        <v>32487841844.851147</v>
      </c>
      <c r="CU12">
        <v>32238379925.41404</v>
      </c>
      <c r="CV12">
        <v>31994009359.340466</v>
      </c>
      <c r="CW12">
        <v>31754574843.582012</v>
      </c>
      <c r="CX12">
        <v>31519927342.497673</v>
      </c>
      <c r="CY12">
        <v>31289923774.617523</v>
      </c>
      <c r="CZ12">
        <v>31064426718.011452</v>
      </c>
      <c r="DA12">
        <v>30843304132.986202</v>
      </c>
      <c r="DB12">
        <v>30626429100.933304</v>
      </c>
      <c r="DC12">
        <v>30413679578.24057</v>
      </c>
      <c r="DD12">
        <v>30204938164.263317</v>
      </c>
      <c r="DE12">
        <v>30000091882.426712</v>
      </c>
      <c r="DF12">
        <v>29799031973.600342</v>
      </c>
      <c r="DG12">
        <v>29601653700.949566</v>
      </c>
      <c r="DH12">
        <v>29407856165.526943</v>
      </c>
      <c r="DI12">
        <v>29217542131.919857</v>
      </c>
      <c r="DJ12">
        <v>29030617863.320702</v>
      </c>
      <c r="DK12">
        <v>28846992965.43045</v>
      </c>
      <c r="DL12">
        <v>28666580238.648659</v>
      </c>
      <c r="DM12">
        <v>28489295538.040947</v>
      </c>
      <c r="DN12">
        <v>28315057640.610901</v>
      </c>
      <c r="DO12">
        <v>28143788119.435139</v>
      </c>
      <c r="DP12">
        <v>27975411224.251617</v>
      </c>
      <c r="DQ12">
        <v>27809853768.117889</v>
      </c>
      <c r="DR12">
        <v>27647045019.782516</v>
      </c>
      <c r="DS12">
        <v>27486916601.436398</v>
      </c>
      <c r="DT12">
        <v>27329402391.532803</v>
      </c>
      <c r="DU12">
        <v>27174438432.385273</v>
      </c>
      <c r="DV12">
        <v>27021962842.271595</v>
      </c>
      <c r="DW12">
        <v>26871915731.789448</v>
      </c>
      <c r="DX12">
        <v>26724239124.225697</v>
      </c>
      <c r="DY12">
        <v>26578876879.71632</v>
      </c>
      <c r="DZ12">
        <v>26435774622.988197</v>
      </c>
      <c r="EA12">
        <v>26294879674.486778</v>
      </c>
      <c r="EB12">
        <v>26156140984.705948</v>
      </c>
      <c r="EC12">
        <v>26019509071.547806</v>
      </c>
      <c r="ED12">
        <v>25884935960.550274</v>
      </c>
      <c r="EE12">
        <v>25752375127.830746</v>
      </c>
      <c r="EF12">
        <v>25621781445.602554</v>
      </c>
      <c r="EG12">
        <v>25493111130.130169</v>
      </c>
      <c r="EH12">
        <v>25366321691.996418</v>
      </c>
      <c r="EI12">
        <v>25241371888.563038</v>
      </c>
      <c r="EJ12">
        <v>25118221678.512218</v>
      </c>
      <c r="EK12">
        <v>24996832178.363873</v>
      </c>
      <c r="EL12">
        <v>24877165620.8689</v>
      </c>
      <c r="EM12">
        <v>24759185315.184956</v>
      </c>
      <c r="EN12">
        <v>24642855608.745895</v>
      </c>
      <c r="EO12">
        <v>24528141850.741791</v>
      </c>
      <c r="EP12">
        <v>24415010357.130371</v>
      </c>
      <c r="EQ12">
        <v>24303428377.105721</v>
      </c>
      <c r="ER12">
        <v>24193364060.953716</v>
      </c>
      <c r="ES12">
        <v>24084786429.227833</v>
      </c>
      <c r="ET12">
        <v>23977665343.182457</v>
      </c>
      <c r="EU12">
        <v>23871971476.404114</v>
      </c>
      <c r="EV12">
        <v>23767676287.584572</v>
      </c>
      <c r="EW12">
        <v>23664751994.382339</v>
      </c>
    </row>
    <row r="13" spans="1:155" x14ac:dyDescent="0.3">
      <c r="B13" s="39" t="s">
        <v>103</v>
      </c>
      <c r="C13">
        <f>($C$9/$C$7)*POWER($C$8,$C$6)</f>
        <v>1.5811388300841896E-2</v>
      </c>
      <c r="D13" s="36">
        <f t="shared" ref="D13:BO13" si="0">($C$9/$C$7)*POWER($C$8,$C$6)</f>
        <v>1.5811388300841896E-2</v>
      </c>
      <c r="E13" s="36">
        <f t="shared" si="0"/>
        <v>1.5811388300841896E-2</v>
      </c>
      <c r="F13" s="36">
        <f t="shared" si="0"/>
        <v>1.5811388300841896E-2</v>
      </c>
      <c r="G13" s="36">
        <f t="shared" si="0"/>
        <v>1.5811388300841896E-2</v>
      </c>
      <c r="H13" s="36">
        <f t="shared" si="0"/>
        <v>1.5811388300841896E-2</v>
      </c>
      <c r="I13" s="36">
        <f t="shared" si="0"/>
        <v>1.5811388300841896E-2</v>
      </c>
      <c r="J13" s="36">
        <f t="shared" si="0"/>
        <v>1.5811388300841896E-2</v>
      </c>
      <c r="K13" s="36">
        <f t="shared" si="0"/>
        <v>1.5811388300841896E-2</v>
      </c>
      <c r="L13" s="36">
        <f t="shared" si="0"/>
        <v>1.5811388300841896E-2</v>
      </c>
      <c r="M13" s="36">
        <f t="shared" si="0"/>
        <v>1.5811388300841896E-2</v>
      </c>
      <c r="N13" s="36">
        <f t="shared" si="0"/>
        <v>1.5811388300841896E-2</v>
      </c>
      <c r="O13" s="36">
        <f t="shared" si="0"/>
        <v>1.5811388300841896E-2</v>
      </c>
      <c r="P13" s="36">
        <f t="shared" si="0"/>
        <v>1.5811388300841896E-2</v>
      </c>
      <c r="Q13" s="36">
        <f t="shared" si="0"/>
        <v>1.5811388300841896E-2</v>
      </c>
      <c r="R13" s="36">
        <f t="shared" si="0"/>
        <v>1.5811388300841896E-2</v>
      </c>
      <c r="S13" s="36">
        <f t="shared" si="0"/>
        <v>1.5811388300841896E-2</v>
      </c>
      <c r="T13" s="36">
        <f t="shared" si="0"/>
        <v>1.5811388300841896E-2</v>
      </c>
      <c r="U13" s="36">
        <f t="shared" si="0"/>
        <v>1.5811388300841896E-2</v>
      </c>
      <c r="V13" s="36">
        <f t="shared" si="0"/>
        <v>1.5811388300841896E-2</v>
      </c>
      <c r="W13" s="36">
        <f t="shared" si="0"/>
        <v>1.5811388300841896E-2</v>
      </c>
      <c r="X13" s="36">
        <f t="shared" si="0"/>
        <v>1.5811388300841896E-2</v>
      </c>
      <c r="Y13" s="36">
        <f t="shared" si="0"/>
        <v>1.5811388300841896E-2</v>
      </c>
      <c r="Z13" s="36">
        <f t="shared" si="0"/>
        <v>1.5811388300841896E-2</v>
      </c>
      <c r="AA13" s="36">
        <f t="shared" si="0"/>
        <v>1.5811388300841896E-2</v>
      </c>
      <c r="AB13" s="36">
        <f t="shared" si="0"/>
        <v>1.5811388300841896E-2</v>
      </c>
      <c r="AC13" s="36">
        <f t="shared" si="0"/>
        <v>1.5811388300841896E-2</v>
      </c>
      <c r="AD13" s="36">
        <f t="shared" si="0"/>
        <v>1.5811388300841896E-2</v>
      </c>
      <c r="AE13" s="36">
        <f t="shared" si="0"/>
        <v>1.5811388300841896E-2</v>
      </c>
      <c r="AF13" s="36">
        <f t="shared" si="0"/>
        <v>1.5811388300841896E-2</v>
      </c>
      <c r="AG13" s="36">
        <f t="shared" si="0"/>
        <v>1.5811388300841896E-2</v>
      </c>
      <c r="AH13" s="36">
        <f t="shared" si="0"/>
        <v>1.5811388300841896E-2</v>
      </c>
      <c r="AI13" s="36">
        <f t="shared" si="0"/>
        <v>1.5811388300841896E-2</v>
      </c>
      <c r="AJ13" s="36">
        <f t="shared" si="0"/>
        <v>1.5811388300841896E-2</v>
      </c>
      <c r="AK13" s="36">
        <f t="shared" si="0"/>
        <v>1.5811388300841896E-2</v>
      </c>
      <c r="AL13" s="36">
        <f t="shared" si="0"/>
        <v>1.5811388300841896E-2</v>
      </c>
      <c r="AM13" s="36">
        <f t="shared" si="0"/>
        <v>1.5811388300841896E-2</v>
      </c>
      <c r="AN13" s="36">
        <f t="shared" si="0"/>
        <v>1.5811388300841896E-2</v>
      </c>
      <c r="AO13" s="36">
        <f t="shared" si="0"/>
        <v>1.5811388300841896E-2</v>
      </c>
      <c r="AP13" s="36">
        <f t="shared" si="0"/>
        <v>1.5811388300841896E-2</v>
      </c>
      <c r="AQ13" s="36">
        <f t="shared" si="0"/>
        <v>1.5811388300841896E-2</v>
      </c>
      <c r="AR13" s="36">
        <f t="shared" si="0"/>
        <v>1.5811388300841896E-2</v>
      </c>
      <c r="AS13" s="36">
        <f t="shared" si="0"/>
        <v>1.5811388300841896E-2</v>
      </c>
      <c r="AT13" s="36">
        <f t="shared" si="0"/>
        <v>1.5811388300841896E-2</v>
      </c>
      <c r="AU13" s="36">
        <f t="shared" si="0"/>
        <v>1.5811388300841896E-2</v>
      </c>
      <c r="AV13" s="36">
        <f t="shared" si="0"/>
        <v>1.5811388300841896E-2</v>
      </c>
      <c r="AW13" s="36">
        <f t="shared" si="0"/>
        <v>1.5811388300841896E-2</v>
      </c>
      <c r="AX13" s="36">
        <f t="shared" si="0"/>
        <v>1.5811388300841896E-2</v>
      </c>
      <c r="AY13" s="36">
        <f t="shared" si="0"/>
        <v>1.5811388300841896E-2</v>
      </c>
      <c r="AZ13" s="36">
        <f t="shared" si="0"/>
        <v>1.5811388300841896E-2</v>
      </c>
      <c r="BA13" s="36">
        <f t="shared" si="0"/>
        <v>1.5811388300841896E-2</v>
      </c>
      <c r="BB13" s="36">
        <f t="shared" si="0"/>
        <v>1.5811388300841896E-2</v>
      </c>
      <c r="BC13" s="36">
        <f t="shared" si="0"/>
        <v>1.5811388300841896E-2</v>
      </c>
      <c r="BD13" s="36">
        <f t="shared" si="0"/>
        <v>1.5811388300841896E-2</v>
      </c>
      <c r="BE13" s="36">
        <f t="shared" si="0"/>
        <v>1.5811388300841896E-2</v>
      </c>
      <c r="BF13" s="36">
        <f t="shared" si="0"/>
        <v>1.5811388300841896E-2</v>
      </c>
      <c r="BG13" s="36">
        <f t="shared" si="0"/>
        <v>1.5811388300841896E-2</v>
      </c>
      <c r="BH13" s="36">
        <f t="shared" si="0"/>
        <v>1.5811388300841896E-2</v>
      </c>
      <c r="BI13" s="36">
        <f t="shared" si="0"/>
        <v>1.5811388300841896E-2</v>
      </c>
      <c r="BJ13" s="36">
        <f t="shared" si="0"/>
        <v>1.5811388300841896E-2</v>
      </c>
      <c r="BK13" s="36">
        <f t="shared" si="0"/>
        <v>1.5811388300841896E-2</v>
      </c>
      <c r="BL13" s="36">
        <f t="shared" si="0"/>
        <v>1.5811388300841896E-2</v>
      </c>
      <c r="BM13" s="36">
        <f t="shared" si="0"/>
        <v>1.5811388300841896E-2</v>
      </c>
      <c r="BN13" s="36">
        <f t="shared" si="0"/>
        <v>1.5811388300841896E-2</v>
      </c>
      <c r="BO13" s="36">
        <f t="shared" si="0"/>
        <v>1.5811388300841896E-2</v>
      </c>
      <c r="BP13" s="36">
        <f t="shared" ref="BP13:EA13" si="1">($C$9/$C$7)*POWER($C$8,$C$6)</f>
        <v>1.5811388300841896E-2</v>
      </c>
      <c r="BQ13" s="36">
        <f t="shared" si="1"/>
        <v>1.5811388300841896E-2</v>
      </c>
      <c r="BR13" s="36">
        <f t="shared" si="1"/>
        <v>1.5811388300841896E-2</v>
      </c>
      <c r="BS13" s="36">
        <f t="shared" si="1"/>
        <v>1.5811388300841896E-2</v>
      </c>
      <c r="BT13" s="36">
        <f t="shared" si="1"/>
        <v>1.5811388300841896E-2</v>
      </c>
      <c r="BU13" s="36">
        <f t="shared" si="1"/>
        <v>1.5811388300841896E-2</v>
      </c>
      <c r="BV13" s="36">
        <f t="shared" si="1"/>
        <v>1.5811388300841896E-2</v>
      </c>
      <c r="BW13" s="36">
        <f t="shared" si="1"/>
        <v>1.5811388300841896E-2</v>
      </c>
      <c r="BX13" s="36">
        <f t="shared" si="1"/>
        <v>1.5811388300841896E-2</v>
      </c>
      <c r="BY13" s="36">
        <f t="shared" si="1"/>
        <v>1.5811388300841896E-2</v>
      </c>
      <c r="BZ13" s="36">
        <f t="shared" si="1"/>
        <v>1.5811388300841896E-2</v>
      </c>
      <c r="CA13" s="36">
        <f t="shared" si="1"/>
        <v>1.5811388300841896E-2</v>
      </c>
      <c r="CB13" s="36">
        <f t="shared" si="1"/>
        <v>1.5811388300841896E-2</v>
      </c>
      <c r="CC13" s="36">
        <f t="shared" si="1"/>
        <v>1.5811388300841896E-2</v>
      </c>
      <c r="CD13" s="36">
        <f t="shared" si="1"/>
        <v>1.5811388300841896E-2</v>
      </c>
      <c r="CE13" s="36">
        <f t="shared" si="1"/>
        <v>1.5811388300841896E-2</v>
      </c>
      <c r="CF13" s="36">
        <f t="shared" si="1"/>
        <v>1.5811388300841896E-2</v>
      </c>
      <c r="CG13" s="36">
        <f t="shared" si="1"/>
        <v>1.5811388300841896E-2</v>
      </c>
      <c r="CH13" s="36">
        <f t="shared" si="1"/>
        <v>1.5811388300841896E-2</v>
      </c>
      <c r="CI13" s="36">
        <f t="shared" si="1"/>
        <v>1.5811388300841896E-2</v>
      </c>
      <c r="CJ13" s="36">
        <f t="shared" si="1"/>
        <v>1.5811388300841896E-2</v>
      </c>
      <c r="CK13" s="36">
        <f t="shared" si="1"/>
        <v>1.5811388300841896E-2</v>
      </c>
      <c r="CL13" s="36">
        <f t="shared" si="1"/>
        <v>1.5811388300841896E-2</v>
      </c>
      <c r="CM13" s="36">
        <f t="shared" si="1"/>
        <v>1.5811388300841896E-2</v>
      </c>
      <c r="CN13" s="36">
        <f t="shared" si="1"/>
        <v>1.5811388300841896E-2</v>
      </c>
      <c r="CO13" s="36">
        <f t="shared" si="1"/>
        <v>1.5811388300841896E-2</v>
      </c>
      <c r="CP13" s="36">
        <f t="shared" si="1"/>
        <v>1.5811388300841896E-2</v>
      </c>
      <c r="CQ13" s="36">
        <f t="shared" si="1"/>
        <v>1.5811388300841896E-2</v>
      </c>
      <c r="CR13" s="36">
        <f t="shared" si="1"/>
        <v>1.5811388300841896E-2</v>
      </c>
      <c r="CS13" s="36">
        <f t="shared" si="1"/>
        <v>1.5811388300841896E-2</v>
      </c>
      <c r="CT13" s="36">
        <f t="shared" si="1"/>
        <v>1.5811388300841896E-2</v>
      </c>
      <c r="CU13" s="36">
        <f t="shared" si="1"/>
        <v>1.5811388300841896E-2</v>
      </c>
      <c r="CV13" s="36">
        <f t="shared" si="1"/>
        <v>1.5811388300841896E-2</v>
      </c>
      <c r="CW13" s="36">
        <f t="shared" si="1"/>
        <v>1.5811388300841896E-2</v>
      </c>
      <c r="CX13" s="36">
        <f t="shared" si="1"/>
        <v>1.5811388300841896E-2</v>
      </c>
      <c r="CY13" s="36">
        <f t="shared" si="1"/>
        <v>1.5811388300841896E-2</v>
      </c>
      <c r="CZ13" s="36">
        <f t="shared" si="1"/>
        <v>1.5811388300841896E-2</v>
      </c>
      <c r="DA13" s="36">
        <f t="shared" si="1"/>
        <v>1.5811388300841896E-2</v>
      </c>
      <c r="DB13" s="36">
        <f t="shared" si="1"/>
        <v>1.5811388300841896E-2</v>
      </c>
      <c r="DC13" s="36">
        <f t="shared" si="1"/>
        <v>1.5811388300841896E-2</v>
      </c>
      <c r="DD13" s="36">
        <f t="shared" si="1"/>
        <v>1.5811388300841896E-2</v>
      </c>
      <c r="DE13" s="36">
        <f t="shared" si="1"/>
        <v>1.5811388300841896E-2</v>
      </c>
      <c r="DF13" s="36">
        <f t="shared" si="1"/>
        <v>1.5811388300841896E-2</v>
      </c>
      <c r="DG13" s="36">
        <f t="shared" si="1"/>
        <v>1.5811388300841896E-2</v>
      </c>
      <c r="DH13" s="36">
        <f t="shared" si="1"/>
        <v>1.5811388300841896E-2</v>
      </c>
      <c r="DI13" s="36">
        <f t="shared" si="1"/>
        <v>1.5811388300841896E-2</v>
      </c>
      <c r="DJ13" s="36">
        <f t="shared" si="1"/>
        <v>1.5811388300841896E-2</v>
      </c>
      <c r="DK13" s="36">
        <f t="shared" si="1"/>
        <v>1.5811388300841896E-2</v>
      </c>
      <c r="DL13" s="36">
        <f t="shared" si="1"/>
        <v>1.5811388300841896E-2</v>
      </c>
      <c r="DM13" s="36">
        <f t="shared" si="1"/>
        <v>1.5811388300841896E-2</v>
      </c>
      <c r="DN13" s="36">
        <f t="shared" si="1"/>
        <v>1.5811388300841896E-2</v>
      </c>
      <c r="DO13" s="36">
        <f t="shared" si="1"/>
        <v>1.5811388300841896E-2</v>
      </c>
      <c r="DP13" s="36">
        <f t="shared" si="1"/>
        <v>1.5811388300841896E-2</v>
      </c>
      <c r="DQ13" s="36">
        <f t="shared" si="1"/>
        <v>1.5811388300841896E-2</v>
      </c>
      <c r="DR13" s="36">
        <f t="shared" si="1"/>
        <v>1.5811388300841896E-2</v>
      </c>
      <c r="DS13" s="36">
        <f t="shared" si="1"/>
        <v>1.5811388300841896E-2</v>
      </c>
      <c r="DT13" s="36">
        <f t="shared" si="1"/>
        <v>1.5811388300841896E-2</v>
      </c>
      <c r="DU13" s="36">
        <f t="shared" si="1"/>
        <v>1.5811388300841896E-2</v>
      </c>
      <c r="DV13" s="36">
        <f t="shared" si="1"/>
        <v>1.5811388300841896E-2</v>
      </c>
      <c r="DW13" s="36">
        <f t="shared" si="1"/>
        <v>1.5811388300841896E-2</v>
      </c>
      <c r="DX13" s="36">
        <f t="shared" si="1"/>
        <v>1.5811388300841896E-2</v>
      </c>
      <c r="DY13" s="36">
        <f t="shared" si="1"/>
        <v>1.5811388300841896E-2</v>
      </c>
      <c r="DZ13" s="36">
        <f t="shared" si="1"/>
        <v>1.5811388300841896E-2</v>
      </c>
      <c r="EA13" s="36">
        <f t="shared" si="1"/>
        <v>1.5811388300841896E-2</v>
      </c>
      <c r="EB13" s="36">
        <f t="shared" ref="EB13:EW13" si="2">($C$9/$C$7)*POWER($C$8,$C$6)</f>
        <v>1.5811388300841896E-2</v>
      </c>
      <c r="EC13" s="36">
        <f t="shared" si="2"/>
        <v>1.5811388300841896E-2</v>
      </c>
      <c r="ED13" s="36">
        <f t="shared" si="2"/>
        <v>1.5811388300841896E-2</v>
      </c>
      <c r="EE13" s="36">
        <f t="shared" si="2"/>
        <v>1.5811388300841896E-2</v>
      </c>
      <c r="EF13" s="36">
        <f t="shared" si="2"/>
        <v>1.5811388300841896E-2</v>
      </c>
      <c r="EG13" s="36">
        <f t="shared" si="2"/>
        <v>1.5811388300841896E-2</v>
      </c>
      <c r="EH13" s="36">
        <f t="shared" si="2"/>
        <v>1.5811388300841896E-2</v>
      </c>
      <c r="EI13" s="36">
        <f t="shared" si="2"/>
        <v>1.5811388300841896E-2</v>
      </c>
      <c r="EJ13" s="36">
        <f t="shared" si="2"/>
        <v>1.5811388300841896E-2</v>
      </c>
      <c r="EK13" s="36">
        <f t="shared" si="2"/>
        <v>1.5811388300841896E-2</v>
      </c>
      <c r="EL13" s="36">
        <f t="shared" si="2"/>
        <v>1.5811388300841896E-2</v>
      </c>
      <c r="EM13" s="36">
        <f t="shared" si="2"/>
        <v>1.5811388300841896E-2</v>
      </c>
      <c r="EN13" s="36">
        <f t="shared" si="2"/>
        <v>1.5811388300841896E-2</v>
      </c>
      <c r="EO13" s="36">
        <f t="shared" si="2"/>
        <v>1.5811388300841896E-2</v>
      </c>
      <c r="EP13" s="36">
        <f t="shared" si="2"/>
        <v>1.5811388300841896E-2</v>
      </c>
      <c r="EQ13" s="36">
        <f t="shared" si="2"/>
        <v>1.5811388300841896E-2</v>
      </c>
      <c r="ER13" s="36">
        <f t="shared" si="2"/>
        <v>1.5811388300841896E-2</v>
      </c>
      <c r="ES13" s="36">
        <f t="shared" si="2"/>
        <v>1.5811388300841896E-2</v>
      </c>
      <c r="ET13" s="36">
        <f t="shared" si="2"/>
        <v>1.5811388300841896E-2</v>
      </c>
      <c r="EU13" s="36">
        <f t="shared" si="2"/>
        <v>1.5811388300841896E-2</v>
      </c>
      <c r="EV13" s="36">
        <f t="shared" si="2"/>
        <v>1.5811388300841896E-2</v>
      </c>
      <c r="EW13" s="36">
        <f t="shared" si="2"/>
        <v>1.5811388300841896E-2</v>
      </c>
      <c r="EX13" s="36"/>
      <c r="EY13" s="36"/>
    </row>
    <row r="14" spans="1:155" x14ac:dyDescent="0.3">
      <c r="B14" s="38" t="s">
        <v>104</v>
      </c>
      <c r="C14" cm="1">
        <f t="array" ref="C14:EW14">C13*POWER(B21:EV21,C6)</f>
        <v>1.5811388300841896E-2</v>
      </c>
      <c r="D14">
        <v>1.58902485820707E-2</v>
      </c>
      <c r="E14">
        <v>1.596871942267131E-2</v>
      </c>
      <c r="F14">
        <v>1.6046806535881211E-2</v>
      </c>
      <c r="G14">
        <v>1.6124515496597099E-2</v>
      </c>
      <c r="H14">
        <v>1.6201851746019652E-2</v>
      </c>
      <c r="I14">
        <v>1.6278820596099704E-2</v>
      </c>
      <c r="J14">
        <v>1.6355427233796124E-2</v>
      </c>
      <c r="K14">
        <v>1.6431676725154984E-2</v>
      </c>
      <c r="L14">
        <v>1.6507574019219179E-2</v>
      </c>
      <c r="M14">
        <v>1.6583123951776999E-2</v>
      </c>
      <c r="N14">
        <v>1.6658331248957679E-2</v>
      </c>
      <c r="O14">
        <v>1.6733200530681513E-2</v>
      </c>
      <c r="P14">
        <v>1.6807736313971609E-2</v>
      </c>
      <c r="Q14">
        <v>1.6881943016134132E-2</v>
      </c>
      <c r="R14">
        <v>1.695582495781317E-2</v>
      </c>
      <c r="S14">
        <v>1.7029386365926401E-2</v>
      </c>
      <c r="T14">
        <v>1.7102631376487067E-2</v>
      </c>
      <c r="U14">
        <v>1.7175564037317667E-2</v>
      </c>
      <c r="V14">
        <v>1.7248188310660339E-2</v>
      </c>
      <c r="W14">
        <v>1.732050807568877E-2</v>
      </c>
      <c r="X14">
        <v>1.7392527130926087E-2</v>
      </c>
      <c r="Y14">
        <v>1.7464249196572978E-2</v>
      </c>
      <c r="Z14">
        <v>1.7535677916750179E-2</v>
      </c>
      <c r="AA14">
        <v>1.7606816861659009E-2</v>
      </c>
      <c r="AB14">
        <v>1.7677669529663688E-2</v>
      </c>
      <c r="AC14">
        <v>1.7748239349298846E-2</v>
      </c>
      <c r="AD14">
        <v>1.781852968120546E-2</v>
      </c>
      <c r="AE14">
        <v>1.7888543819998316E-2</v>
      </c>
      <c r="AF14">
        <v>1.7958284996067969E-2</v>
      </c>
      <c r="AG14">
        <v>1.8027756377319945E-2</v>
      </c>
      <c r="AH14">
        <v>1.8096961070853856E-2</v>
      </c>
      <c r="AI14">
        <v>1.8165902124584948E-2</v>
      </c>
      <c r="AJ14">
        <v>1.823458252881047E-2</v>
      </c>
      <c r="AK14">
        <v>1.8303005217723128E-2</v>
      </c>
      <c r="AL14">
        <v>1.8371173070873836E-2</v>
      </c>
      <c r="AM14">
        <v>1.8439088914585774E-2</v>
      </c>
      <c r="AN14">
        <v>1.8506755523321747E-2</v>
      </c>
      <c r="AO14">
        <v>1.857417562100671E-2</v>
      </c>
      <c r="AP14">
        <v>1.8641351882307249E-2</v>
      </c>
      <c r="AQ14">
        <v>1.8708286933869705E-2</v>
      </c>
      <c r="AR14">
        <v>1.8774983355518585E-2</v>
      </c>
      <c r="AS14">
        <v>1.884144368141677E-2</v>
      </c>
      <c r="AT14">
        <v>1.8907670401189038E-2</v>
      </c>
      <c r="AU14">
        <v>1.8973665961010275E-2</v>
      </c>
      <c r="AV14">
        <v>1.9039432764659771E-2</v>
      </c>
      <c r="AW14">
        <v>1.9104973174542801E-2</v>
      </c>
      <c r="AX14">
        <v>1.9170289512680815E-2</v>
      </c>
      <c r="AY14">
        <v>1.9235384061671343E-2</v>
      </c>
      <c r="AZ14">
        <v>1.9300259065618781E-2</v>
      </c>
      <c r="BA14">
        <v>1.9364916731037081E-2</v>
      </c>
      <c r="BB14">
        <v>1.9429359227725446E-2</v>
      </c>
      <c r="BC14">
        <v>1.9493588689617928E-2</v>
      </c>
      <c r="BD14">
        <v>1.9557607215607946E-2</v>
      </c>
      <c r="BE14">
        <v>1.9621416870348584E-2</v>
      </c>
      <c r="BF14">
        <v>1.9685019685029524E-2</v>
      </c>
      <c r="BG14">
        <v>1.9748417658131498E-2</v>
      </c>
      <c r="BH14">
        <v>1.9811612756158947E-2</v>
      </c>
      <c r="BI14">
        <v>1.9874606914351792E-2</v>
      </c>
      <c r="BJ14">
        <v>1.9937402037376886E-2</v>
      </c>
      <c r="BK14">
        <v>0.02</v>
      </c>
      <c r="BL14">
        <v>2.006240264773888E-2</v>
      </c>
      <c r="BM14">
        <v>2.0124611797498106E-2</v>
      </c>
      <c r="BN14">
        <v>2.0186629238186347E-2</v>
      </c>
      <c r="BO14">
        <v>2.0248456731316585E-2</v>
      </c>
      <c r="BP14">
        <v>2.0310096011589899E-2</v>
      </c>
      <c r="BQ14">
        <v>2.0371548787463362E-2</v>
      </c>
      <c r="BR14">
        <v>2.0432816741702546E-2</v>
      </c>
      <c r="BS14">
        <v>2.0493901531919195E-2</v>
      </c>
      <c r="BT14">
        <v>2.0554804791094464E-2</v>
      </c>
      <c r="BU14">
        <v>2.0615528128088301E-2</v>
      </c>
      <c r="BV14">
        <v>2.0676073128135332E-2</v>
      </c>
      <c r="BW14">
        <v>2.0736441353327719E-2</v>
      </c>
      <c r="BX14">
        <v>2.0796634343085419E-2</v>
      </c>
      <c r="BY14">
        <v>2.0856653614614206E-2</v>
      </c>
      <c r="BZ14">
        <v>2.0916500663351888E-2</v>
      </c>
      <c r="CA14">
        <v>2.097617696340303E-2</v>
      </c>
      <c r="CB14">
        <v>2.103568396796263E-2</v>
      </c>
      <c r="CC14">
        <v>2.1095023109728984E-2</v>
      </c>
      <c r="CD14">
        <v>2.1154195801306178E-2</v>
      </c>
      <c r="CE14">
        <v>2.1213203435596423E-2</v>
      </c>
      <c r="CF14">
        <v>2.1272047386182647E-2</v>
      </c>
      <c r="CG14">
        <v>2.133072900770154E-2</v>
      </c>
      <c r="CH14">
        <v>2.138924963620744E-2</v>
      </c>
      <c r="CI14">
        <v>2.1447610589527214E-2</v>
      </c>
      <c r="CJ14">
        <v>2.1505813167606566E-2</v>
      </c>
      <c r="CK14">
        <v>2.1563858652847823E-2</v>
      </c>
      <c r="CL14">
        <v>2.1621748310439653E-2</v>
      </c>
      <c r="CM14">
        <v>2.16794833886788E-2</v>
      </c>
      <c r="CN14">
        <v>2.1737065119284159E-2</v>
      </c>
      <c r="CO14">
        <v>2.1794494717703367E-2</v>
      </c>
      <c r="CP14">
        <v>2.1851773383412154E-2</v>
      </c>
      <c r="CQ14">
        <v>2.1908902300206642E-2</v>
      </c>
      <c r="CR14">
        <v>2.1965882636488795E-2</v>
      </c>
      <c r="CS14">
        <v>2.2022715545545239E-2</v>
      </c>
      <c r="CT14">
        <v>2.2079402165819616E-2</v>
      </c>
      <c r="CU14">
        <v>2.2135943621178652E-2</v>
      </c>
      <c r="CV14">
        <v>2.2192341021172145E-2</v>
      </c>
      <c r="CW14">
        <v>2.2248595461286987E-2</v>
      </c>
      <c r="CX14">
        <v>2.2304708023195462E-2</v>
      </c>
      <c r="CY14">
        <v>2.2360679774997897E-2</v>
      </c>
      <c r="CZ14">
        <v>2.2416511771459893E-2</v>
      </c>
      <c r="DA14">
        <v>2.2472205054244229E-2</v>
      </c>
      <c r="DB14">
        <v>2.2527760652137619E-2</v>
      </c>
      <c r="DC14">
        <v>2.2583179581272428E-2</v>
      </c>
      <c r="DD14">
        <v>2.263846284534354E-2</v>
      </c>
      <c r="DE14">
        <v>2.2693611435820434E-2</v>
      </c>
      <c r="DF14">
        <v>2.2748626332154648E-2</v>
      </c>
      <c r="DG14">
        <v>2.2803508501982761E-2</v>
      </c>
      <c r="DH14">
        <v>2.285825890132492E-2</v>
      </c>
      <c r="DI14">
        <v>2.29128784747792E-2</v>
      </c>
      <c r="DJ14">
        <v>2.2967368155711702E-2</v>
      </c>
      <c r="DK14">
        <v>2.3021728866442676E-2</v>
      </c>
      <c r="DL14">
        <v>2.307596151842865E-2</v>
      </c>
      <c r="DM14">
        <v>2.3130067012440757E-2</v>
      </c>
      <c r="DN14">
        <v>2.3184046238739257E-2</v>
      </c>
      <c r="DO14">
        <v>2.3237900077244501E-2</v>
      </c>
      <c r="DP14">
        <v>2.3291629397704232E-2</v>
      </c>
      <c r="DQ14">
        <v>2.3345235059857503E-2</v>
      </c>
      <c r="DR14">
        <v>2.3398717913595178E-2</v>
      </c>
      <c r="DS14">
        <v>2.3452078799117149E-2</v>
      </c>
      <c r="DT14">
        <v>2.3505318547086314E-2</v>
      </c>
      <c r="DU14">
        <v>2.3558437978779493E-2</v>
      </c>
      <c r="DV14">
        <v>2.361143790623519E-2</v>
      </c>
      <c r="DW14">
        <v>2.3664319132398463E-2</v>
      </c>
      <c r="DX14">
        <v>2.3717082451262844E-2</v>
      </c>
      <c r="DY14">
        <v>2.3769728648009421E-2</v>
      </c>
      <c r="DZ14">
        <v>2.3822258499143191E-2</v>
      </c>
      <c r="EA14">
        <v>2.3874672772626639E-2</v>
      </c>
      <c r="EB14">
        <v>2.3926972228010795E-2</v>
      </c>
      <c r="EC14">
        <v>2.3979157616563593E-2</v>
      </c>
      <c r="ED14">
        <v>2.403122968139583E-2</v>
      </c>
      <c r="EE14">
        <v>2.4083189157584589E-2</v>
      </c>
      <c r="EF14">
        <v>2.4135036772294338E-2</v>
      </c>
      <c r="EG14">
        <v>2.4186773244895647E-2</v>
      </c>
      <c r="EH14">
        <v>2.4238399287081644E-2</v>
      </c>
      <c r="EI14">
        <v>2.4289915602982239E-2</v>
      </c>
      <c r="EJ14">
        <v>2.4341322889276172E-2</v>
      </c>
      <c r="EK14">
        <v>2.4392621835300932E-2</v>
      </c>
      <c r="EL14">
        <v>2.4443813123160633E-2</v>
      </c>
      <c r="EM14">
        <v>2.4494897427831782E-2</v>
      </c>
      <c r="EN14">
        <v>2.4545875417267153E-2</v>
      </c>
      <c r="EO14">
        <v>2.4596747752497684E-2</v>
      </c>
      <c r="EP14">
        <v>2.4647515087732472E-2</v>
      </c>
      <c r="EQ14">
        <v>2.4698178070456937E-2</v>
      </c>
      <c r="ER14">
        <v>2.4748737341529162E-2</v>
      </c>
      <c r="ES14">
        <v>2.4799193535274489E-2</v>
      </c>
      <c r="ET14">
        <v>2.4849547279578353E-2</v>
      </c>
      <c r="EU14">
        <v>2.4899799195977464E-2</v>
      </c>
      <c r="EV14">
        <v>2.4949949899749295E-2</v>
      </c>
      <c r="EW14">
        <v>2.5000000000000001E-2</v>
      </c>
    </row>
    <row r="15" spans="1:155" x14ac:dyDescent="0.3">
      <c r="B15" s="39" t="s">
        <v>105</v>
      </c>
      <c r="C15">
        <f>C14-C13</f>
        <v>0</v>
      </c>
      <c r="D15" s="37">
        <f>D14-D13</f>
        <v>7.8860281228804174E-5</v>
      </c>
      <c r="E15" s="37">
        <f t="shared" ref="E15:BP15" si="3">E14-E13</f>
        <v>1.5733112182941475E-4</v>
      </c>
      <c r="F15" s="37">
        <f t="shared" si="3"/>
        <v>2.3541823503931553E-4</v>
      </c>
      <c r="G15" s="37">
        <f t="shared" si="3"/>
        <v>3.1312719575520356E-4</v>
      </c>
      <c r="H15" s="37">
        <f t="shared" si="3"/>
        <v>3.9046344517775639E-4</v>
      </c>
      <c r="I15" s="37">
        <f t="shared" si="3"/>
        <v>4.6743229525780805E-4</v>
      </c>
      <c r="J15" s="37">
        <f t="shared" si="3"/>
        <v>5.4403893295422792E-4</v>
      </c>
      <c r="K15" s="37">
        <f t="shared" si="3"/>
        <v>6.2028842431308823E-4</v>
      </c>
      <c r="L15" s="37">
        <f t="shared" si="3"/>
        <v>6.9618571837728321E-4</v>
      </c>
      <c r="M15" s="37">
        <f t="shared" si="3"/>
        <v>7.7173565093510352E-4</v>
      </c>
      <c r="N15" s="37">
        <f t="shared" si="3"/>
        <v>8.4694294811578363E-4</v>
      </c>
      <c r="O15" s="37">
        <f t="shared" si="3"/>
        <v>9.2181222983961711E-4</v>
      </c>
      <c r="P15" s="37">
        <f t="shared" si="3"/>
        <v>9.9634801312971366E-4</v>
      </c>
      <c r="Q15" s="37">
        <f t="shared" si="3"/>
        <v>1.0705547152922365E-3</v>
      </c>
      <c r="R15" s="37">
        <f t="shared" si="3"/>
        <v>1.1444366569712747E-3</v>
      </c>
      <c r="S15" s="37">
        <f t="shared" si="3"/>
        <v>1.2179980650845051E-3</v>
      </c>
      <c r="T15" s="37">
        <f t="shared" si="3"/>
        <v>1.2912430756451716E-3</v>
      </c>
      <c r="U15" s="37">
        <f t="shared" si="3"/>
        <v>1.3641757364757714E-3</v>
      </c>
      <c r="V15" s="37">
        <f t="shared" si="3"/>
        <v>1.4368000098184432E-3</v>
      </c>
      <c r="W15" s="37">
        <f t="shared" si="3"/>
        <v>1.5091197748468739E-3</v>
      </c>
      <c r="X15" s="37">
        <f t="shared" si="3"/>
        <v>1.5811388300841916E-3</v>
      </c>
      <c r="Y15" s="37">
        <f t="shared" si="3"/>
        <v>1.6528608957310821E-3</v>
      </c>
      <c r="Z15" s="37">
        <f t="shared" si="3"/>
        <v>1.7242896159082831E-3</v>
      </c>
      <c r="AA15" s="37">
        <f t="shared" si="3"/>
        <v>1.7954285608171132E-3</v>
      </c>
      <c r="AB15" s="37">
        <f t="shared" si="3"/>
        <v>1.8662812288217923E-3</v>
      </c>
      <c r="AC15" s="37">
        <f t="shared" si="3"/>
        <v>1.9368510484569501E-3</v>
      </c>
      <c r="AD15" s="37">
        <f t="shared" si="3"/>
        <v>2.007141380363564E-3</v>
      </c>
      <c r="AE15" s="37">
        <f t="shared" si="3"/>
        <v>2.0771555191564199E-3</v>
      </c>
      <c r="AF15" s="37">
        <f t="shared" si="3"/>
        <v>2.1468966952260735E-3</v>
      </c>
      <c r="AG15" s="37">
        <f t="shared" si="3"/>
        <v>2.2163680764780494E-3</v>
      </c>
      <c r="AH15" s="37">
        <f t="shared" si="3"/>
        <v>2.28557277001196E-3</v>
      </c>
      <c r="AI15" s="37">
        <f t="shared" si="3"/>
        <v>2.354513823743052E-3</v>
      </c>
      <c r="AJ15" s="37">
        <f t="shared" si="3"/>
        <v>2.4231942279685746E-3</v>
      </c>
      <c r="AK15" s="37">
        <f t="shared" si="3"/>
        <v>2.4916169168812327E-3</v>
      </c>
      <c r="AL15" s="37">
        <f t="shared" si="3"/>
        <v>2.55978477003194E-3</v>
      </c>
      <c r="AM15" s="37">
        <f t="shared" si="3"/>
        <v>2.6277006137438788E-3</v>
      </c>
      <c r="AN15" s="37">
        <f t="shared" si="3"/>
        <v>2.6953672224798511E-3</v>
      </c>
      <c r="AO15" s="37">
        <f t="shared" si="3"/>
        <v>2.762787320164814E-3</v>
      </c>
      <c r="AP15" s="37">
        <f t="shared" si="3"/>
        <v>2.8299635814653529E-3</v>
      </c>
      <c r="AQ15" s="37">
        <f t="shared" si="3"/>
        <v>2.8968986330278092E-3</v>
      </c>
      <c r="AR15" s="37">
        <f t="shared" si="3"/>
        <v>2.9635950546766897E-3</v>
      </c>
      <c r="AS15" s="37">
        <f t="shared" si="3"/>
        <v>3.0300553805748739E-3</v>
      </c>
      <c r="AT15" s="37">
        <f t="shared" si="3"/>
        <v>3.0962821003471426E-3</v>
      </c>
      <c r="AU15" s="37">
        <f t="shared" si="3"/>
        <v>3.1622776601683798E-3</v>
      </c>
      <c r="AV15" s="37">
        <f t="shared" si="3"/>
        <v>3.2280444638178758E-3</v>
      </c>
      <c r="AW15" s="37">
        <f t="shared" si="3"/>
        <v>3.2935848737009055E-3</v>
      </c>
      <c r="AX15" s="37">
        <f t="shared" si="3"/>
        <v>3.3589012118389189E-3</v>
      </c>
      <c r="AY15" s="37">
        <f t="shared" si="3"/>
        <v>3.4239957608294472E-3</v>
      </c>
      <c r="AZ15" s="37">
        <f t="shared" si="3"/>
        <v>3.4888707647768857E-3</v>
      </c>
      <c r="BA15" s="37">
        <f t="shared" si="3"/>
        <v>3.5535284301951853E-3</v>
      </c>
      <c r="BB15" s="37">
        <f t="shared" si="3"/>
        <v>3.6179709268835507E-3</v>
      </c>
      <c r="BC15" s="37">
        <f t="shared" si="3"/>
        <v>3.6822003887760323E-3</v>
      </c>
      <c r="BD15" s="37">
        <f t="shared" si="3"/>
        <v>3.7462189147660502E-3</v>
      </c>
      <c r="BE15" s="37">
        <f t="shared" si="3"/>
        <v>3.8100285695066884E-3</v>
      </c>
      <c r="BF15" s="37">
        <f t="shared" si="3"/>
        <v>3.8736313841876285E-3</v>
      </c>
      <c r="BG15" s="37">
        <f t="shared" si="3"/>
        <v>3.9370293572896023E-3</v>
      </c>
      <c r="BH15" s="37">
        <f t="shared" si="3"/>
        <v>4.0002244553170516E-3</v>
      </c>
      <c r="BI15" s="37">
        <f t="shared" si="3"/>
        <v>4.063218613509896E-3</v>
      </c>
      <c r="BJ15" s="37">
        <f t="shared" si="3"/>
        <v>4.1260137365349905E-3</v>
      </c>
      <c r="BK15" s="37">
        <f t="shared" si="3"/>
        <v>4.1886116991581047E-3</v>
      </c>
      <c r="BL15" s="37">
        <f t="shared" si="3"/>
        <v>4.2510143468969842E-3</v>
      </c>
      <c r="BM15" s="37">
        <f t="shared" si="3"/>
        <v>4.3132234966562107E-3</v>
      </c>
      <c r="BN15" s="37">
        <f t="shared" si="3"/>
        <v>4.375240937344451E-3</v>
      </c>
      <c r="BO15" s="37">
        <f t="shared" si="3"/>
        <v>4.4370684304746895E-3</v>
      </c>
      <c r="BP15" s="37">
        <f t="shared" si="3"/>
        <v>4.4987077107480032E-3</v>
      </c>
      <c r="BQ15" s="37">
        <f t="shared" ref="BQ15:EB15" si="4">BQ14-BQ13</f>
        <v>4.5601604866214659E-3</v>
      </c>
      <c r="BR15" s="37">
        <f t="shared" si="4"/>
        <v>4.6214284408606504E-3</v>
      </c>
      <c r="BS15" s="37">
        <f t="shared" si="4"/>
        <v>4.6825132310772989E-3</v>
      </c>
      <c r="BT15" s="37">
        <f t="shared" si="4"/>
        <v>4.743416490252568E-3</v>
      </c>
      <c r="BU15" s="37">
        <f t="shared" si="4"/>
        <v>4.8041398272464057E-3</v>
      </c>
      <c r="BV15" s="37">
        <f t="shared" si="4"/>
        <v>4.8646848272934362E-3</v>
      </c>
      <c r="BW15" s="37">
        <f t="shared" si="4"/>
        <v>4.9250530524858234E-3</v>
      </c>
      <c r="BX15" s="37">
        <f t="shared" si="4"/>
        <v>4.9852460422435234E-3</v>
      </c>
      <c r="BY15" s="37">
        <f t="shared" si="4"/>
        <v>5.0452653137723104E-3</v>
      </c>
      <c r="BZ15" s="37">
        <f t="shared" si="4"/>
        <v>5.1051123625099927E-3</v>
      </c>
      <c r="CA15" s="37">
        <f t="shared" si="4"/>
        <v>5.1647886625611344E-3</v>
      </c>
      <c r="CB15" s="37">
        <f t="shared" si="4"/>
        <v>5.224295667120734E-3</v>
      </c>
      <c r="CC15" s="37">
        <f t="shared" si="4"/>
        <v>5.2836348088870881E-3</v>
      </c>
      <c r="CD15" s="37">
        <f t="shared" si="4"/>
        <v>5.3428075004642826E-3</v>
      </c>
      <c r="CE15" s="37">
        <f t="shared" si="4"/>
        <v>5.4018151347545278E-3</v>
      </c>
      <c r="CF15" s="37">
        <f t="shared" si="4"/>
        <v>5.4606590853407515E-3</v>
      </c>
      <c r="CG15" s="37">
        <f t="shared" si="4"/>
        <v>5.5193407068596448E-3</v>
      </c>
      <c r="CH15" s="37">
        <f t="shared" si="4"/>
        <v>5.5778613353655443E-3</v>
      </c>
      <c r="CI15" s="37">
        <f t="shared" si="4"/>
        <v>5.6362222886853185E-3</v>
      </c>
      <c r="CJ15" s="37">
        <f t="shared" si="4"/>
        <v>5.6944248667646705E-3</v>
      </c>
      <c r="CK15" s="37">
        <f t="shared" si="4"/>
        <v>5.752470352005927E-3</v>
      </c>
      <c r="CL15" s="37">
        <f t="shared" si="4"/>
        <v>5.8103600095977571E-3</v>
      </c>
      <c r="CM15" s="37">
        <f t="shared" si="4"/>
        <v>5.8680950878369047E-3</v>
      </c>
      <c r="CN15" s="37">
        <f t="shared" si="4"/>
        <v>5.9256768184422631E-3</v>
      </c>
      <c r="CO15" s="37">
        <f t="shared" si="4"/>
        <v>5.9831064168614709E-3</v>
      </c>
      <c r="CP15" s="37">
        <f t="shared" si="4"/>
        <v>6.0403850825702585E-3</v>
      </c>
      <c r="CQ15" s="37">
        <f t="shared" si="4"/>
        <v>6.0975139993647461E-3</v>
      </c>
      <c r="CR15" s="37">
        <f t="shared" si="4"/>
        <v>6.1544943356468991E-3</v>
      </c>
      <c r="CS15" s="37">
        <f t="shared" si="4"/>
        <v>6.2113272447033435E-3</v>
      </c>
      <c r="CT15" s="37">
        <f t="shared" si="4"/>
        <v>6.2680138649777208E-3</v>
      </c>
      <c r="CU15" s="37">
        <f t="shared" si="4"/>
        <v>6.3245553203367562E-3</v>
      </c>
      <c r="CV15" s="37">
        <f t="shared" si="4"/>
        <v>6.3809527203302491E-3</v>
      </c>
      <c r="CW15" s="37">
        <f t="shared" si="4"/>
        <v>6.4372071604450916E-3</v>
      </c>
      <c r="CX15" s="37">
        <f t="shared" si="4"/>
        <v>6.4933197223535667E-3</v>
      </c>
      <c r="CY15" s="37">
        <f t="shared" si="4"/>
        <v>6.5492914741560014E-3</v>
      </c>
      <c r="CZ15" s="37">
        <f t="shared" si="4"/>
        <v>6.6051234706179969E-3</v>
      </c>
      <c r="DA15" s="37">
        <f t="shared" si="4"/>
        <v>6.6608167534023335E-3</v>
      </c>
      <c r="DB15" s="37">
        <f t="shared" si="4"/>
        <v>6.7163723512957234E-3</v>
      </c>
      <c r="DC15" s="37">
        <f t="shared" si="4"/>
        <v>6.7717912804305322E-3</v>
      </c>
      <c r="DD15" s="37">
        <f t="shared" si="4"/>
        <v>6.8270745445016441E-3</v>
      </c>
      <c r="DE15" s="37">
        <f t="shared" si="4"/>
        <v>6.8822231349785386E-3</v>
      </c>
      <c r="DF15" s="37">
        <f t="shared" si="4"/>
        <v>6.9372380313127528E-3</v>
      </c>
      <c r="DG15" s="37">
        <f t="shared" si="4"/>
        <v>6.9921202011408654E-3</v>
      </c>
      <c r="DH15" s="37">
        <f t="shared" si="4"/>
        <v>7.0468706004830246E-3</v>
      </c>
      <c r="DI15" s="37">
        <f t="shared" si="4"/>
        <v>7.101490173937304E-3</v>
      </c>
      <c r="DJ15" s="37">
        <f t="shared" si="4"/>
        <v>7.1559798548698067E-3</v>
      </c>
      <c r="DK15" s="37">
        <f t="shared" si="4"/>
        <v>7.2103405656007806E-3</v>
      </c>
      <c r="DL15" s="37">
        <f t="shared" si="4"/>
        <v>7.264573217586754E-3</v>
      </c>
      <c r="DM15" s="37">
        <f t="shared" si="4"/>
        <v>7.3186787115988618E-3</v>
      </c>
      <c r="DN15" s="37">
        <f t="shared" si="4"/>
        <v>7.3726579378973617E-3</v>
      </c>
      <c r="DO15" s="37">
        <f t="shared" si="4"/>
        <v>7.4265117764026056E-3</v>
      </c>
      <c r="DP15" s="37">
        <f t="shared" si="4"/>
        <v>7.4802410968623362E-3</v>
      </c>
      <c r="DQ15" s="37">
        <f t="shared" si="4"/>
        <v>7.5338467590156076E-3</v>
      </c>
      <c r="DR15" s="37">
        <f t="shared" si="4"/>
        <v>7.5873296127532824E-3</v>
      </c>
      <c r="DS15" s="37">
        <f t="shared" si="4"/>
        <v>7.640690498275253E-3</v>
      </c>
      <c r="DT15" s="37">
        <f t="shared" si="4"/>
        <v>7.6939302462444188E-3</v>
      </c>
      <c r="DU15" s="37">
        <f t="shared" si="4"/>
        <v>7.7470496779375973E-3</v>
      </c>
      <c r="DV15" s="37">
        <f t="shared" si="4"/>
        <v>7.8000496053932944E-3</v>
      </c>
      <c r="DW15" s="37">
        <f t="shared" si="4"/>
        <v>7.8529308315565677E-3</v>
      </c>
      <c r="DX15" s="37">
        <f t="shared" si="4"/>
        <v>7.9056941504209478E-3</v>
      </c>
      <c r="DY15" s="37">
        <f t="shared" si="4"/>
        <v>7.9583403471675251E-3</v>
      </c>
      <c r="DZ15" s="37">
        <f t="shared" si="4"/>
        <v>8.0108701983012953E-3</v>
      </c>
      <c r="EA15" s="37">
        <f t="shared" si="4"/>
        <v>8.0632844717847436E-3</v>
      </c>
      <c r="EB15" s="37">
        <f t="shared" si="4"/>
        <v>8.1155839271688998E-3</v>
      </c>
      <c r="EC15" s="37">
        <f t="shared" ref="EC15:EW15" si="5">EC14-EC13</f>
        <v>8.1677693157216971E-3</v>
      </c>
      <c r="ED15" s="37">
        <f t="shared" si="5"/>
        <v>8.2198413805539342E-3</v>
      </c>
      <c r="EE15" s="37">
        <f t="shared" si="5"/>
        <v>8.2718008567426934E-3</v>
      </c>
      <c r="EF15" s="37">
        <f t="shared" si="5"/>
        <v>8.3236484714524425E-3</v>
      </c>
      <c r="EG15" s="37">
        <f t="shared" si="5"/>
        <v>8.3753849440537514E-3</v>
      </c>
      <c r="EH15" s="37">
        <f t="shared" si="5"/>
        <v>8.4270109862397483E-3</v>
      </c>
      <c r="EI15" s="37">
        <f t="shared" si="5"/>
        <v>8.4785273021403436E-3</v>
      </c>
      <c r="EJ15" s="37">
        <f t="shared" si="5"/>
        <v>8.5299345884342764E-3</v>
      </c>
      <c r="EK15" s="37">
        <f t="shared" si="5"/>
        <v>8.5812335344590367E-3</v>
      </c>
      <c r="EL15" s="37">
        <f t="shared" si="5"/>
        <v>8.6324248223187371E-3</v>
      </c>
      <c r="EM15" s="37">
        <f t="shared" si="5"/>
        <v>8.6835091269898863E-3</v>
      </c>
      <c r="EN15" s="37">
        <f t="shared" si="5"/>
        <v>8.7344871164252574E-3</v>
      </c>
      <c r="EO15" s="37">
        <f t="shared" si="5"/>
        <v>8.7853594516557887E-3</v>
      </c>
      <c r="EP15" s="37">
        <f t="shared" si="5"/>
        <v>8.8361267868905767E-3</v>
      </c>
      <c r="EQ15" s="37">
        <f t="shared" si="5"/>
        <v>8.8867897696150409E-3</v>
      </c>
      <c r="ER15" s="37">
        <f t="shared" si="5"/>
        <v>8.9373490406872667E-3</v>
      </c>
      <c r="ES15" s="37">
        <f t="shared" si="5"/>
        <v>8.9878052344325929E-3</v>
      </c>
      <c r="ET15" s="37">
        <f t="shared" si="5"/>
        <v>9.0381589787364575E-3</v>
      </c>
      <c r="EU15" s="37">
        <f t="shared" si="5"/>
        <v>9.088410895135568E-3</v>
      </c>
      <c r="EV15" s="37">
        <f t="shared" si="5"/>
        <v>9.1385615989073993E-3</v>
      </c>
      <c r="EW15" s="37">
        <f t="shared" si="5"/>
        <v>9.1886116991581057E-3</v>
      </c>
    </row>
    <row r="16" spans="1:155" x14ac:dyDescent="0.3">
      <c r="B16" s="42" t="s">
        <v>106</v>
      </c>
      <c r="C16" s="43">
        <f>((2*$C$10)*SQRT((2*$C$4*$C$4)/($C$4+$C$4))*POWER($C$7/$C$9,2))*POWER(C14-C15,(2+$C$6)/(2*$C$6))</f>
        <v>136.20583298689698</v>
      </c>
      <c r="D16" s="43">
        <f t="shared" ref="D16:BO16" si="6">((2*$C$10)*SQRT((2*$C$4*$C$4)/($C$4+$C$4))*POWER($C$7/$C$9,2))*POWER(D14-D15,(2+$C$6)/(2*$C$6))</f>
        <v>136.20583298689698</v>
      </c>
      <c r="E16" s="43">
        <f t="shared" si="6"/>
        <v>136.20583298689698</v>
      </c>
      <c r="F16" s="43">
        <f t="shared" si="6"/>
        <v>136.20583298689698</v>
      </c>
      <c r="G16" s="43">
        <f t="shared" si="6"/>
        <v>136.20583298689698</v>
      </c>
      <c r="H16" s="43">
        <f t="shared" si="6"/>
        <v>136.20583298689698</v>
      </c>
      <c r="I16" s="43">
        <f t="shared" si="6"/>
        <v>136.20583298689698</v>
      </c>
      <c r="J16" s="43">
        <f t="shared" si="6"/>
        <v>136.20583298689698</v>
      </c>
      <c r="K16" s="43">
        <f t="shared" si="6"/>
        <v>136.20583298689698</v>
      </c>
      <c r="L16" s="43">
        <f t="shared" si="6"/>
        <v>136.20583298689698</v>
      </c>
      <c r="M16" s="43">
        <f t="shared" si="6"/>
        <v>136.20583298689698</v>
      </c>
      <c r="N16" s="43">
        <f t="shared" si="6"/>
        <v>136.20583298689698</v>
      </c>
      <c r="O16" s="43">
        <f t="shared" si="6"/>
        <v>136.20583298689698</v>
      </c>
      <c r="P16" s="43">
        <f t="shared" si="6"/>
        <v>136.20583298689698</v>
      </c>
      <c r="Q16" s="43">
        <f t="shared" si="6"/>
        <v>136.20583298689698</v>
      </c>
      <c r="R16" s="43">
        <f t="shared" si="6"/>
        <v>136.20583298689698</v>
      </c>
      <c r="S16" s="43">
        <f t="shared" si="6"/>
        <v>136.20583298689698</v>
      </c>
      <c r="T16" s="43">
        <f t="shared" si="6"/>
        <v>136.20583298689698</v>
      </c>
      <c r="U16" s="43">
        <f t="shared" si="6"/>
        <v>136.20583298689698</v>
      </c>
      <c r="V16" s="43">
        <f t="shared" si="6"/>
        <v>136.20583298689698</v>
      </c>
      <c r="W16" s="43">
        <f t="shared" si="6"/>
        <v>136.20583298689698</v>
      </c>
      <c r="X16" s="43">
        <f t="shared" si="6"/>
        <v>136.20583298689698</v>
      </c>
      <c r="Y16" s="43">
        <f t="shared" si="6"/>
        <v>136.20583298689698</v>
      </c>
      <c r="Z16" s="43">
        <f t="shared" si="6"/>
        <v>136.20583298689698</v>
      </c>
      <c r="AA16" s="43">
        <f t="shared" si="6"/>
        <v>136.20583298689698</v>
      </c>
      <c r="AB16" s="43">
        <f t="shared" si="6"/>
        <v>136.20583298689698</v>
      </c>
      <c r="AC16" s="43">
        <f t="shared" si="6"/>
        <v>136.20583298689698</v>
      </c>
      <c r="AD16" s="43">
        <f t="shared" si="6"/>
        <v>136.20583298689698</v>
      </c>
      <c r="AE16" s="43">
        <f t="shared" si="6"/>
        <v>136.20583298689698</v>
      </c>
      <c r="AF16" s="43">
        <f t="shared" si="6"/>
        <v>136.20583298689698</v>
      </c>
      <c r="AG16" s="43">
        <f t="shared" si="6"/>
        <v>136.20583298689698</v>
      </c>
      <c r="AH16" s="43">
        <f t="shared" si="6"/>
        <v>136.20583298689698</v>
      </c>
      <c r="AI16" s="43">
        <f t="shared" si="6"/>
        <v>136.20583298689698</v>
      </c>
      <c r="AJ16" s="43">
        <f t="shared" si="6"/>
        <v>136.20583298689698</v>
      </c>
      <c r="AK16" s="43">
        <f t="shared" si="6"/>
        <v>136.20583298689698</v>
      </c>
      <c r="AL16" s="43">
        <f t="shared" si="6"/>
        <v>136.20583298689698</v>
      </c>
      <c r="AM16" s="43">
        <f t="shared" si="6"/>
        <v>136.20583298689698</v>
      </c>
      <c r="AN16" s="43">
        <f t="shared" si="6"/>
        <v>136.20583298689698</v>
      </c>
      <c r="AO16" s="43">
        <f t="shared" si="6"/>
        <v>136.20583298689698</v>
      </c>
      <c r="AP16" s="43">
        <f t="shared" si="6"/>
        <v>136.20583298689698</v>
      </c>
      <c r="AQ16" s="43">
        <f t="shared" si="6"/>
        <v>136.20583298689698</v>
      </c>
      <c r="AR16" s="43">
        <f t="shared" si="6"/>
        <v>136.20583298689698</v>
      </c>
      <c r="AS16" s="43">
        <f t="shared" si="6"/>
        <v>136.20583298689698</v>
      </c>
      <c r="AT16" s="43">
        <f t="shared" si="6"/>
        <v>136.20583298689698</v>
      </c>
      <c r="AU16" s="43">
        <f t="shared" si="6"/>
        <v>136.20583298689698</v>
      </c>
      <c r="AV16" s="43">
        <f t="shared" si="6"/>
        <v>136.20583298689698</v>
      </c>
      <c r="AW16" s="43">
        <f t="shared" si="6"/>
        <v>136.20583298689698</v>
      </c>
      <c r="AX16" s="43">
        <f t="shared" si="6"/>
        <v>136.20583298689698</v>
      </c>
      <c r="AY16" s="43">
        <f t="shared" si="6"/>
        <v>136.20583298689698</v>
      </c>
      <c r="AZ16" s="43">
        <f t="shared" si="6"/>
        <v>136.20583298689698</v>
      </c>
      <c r="BA16" s="43">
        <f t="shared" si="6"/>
        <v>136.20583298689698</v>
      </c>
      <c r="BB16" s="43">
        <f t="shared" si="6"/>
        <v>136.20583298689698</v>
      </c>
      <c r="BC16" s="43">
        <f t="shared" si="6"/>
        <v>136.20583298689698</v>
      </c>
      <c r="BD16" s="43">
        <f t="shared" si="6"/>
        <v>136.20583298689698</v>
      </c>
      <c r="BE16" s="43">
        <f t="shared" si="6"/>
        <v>136.20583298689698</v>
      </c>
      <c r="BF16" s="43">
        <f t="shared" si="6"/>
        <v>136.20583298689698</v>
      </c>
      <c r="BG16" s="43">
        <f t="shared" si="6"/>
        <v>136.20583298689698</v>
      </c>
      <c r="BH16" s="43">
        <f t="shared" si="6"/>
        <v>136.20583298689698</v>
      </c>
      <c r="BI16" s="43">
        <f t="shared" si="6"/>
        <v>136.20583298689698</v>
      </c>
      <c r="BJ16" s="43">
        <f t="shared" si="6"/>
        <v>136.20583298689698</v>
      </c>
      <c r="BK16" s="43">
        <f t="shared" si="6"/>
        <v>136.20583298689698</v>
      </c>
      <c r="BL16" s="43">
        <f t="shared" si="6"/>
        <v>136.20583298689698</v>
      </c>
      <c r="BM16" s="43">
        <f t="shared" si="6"/>
        <v>136.20583298689698</v>
      </c>
      <c r="BN16" s="43">
        <f t="shared" si="6"/>
        <v>136.20583298689698</v>
      </c>
      <c r="BO16" s="43">
        <f t="shared" si="6"/>
        <v>136.20583298689698</v>
      </c>
      <c r="BP16" s="43">
        <f t="shared" ref="BP16:EA16" si="7">((2*$C$10)*SQRT((2*$C$4*$C$4)/($C$4+$C$4))*POWER($C$7/$C$9,2))*POWER(BP14-BP15,(2+$C$6)/(2*$C$6))</f>
        <v>136.20583298689698</v>
      </c>
      <c r="BQ16" s="43">
        <f t="shared" si="7"/>
        <v>136.20583298689698</v>
      </c>
      <c r="BR16" s="43">
        <f t="shared" si="7"/>
        <v>136.20583298689698</v>
      </c>
      <c r="BS16" s="43">
        <f t="shared" si="7"/>
        <v>136.20583298689698</v>
      </c>
      <c r="BT16" s="43">
        <f t="shared" si="7"/>
        <v>136.20583298689698</v>
      </c>
      <c r="BU16" s="43">
        <f t="shared" si="7"/>
        <v>136.20583298689698</v>
      </c>
      <c r="BV16" s="43">
        <f t="shared" si="7"/>
        <v>136.20583298689698</v>
      </c>
      <c r="BW16" s="43">
        <f t="shared" si="7"/>
        <v>136.20583298689698</v>
      </c>
      <c r="BX16" s="43">
        <f t="shared" si="7"/>
        <v>136.20583298689698</v>
      </c>
      <c r="BY16" s="43">
        <f t="shared" si="7"/>
        <v>136.20583298689698</v>
      </c>
      <c r="BZ16" s="43">
        <f t="shared" si="7"/>
        <v>136.20583298689698</v>
      </c>
      <c r="CA16" s="43">
        <f t="shared" si="7"/>
        <v>136.20583298689698</v>
      </c>
      <c r="CB16" s="43">
        <f t="shared" si="7"/>
        <v>136.20583298689698</v>
      </c>
      <c r="CC16" s="43">
        <f t="shared" si="7"/>
        <v>136.20583298689698</v>
      </c>
      <c r="CD16" s="43">
        <f t="shared" si="7"/>
        <v>136.20583298689698</v>
      </c>
      <c r="CE16" s="43">
        <f t="shared" si="7"/>
        <v>136.20583298689698</v>
      </c>
      <c r="CF16" s="43">
        <f t="shared" si="7"/>
        <v>136.20583298689698</v>
      </c>
      <c r="CG16" s="43">
        <f t="shared" si="7"/>
        <v>136.20583298689698</v>
      </c>
      <c r="CH16" s="43">
        <f t="shared" si="7"/>
        <v>136.20583298689698</v>
      </c>
      <c r="CI16" s="43">
        <f t="shared" si="7"/>
        <v>136.20583298689698</v>
      </c>
      <c r="CJ16" s="43">
        <f t="shared" si="7"/>
        <v>136.20583298689698</v>
      </c>
      <c r="CK16" s="43">
        <f t="shared" si="7"/>
        <v>136.20583298689698</v>
      </c>
      <c r="CL16" s="43">
        <f t="shared" si="7"/>
        <v>136.20583298689698</v>
      </c>
      <c r="CM16" s="43">
        <f t="shared" si="7"/>
        <v>136.20583298689698</v>
      </c>
      <c r="CN16" s="43">
        <f t="shared" si="7"/>
        <v>136.20583298689698</v>
      </c>
      <c r="CO16" s="43">
        <f t="shared" si="7"/>
        <v>136.20583298689698</v>
      </c>
      <c r="CP16" s="43">
        <f t="shared" si="7"/>
        <v>136.20583298689698</v>
      </c>
      <c r="CQ16" s="43">
        <f t="shared" si="7"/>
        <v>136.20583298689698</v>
      </c>
      <c r="CR16" s="43">
        <f t="shared" si="7"/>
        <v>136.20583298689698</v>
      </c>
      <c r="CS16" s="43">
        <f t="shared" si="7"/>
        <v>136.20583298689698</v>
      </c>
      <c r="CT16" s="43">
        <f t="shared" si="7"/>
        <v>136.20583298689698</v>
      </c>
      <c r="CU16" s="43">
        <f t="shared" si="7"/>
        <v>136.20583298689698</v>
      </c>
      <c r="CV16" s="43">
        <f t="shared" si="7"/>
        <v>136.20583298689698</v>
      </c>
      <c r="CW16" s="43">
        <f t="shared" si="7"/>
        <v>136.20583298689698</v>
      </c>
      <c r="CX16" s="43">
        <f t="shared" si="7"/>
        <v>136.20583298689698</v>
      </c>
      <c r="CY16" s="43">
        <f t="shared" si="7"/>
        <v>136.20583298689698</v>
      </c>
      <c r="CZ16" s="43">
        <f t="shared" si="7"/>
        <v>136.20583298689698</v>
      </c>
      <c r="DA16" s="43">
        <f t="shared" si="7"/>
        <v>136.20583298689698</v>
      </c>
      <c r="DB16" s="43">
        <f t="shared" si="7"/>
        <v>136.20583298689698</v>
      </c>
      <c r="DC16" s="43">
        <f t="shared" si="7"/>
        <v>136.20583298689698</v>
      </c>
      <c r="DD16" s="43">
        <f t="shared" si="7"/>
        <v>136.20583298689698</v>
      </c>
      <c r="DE16" s="43">
        <f t="shared" si="7"/>
        <v>136.20583298689698</v>
      </c>
      <c r="DF16" s="43">
        <f t="shared" si="7"/>
        <v>136.20583298689698</v>
      </c>
      <c r="DG16" s="43">
        <f t="shared" si="7"/>
        <v>136.20583298689698</v>
      </c>
      <c r="DH16" s="43">
        <f t="shared" si="7"/>
        <v>136.20583298689698</v>
      </c>
      <c r="DI16" s="43">
        <f t="shared" si="7"/>
        <v>136.20583298689698</v>
      </c>
      <c r="DJ16" s="43">
        <f t="shared" si="7"/>
        <v>136.20583298689698</v>
      </c>
      <c r="DK16" s="43">
        <f t="shared" si="7"/>
        <v>136.20583298689698</v>
      </c>
      <c r="DL16" s="43">
        <f t="shared" si="7"/>
        <v>136.20583298689698</v>
      </c>
      <c r="DM16" s="43">
        <f t="shared" si="7"/>
        <v>136.20583298689698</v>
      </c>
      <c r="DN16" s="43">
        <f t="shared" si="7"/>
        <v>136.20583298689698</v>
      </c>
      <c r="DO16" s="43">
        <f t="shared" si="7"/>
        <v>136.20583298689698</v>
      </c>
      <c r="DP16" s="43">
        <f t="shared" si="7"/>
        <v>136.20583298689698</v>
      </c>
      <c r="DQ16" s="43">
        <f t="shared" si="7"/>
        <v>136.20583298689698</v>
      </c>
      <c r="DR16" s="43">
        <f t="shared" si="7"/>
        <v>136.20583298689698</v>
      </c>
      <c r="DS16" s="43">
        <f t="shared" si="7"/>
        <v>136.20583298689698</v>
      </c>
      <c r="DT16" s="43">
        <f t="shared" si="7"/>
        <v>136.20583298689698</v>
      </c>
      <c r="DU16" s="43">
        <f t="shared" si="7"/>
        <v>136.20583298689698</v>
      </c>
      <c r="DV16" s="43">
        <f t="shared" si="7"/>
        <v>136.20583298689698</v>
      </c>
      <c r="DW16" s="43">
        <f t="shared" si="7"/>
        <v>136.20583298689698</v>
      </c>
      <c r="DX16" s="43">
        <f t="shared" si="7"/>
        <v>136.20583298689698</v>
      </c>
      <c r="DY16" s="43">
        <f t="shared" si="7"/>
        <v>136.20583298689698</v>
      </c>
      <c r="DZ16" s="43">
        <f t="shared" si="7"/>
        <v>136.20583298689698</v>
      </c>
      <c r="EA16" s="43">
        <f t="shared" si="7"/>
        <v>136.20583298689698</v>
      </c>
      <c r="EB16" s="43">
        <f t="shared" ref="EB16:EW16" si="8">((2*$C$10)*SQRT((2*$C$4*$C$4)/($C$4+$C$4))*POWER($C$7/$C$9,2))*POWER(EB14-EB15,(2+$C$6)/(2*$C$6))</f>
        <v>136.20583298689698</v>
      </c>
      <c r="EC16" s="43">
        <f t="shared" si="8"/>
        <v>136.20583298689698</v>
      </c>
      <c r="ED16" s="43">
        <f t="shared" si="8"/>
        <v>136.20583298689698</v>
      </c>
      <c r="EE16" s="43">
        <f t="shared" si="8"/>
        <v>136.20583298689698</v>
      </c>
      <c r="EF16" s="43">
        <f t="shared" si="8"/>
        <v>136.20583298689698</v>
      </c>
      <c r="EG16" s="43">
        <f t="shared" si="8"/>
        <v>136.20583298689698</v>
      </c>
      <c r="EH16" s="43">
        <f t="shared" si="8"/>
        <v>136.20583298689698</v>
      </c>
      <c r="EI16" s="43">
        <f t="shared" si="8"/>
        <v>136.20583298689698</v>
      </c>
      <c r="EJ16" s="43">
        <f t="shared" si="8"/>
        <v>136.20583298689698</v>
      </c>
      <c r="EK16" s="43">
        <f t="shared" si="8"/>
        <v>136.20583298689698</v>
      </c>
      <c r="EL16" s="43">
        <f t="shared" si="8"/>
        <v>136.20583298689698</v>
      </c>
      <c r="EM16" s="43">
        <f t="shared" si="8"/>
        <v>136.20583298689698</v>
      </c>
      <c r="EN16" s="43">
        <f t="shared" si="8"/>
        <v>136.20583298689698</v>
      </c>
      <c r="EO16" s="43">
        <f t="shared" si="8"/>
        <v>136.20583298689698</v>
      </c>
      <c r="EP16" s="43">
        <f t="shared" si="8"/>
        <v>136.20583298689698</v>
      </c>
      <c r="EQ16" s="43">
        <f t="shared" si="8"/>
        <v>136.20583298689698</v>
      </c>
      <c r="ER16" s="43">
        <f t="shared" si="8"/>
        <v>136.20583298689698</v>
      </c>
      <c r="ES16" s="43">
        <f t="shared" si="8"/>
        <v>136.20583298689698</v>
      </c>
      <c r="ET16" s="43">
        <f t="shared" si="8"/>
        <v>136.20583298689698</v>
      </c>
      <c r="EU16" s="43">
        <f t="shared" si="8"/>
        <v>136.20583298689698</v>
      </c>
      <c r="EV16" s="43">
        <f t="shared" si="8"/>
        <v>136.20583298689698</v>
      </c>
      <c r="EW16" s="43">
        <f t="shared" si="8"/>
        <v>136.20583298689698</v>
      </c>
    </row>
    <row r="17" spans="1:153" x14ac:dyDescent="0.3">
      <c r="B17" s="44" t="s">
        <v>107</v>
      </c>
      <c r="C17" s="43">
        <f>((2*$C$10)*SQRT((2*$C$4*$C$4)/($C$4+$C$4))*POWER($C$7/$C$9,2))*POWER(C14,(2+$C$6)/(2*$C$6))</f>
        <v>136.20583298689698</v>
      </c>
      <c r="D17" s="43">
        <f t="shared" ref="D17:BO17" si="9">((2*$C$10)*SQRT((2*$C$4*$C$4)/($C$4+$C$4))*POWER($C$7/$C$9,2))*POWER(D14,(2+$C$6)/(2*$C$6))</f>
        <v>137.91052881798342</v>
      </c>
      <c r="E17" s="43">
        <f t="shared" si="9"/>
        <v>139.61944948020007</v>
      </c>
      <c r="F17" s="43">
        <f t="shared" si="9"/>
        <v>141.33256386950791</v>
      </c>
      <c r="G17" s="43">
        <f t="shared" si="9"/>
        <v>143.04984141100417</v>
      </c>
      <c r="H17" s="43">
        <f t="shared" si="9"/>
        <v>144.77125204491051</v>
      </c>
      <c r="I17" s="43">
        <f t="shared" si="9"/>
        <v>146.49676621306617</v>
      </c>
      <c r="J17" s="43">
        <f t="shared" si="9"/>
        <v>148.22635484589733</v>
      </c>
      <c r="K17" s="43">
        <f t="shared" si="9"/>
        <v>149.95998934984522</v>
      </c>
      <c r="L17" s="43">
        <f t="shared" si="9"/>
        <v>151.69764159523001</v>
      </c>
      <c r="M17" s="43">
        <f t="shared" si="9"/>
        <v>153.43928390453428</v>
      </c>
      <c r="N17" s="43">
        <f t="shared" si="9"/>
        <v>155.18488904108284</v>
      </c>
      <c r="O17" s="43">
        <f t="shared" si="9"/>
        <v>156.93443019811176</v>
      </c>
      <c r="P17" s="43">
        <f t="shared" si="9"/>
        <v>158.68788098819687</v>
      </c>
      <c r="Q17" s="43">
        <f t="shared" si="9"/>
        <v>160.44521543303946</v>
      </c>
      <c r="R17" s="43">
        <f t="shared" si="9"/>
        <v>162.2064079535823</v>
      </c>
      <c r="S17" s="43">
        <f t="shared" si="9"/>
        <v>163.97143336045548</v>
      </c>
      <c r="T17" s="43">
        <f t="shared" si="9"/>
        <v>165.74026684472472</v>
      </c>
      <c r="U17" s="43">
        <f t="shared" si="9"/>
        <v>167.5128839689402</v>
      </c>
      <c r="V17" s="43">
        <f t="shared" si="9"/>
        <v>169.28926065847151</v>
      </c>
      <c r="W17" s="43">
        <f t="shared" si="9"/>
        <v>171.06937319311075</v>
      </c>
      <c r="X17" s="43">
        <f t="shared" si="9"/>
        <v>172.85319819894261</v>
      </c>
      <c r="Y17" s="43">
        <f t="shared" si="9"/>
        <v>174.64071264046717</v>
      </c>
      <c r="Z17" s="43">
        <f t="shared" si="9"/>
        <v>176.43189381296196</v>
      </c>
      <c r="AA17" s="43">
        <f t="shared" si="9"/>
        <v>178.22671933507809</v>
      </c>
      <c r="AB17" s="43">
        <f t="shared" si="9"/>
        <v>180.02516714166197</v>
      </c>
      <c r="AC17" s="43">
        <f t="shared" si="9"/>
        <v>181.82721547679373</v>
      </c>
      <c r="AD17" s="43">
        <f t="shared" si="9"/>
        <v>183.63284288702579</v>
      </c>
      <c r="AE17" s="43">
        <f t="shared" si="9"/>
        <v>185.4420282148325</v>
      </c>
      <c r="AF17" s="43">
        <f t="shared" si="9"/>
        <v>187.25475059224149</v>
      </c>
      <c r="AG17" s="43">
        <f t="shared" si="9"/>
        <v>189.07098943465738</v>
      </c>
      <c r="AH17" s="43">
        <f t="shared" si="9"/>
        <v>190.89072443485986</v>
      </c>
      <c r="AI17" s="43">
        <f t="shared" si="9"/>
        <v>192.71393555717606</v>
      </c>
      <c r="AJ17" s="43">
        <f t="shared" si="9"/>
        <v>194.54060303181703</v>
      </c>
      <c r="AK17" s="43">
        <f t="shared" si="9"/>
        <v>196.37070734937504</v>
      </c>
      <c r="AL17" s="43">
        <f t="shared" si="9"/>
        <v>198.20422925547436</v>
      </c>
      <c r="AM17" s="43">
        <f t="shared" si="9"/>
        <v>200.0411497455718</v>
      </c>
      <c r="AN17" s="43">
        <f t="shared" si="9"/>
        <v>201.88145005989992</v>
      </c>
      <c r="AO17" s="43">
        <f t="shared" si="9"/>
        <v>203.72511167854833</v>
      </c>
      <c r="AP17" s="43">
        <f t="shared" si="9"/>
        <v>205.57211631668085</v>
      </c>
      <c r="AQ17" s="43">
        <f t="shared" si="9"/>
        <v>207.42244591987784</v>
      </c>
      <c r="AR17" s="43">
        <f t="shared" si="9"/>
        <v>209.27608265960953</v>
      </c>
      <c r="AS17" s="43">
        <f t="shared" si="9"/>
        <v>211.13300892882262</v>
      </c>
      <c r="AT17" s="43">
        <f t="shared" si="9"/>
        <v>212.99320733765043</v>
      </c>
      <c r="AU17" s="43">
        <f t="shared" si="9"/>
        <v>214.8566607092298</v>
      </c>
      <c r="AV17" s="43">
        <f t="shared" si="9"/>
        <v>216.72335207563145</v>
      </c>
      <c r="AW17" s="43">
        <f t="shared" si="9"/>
        <v>218.59326467389263</v>
      </c>
      <c r="AX17" s="43">
        <f t="shared" si="9"/>
        <v>220.4663819421539</v>
      </c>
      <c r="AY17" s="43">
        <f t="shared" si="9"/>
        <v>222.34268751589386</v>
      </c>
      <c r="AZ17" s="43">
        <f t="shared" si="9"/>
        <v>224.22216522425742</v>
      </c>
      <c r="BA17" s="43">
        <f t="shared" si="9"/>
        <v>226.10479908648082</v>
      </c>
      <c r="BB17" s="43">
        <f t="shared" si="9"/>
        <v>227.99057330840213</v>
      </c>
      <c r="BC17" s="43">
        <f t="shared" si="9"/>
        <v>229.87947227905931</v>
      </c>
      <c r="BD17" s="43">
        <f t="shared" si="9"/>
        <v>231.77148056737482</v>
      </c>
      <c r="BE17" s="43">
        <f t="shared" si="9"/>
        <v>233.66658291891744</v>
      </c>
      <c r="BF17" s="43">
        <f t="shared" si="9"/>
        <v>235.56476425274766</v>
      </c>
      <c r="BG17" s="43">
        <f t="shared" si="9"/>
        <v>237.466009658335</v>
      </c>
      <c r="BH17" s="43">
        <f t="shared" si="9"/>
        <v>239.37030439255275</v>
      </c>
      <c r="BI17" s="43">
        <f t="shared" si="9"/>
        <v>241.27763387674156</v>
      </c>
      <c r="BJ17" s="43">
        <f t="shared" si="9"/>
        <v>243.18798369384794</v>
      </c>
      <c r="BK17" s="43">
        <f t="shared" si="9"/>
        <v>245.10133958562287</v>
      </c>
      <c r="BL17" s="43">
        <f t="shared" si="9"/>
        <v>247.01768744989246</v>
      </c>
      <c r="BM17" s="43">
        <f t="shared" si="9"/>
        <v>248.93701333788977</v>
      </c>
      <c r="BN17" s="43">
        <f t="shared" si="9"/>
        <v>250.859303451649</v>
      </c>
      <c r="BO17" s="43">
        <f t="shared" si="9"/>
        <v>252.78454414145733</v>
      </c>
      <c r="BP17" s="43">
        <f t="shared" ref="BP17:EA17" si="10">((2*$C$10)*SQRT((2*$C$4*$C$4)/($C$4+$C$4))*POWER($C$7/$C$9,2))*POWER(BP14,(2+$C$6)/(2*$C$6))</f>
        <v>254.7127219033685</v>
      </c>
      <c r="BQ17" s="43">
        <f t="shared" si="10"/>
        <v>256.64382337677262</v>
      </c>
      <c r="BR17" s="43">
        <f t="shared" si="10"/>
        <v>258.57783534201621</v>
      </c>
      <c r="BS17" s="43">
        <f t="shared" si="10"/>
        <v>260.51474471808325</v>
      </c>
      <c r="BT17" s="43">
        <f t="shared" si="10"/>
        <v>262.45453856032145</v>
      </c>
      <c r="BU17" s="43">
        <f t="shared" si="10"/>
        <v>264.39720405822311</v>
      </c>
      <c r="BV17" s="43">
        <f t="shared" si="10"/>
        <v>266.34272853325126</v>
      </c>
      <c r="BW17" s="43">
        <f t="shared" si="10"/>
        <v>268.29109943671921</v>
      </c>
      <c r="BX17" s="43">
        <f t="shared" si="10"/>
        <v>270.24230434770925</v>
      </c>
      <c r="BY17" s="43">
        <f t="shared" si="10"/>
        <v>272.19633097104332</v>
      </c>
      <c r="BZ17" s="43">
        <f t="shared" si="10"/>
        <v>274.15316713529182</v>
      </c>
      <c r="CA17" s="43">
        <f t="shared" si="10"/>
        <v>276.11280079082877</v>
      </c>
      <c r="CB17" s="43">
        <f t="shared" si="10"/>
        <v>278.07522000792648</v>
      </c>
      <c r="CC17" s="43">
        <f t="shared" si="10"/>
        <v>280.04041297489283</v>
      </c>
      <c r="CD17" s="43">
        <f t="shared" si="10"/>
        <v>282.00836799624545</v>
      </c>
      <c r="CE17" s="43">
        <f t="shared" si="10"/>
        <v>283.97907349092378</v>
      </c>
      <c r="CF17" s="43">
        <f t="shared" si="10"/>
        <v>285.95251799054176</v>
      </c>
      <c r="CG17" s="43">
        <f t="shared" si="10"/>
        <v>287.92869013767381</v>
      </c>
      <c r="CH17" s="43">
        <f t="shared" si="10"/>
        <v>289.90757868417717</v>
      </c>
      <c r="CI17" s="43">
        <f t="shared" si="10"/>
        <v>291.88917248954829</v>
      </c>
      <c r="CJ17" s="43">
        <f t="shared" si="10"/>
        <v>293.87346051931371</v>
      </c>
      <c r="CK17" s="43">
        <f t="shared" si="10"/>
        <v>295.86043184345203</v>
      </c>
      <c r="CL17" s="43">
        <f t="shared" si="10"/>
        <v>297.85007563484771</v>
      </c>
      <c r="CM17" s="43">
        <f t="shared" si="10"/>
        <v>299.84238116777897</v>
      </c>
      <c r="CN17" s="43">
        <f t="shared" si="10"/>
        <v>301.83733781643315</v>
      </c>
      <c r="CO17" s="43">
        <f t="shared" si="10"/>
        <v>303.83493505344853</v>
      </c>
      <c r="CP17" s="43">
        <f t="shared" si="10"/>
        <v>305.83516244849449</v>
      </c>
      <c r="CQ17" s="43">
        <f t="shared" si="10"/>
        <v>307.83800966686749</v>
      </c>
      <c r="CR17" s="43">
        <f t="shared" si="10"/>
        <v>309.84346646812537</v>
      </c>
      <c r="CS17" s="43">
        <f t="shared" si="10"/>
        <v>311.85152270473901</v>
      </c>
      <c r="CT17" s="43">
        <f t="shared" si="10"/>
        <v>313.86216832077878</v>
      </c>
      <c r="CU17" s="43">
        <f t="shared" si="10"/>
        <v>315.87539335061786</v>
      </c>
      <c r="CV17" s="43">
        <f t="shared" si="10"/>
        <v>317.89118791766646</v>
      </c>
      <c r="CW17" s="43">
        <f t="shared" si="10"/>
        <v>319.90954223312946</v>
      </c>
      <c r="CX17" s="43">
        <f t="shared" si="10"/>
        <v>321.93044659478375</v>
      </c>
      <c r="CY17" s="43">
        <f t="shared" si="10"/>
        <v>323.95389138578065</v>
      </c>
      <c r="CZ17" s="43">
        <f t="shared" si="10"/>
        <v>325.97986707347462</v>
      </c>
      <c r="DA17" s="43">
        <f t="shared" si="10"/>
        <v>328.00836420826749</v>
      </c>
      <c r="DB17" s="43">
        <f t="shared" si="10"/>
        <v>330.03937342247849</v>
      </c>
      <c r="DC17" s="43">
        <f t="shared" si="10"/>
        <v>332.07288542923339</v>
      </c>
      <c r="DD17" s="43">
        <f t="shared" si="10"/>
        <v>334.10889102137435</v>
      </c>
      <c r="DE17" s="43">
        <f t="shared" si="10"/>
        <v>336.14738107039079</v>
      </c>
      <c r="DF17" s="43">
        <f t="shared" si="10"/>
        <v>338.18834652536742</v>
      </c>
      <c r="DG17" s="43">
        <f t="shared" si="10"/>
        <v>340.23177841195428</v>
      </c>
      <c r="DH17" s="43">
        <f t="shared" si="10"/>
        <v>342.27766783135195</v>
      </c>
      <c r="DI17" s="43">
        <f t="shared" si="10"/>
        <v>344.32600595931984</v>
      </c>
      <c r="DJ17" s="43">
        <f t="shared" si="10"/>
        <v>346.37678404519539</v>
      </c>
      <c r="DK17" s="43">
        <f t="shared" si="10"/>
        <v>348.42999341093724</v>
      </c>
      <c r="DL17" s="43">
        <f t="shared" si="10"/>
        <v>350.48562545018183</v>
      </c>
      <c r="DM17" s="43">
        <f t="shared" si="10"/>
        <v>352.54367162731853</v>
      </c>
      <c r="DN17" s="43">
        <f t="shared" si="10"/>
        <v>354.60412347657677</v>
      </c>
      <c r="DO17" s="43">
        <f t="shared" si="10"/>
        <v>356.66697260113665</v>
      </c>
      <c r="DP17" s="43">
        <f t="shared" si="10"/>
        <v>358.73221067224631</v>
      </c>
      <c r="DQ17" s="43">
        <f t="shared" si="10"/>
        <v>360.79982942836136</v>
      </c>
      <c r="DR17" s="43">
        <f t="shared" si="10"/>
        <v>362.8698206742954</v>
      </c>
      <c r="DS17" s="43">
        <f t="shared" si="10"/>
        <v>364.94217628038882</v>
      </c>
      <c r="DT17" s="43">
        <f t="shared" si="10"/>
        <v>367.01688818168441</v>
      </c>
      <c r="DU17" s="43">
        <f t="shared" si="10"/>
        <v>369.09394837712722</v>
      </c>
      <c r="DV17" s="43">
        <f t="shared" si="10"/>
        <v>371.1733489287663</v>
      </c>
      <c r="DW17" s="43">
        <f t="shared" si="10"/>
        <v>373.2550819609844</v>
      </c>
      <c r="DX17" s="43">
        <f t="shared" si="10"/>
        <v>375.33913965972323</v>
      </c>
      <c r="DY17" s="43">
        <f t="shared" si="10"/>
        <v>377.42551427173771</v>
      </c>
      <c r="DZ17" s="43">
        <f t="shared" si="10"/>
        <v>379.51419810385124</v>
      </c>
      <c r="EA17" s="43">
        <f t="shared" si="10"/>
        <v>381.60518352222937</v>
      </c>
      <c r="EB17" s="43">
        <f t="shared" ref="EB17:EW17" si="11">((2*$C$10)*SQRT((2*$C$4*$C$4)/($C$4+$C$4))*POWER($C$7/$C$9,2))*POWER(EB14,(2+$C$6)/(2*$C$6))</f>
        <v>383.69846295166428</v>
      </c>
      <c r="EC17" s="43">
        <f t="shared" si="11"/>
        <v>385.79402887486827</v>
      </c>
      <c r="ED17" s="43">
        <f t="shared" si="11"/>
        <v>387.8918738317829</v>
      </c>
      <c r="EE17" s="43">
        <f t="shared" si="11"/>
        <v>389.99199041889585</v>
      </c>
      <c r="EF17" s="43">
        <f t="shared" si="11"/>
        <v>392.09437128857286</v>
      </c>
      <c r="EG17" s="43">
        <f t="shared" si="11"/>
        <v>394.19900914839195</v>
      </c>
      <c r="EH17" s="43">
        <f t="shared" si="11"/>
        <v>396.30589676050232</v>
      </c>
      <c r="EI17" s="43">
        <f t="shared" si="11"/>
        <v>398.41502694097881</v>
      </c>
      <c r="EJ17" s="43">
        <f t="shared" si="11"/>
        <v>400.52639255919559</v>
      </c>
      <c r="EK17" s="43">
        <f t="shared" si="11"/>
        <v>402.63998653720938</v>
      </c>
      <c r="EL17" s="43">
        <f t="shared" si="11"/>
        <v>404.75580184914662</v>
      </c>
      <c r="EM17" s="43">
        <f t="shared" si="11"/>
        <v>406.8738315206063</v>
      </c>
      <c r="EN17" s="43">
        <f t="shared" si="11"/>
        <v>408.99406862806859</v>
      </c>
      <c r="EO17" s="43">
        <f t="shared" si="11"/>
        <v>411.11650629831644</v>
      </c>
      <c r="EP17" s="43">
        <f t="shared" si="11"/>
        <v>413.24113770786062</v>
      </c>
      <c r="EQ17" s="43">
        <f t="shared" si="11"/>
        <v>415.36795608237867</v>
      </c>
      <c r="ER17" s="43">
        <f t="shared" si="11"/>
        <v>417.49695469615949</v>
      </c>
      <c r="ES17" s="43">
        <f t="shared" si="11"/>
        <v>419.62812687155809</v>
      </c>
      <c r="ET17" s="43">
        <f t="shared" si="11"/>
        <v>421.76146597845565</v>
      </c>
      <c r="EU17" s="43">
        <f t="shared" si="11"/>
        <v>423.89696543373526</v>
      </c>
      <c r="EV17" s="43">
        <f t="shared" si="11"/>
        <v>426.03461870075478</v>
      </c>
      <c r="EW17" s="43">
        <f t="shared" si="11"/>
        <v>428.1744192888379</v>
      </c>
    </row>
    <row r="18" spans="1:153" x14ac:dyDescent="0.3">
      <c r="B18" s="42" t="s">
        <v>108</v>
      </c>
      <c r="C18" s="43">
        <f>$C$5*((0.36*C17)+(0.64*C16))</f>
        <v>13620.583298689698</v>
      </c>
      <c r="D18" s="43">
        <f t="shared" ref="D18:BO18" si="12">$C$5*((0.36*D17)+(0.64*D16))</f>
        <v>13681.952348608809</v>
      </c>
      <c r="E18" s="43">
        <f t="shared" si="12"/>
        <v>13743.473492448609</v>
      </c>
      <c r="F18" s="43">
        <f t="shared" si="12"/>
        <v>13805.145610463691</v>
      </c>
      <c r="G18" s="43">
        <f t="shared" si="12"/>
        <v>13866.967601957558</v>
      </c>
      <c r="H18" s="43">
        <f t="shared" si="12"/>
        <v>13928.938384778186</v>
      </c>
      <c r="I18" s="43">
        <f t="shared" si="12"/>
        <v>13991.056894831789</v>
      </c>
      <c r="J18" s="43">
        <f t="shared" si="12"/>
        <v>14053.322085613712</v>
      </c>
      <c r="K18" s="43">
        <f t="shared" si="12"/>
        <v>14115.732927755835</v>
      </c>
      <c r="L18" s="43">
        <f t="shared" si="12"/>
        <v>14178.288408589688</v>
      </c>
      <c r="M18" s="43">
        <f t="shared" si="12"/>
        <v>14240.987531724642</v>
      </c>
      <c r="N18" s="43">
        <f t="shared" si="12"/>
        <v>14303.829316640389</v>
      </c>
      <c r="O18" s="43">
        <f t="shared" si="12"/>
        <v>14366.812798293429</v>
      </c>
      <c r="P18" s="43">
        <f t="shared" si="12"/>
        <v>14429.937026736494</v>
      </c>
      <c r="Q18" s="43">
        <f t="shared" si="12"/>
        <v>14493.201066750828</v>
      </c>
      <c r="R18" s="43">
        <f t="shared" si="12"/>
        <v>14556.603997490371</v>
      </c>
      <c r="S18" s="43">
        <f t="shared" si="12"/>
        <v>14620.144912137806</v>
      </c>
      <c r="T18" s="43">
        <f t="shared" si="12"/>
        <v>14683.822917571495</v>
      </c>
      <c r="U18" s="43">
        <f t="shared" si="12"/>
        <v>14747.637134043254</v>
      </c>
      <c r="V18" s="43">
        <f t="shared" si="12"/>
        <v>14811.586694866381</v>
      </c>
      <c r="W18" s="43">
        <f t="shared" si="12"/>
        <v>14875.670746113394</v>
      </c>
      <c r="X18" s="43">
        <f t="shared" si="12"/>
        <v>14939.888446323341</v>
      </c>
      <c r="Y18" s="43">
        <f t="shared" si="12"/>
        <v>15004.238966218225</v>
      </c>
      <c r="Z18" s="43">
        <f t="shared" si="12"/>
        <v>15068.721488428037</v>
      </c>
      <c r="AA18" s="43">
        <f t="shared" si="12"/>
        <v>15133.335207224218</v>
      </c>
      <c r="AB18" s="43">
        <f t="shared" si="12"/>
        <v>15198.079328261238</v>
      </c>
      <c r="AC18" s="43">
        <f t="shared" si="12"/>
        <v>15262.953068325982</v>
      </c>
      <c r="AD18" s="43">
        <f t="shared" si="12"/>
        <v>15327.955655094336</v>
      </c>
      <c r="AE18" s="43">
        <f t="shared" si="12"/>
        <v>15393.086326895376</v>
      </c>
      <c r="AF18" s="43">
        <f t="shared" si="12"/>
        <v>15458.344332482102</v>
      </c>
      <c r="AG18" s="43">
        <f t="shared" si="12"/>
        <v>15523.728930809073</v>
      </c>
      <c r="AH18" s="43">
        <f t="shared" si="12"/>
        <v>15589.239390816363</v>
      </c>
      <c r="AI18" s="43">
        <f t="shared" si="12"/>
        <v>15654.874991219745</v>
      </c>
      <c r="AJ18" s="43">
        <f t="shared" si="12"/>
        <v>15720.635020306821</v>
      </c>
      <c r="AK18" s="43">
        <f t="shared" si="12"/>
        <v>15786.51877573891</v>
      </c>
      <c r="AL18" s="43">
        <f t="shared" si="12"/>
        <v>15852.525564358484</v>
      </c>
      <c r="AM18" s="43">
        <f t="shared" si="12"/>
        <v>15918.654702001993</v>
      </c>
      <c r="AN18" s="43">
        <f t="shared" si="12"/>
        <v>15984.905513317804</v>
      </c>
      <c r="AO18" s="43">
        <f t="shared" si="12"/>
        <v>16051.277331589148</v>
      </c>
      <c r="AP18" s="43">
        <f t="shared" si="12"/>
        <v>16117.769498561918</v>
      </c>
      <c r="AQ18" s="43">
        <f t="shared" si="12"/>
        <v>16184.381364277011</v>
      </c>
      <c r="AR18" s="43">
        <f t="shared" si="12"/>
        <v>16251.112286907352</v>
      </c>
      <c r="AS18" s="43">
        <f t="shared" si="12"/>
        <v>16317.961632599019</v>
      </c>
      <c r="AT18" s="43">
        <f t="shared" si="12"/>
        <v>16384.928775316821</v>
      </c>
      <c r="AU18" s="43">
        <f t="shared" si="12"/>
        <v>16452.013096693678</v>
      </c>
      <c r="AV18" s="43">
        <f t="shared" si="12"/>
        <v>16519.21398588414</v>
      </c>
      <c r="AW18" s="43">
        <f t="shared" si="12"/>
        <v>16586.530839421543</v>
      </c>
      <c r="AX18" s="43">
        <f t="shared" si="12"/>
        <v>16653.963061078946</v>
      </c>
      <c r="AY18" s="43">
        <f t="shared" si="12"/>
        <v>16721.510061733585</v>
      </c>
      <c r="AZ18" s="43">
        <f t="shared" si="12"/>
        <v>16789.171259234674</v>
      </c>
      <c r="BA18" s="43">
        <f t="shared" si="12"/>
        <v>16856.946078274716</v>
      </c>
      <c r="BB18" s="43">
        <f t="shared" si="12"/>
        <v>16924.833950263885</v>
      </c>
      <c r="BC18" s="43">
        <f t="shared" si="12"/>
        <v>16992.834313207542</v>
      </c>
      <c r="BD18" s="43">
        <f t="shared" si="12"/>
        <v>17060.9466115869</v>
      </c>
      <c r="BE18" s="43">
        <f t="shared" si="12"/>
        <v>17129.170296242435</v>
      </c>
      <c r="BF18" s="43">
        <f t="shared" si="12"/>
        <v>17197.504824260322</v>
      </c>
      <c r="BG18" s="43">
        <f t="shared" si="12"/>
        <v>17265.949658861467</v>
      </c>
      <c r="BH18" s="43">
        <f t="shared" si="12"/>
        <v>17334.504269293309</v>
      </c>
      <c r="BI18" s="43">
        <f t="shared" si="12"/>
        <v>17403.168130724102</v>
      </c>
      <c r="BJ18" s="43">
        <f t="shared" si="12"/>
        <v>17471.940724139931</v>
      </c>
      <c r="BK18" s="43">
        <f t="shared" si="12"/>
        <v>17540.821536243828</v>
      </c>
      <c r="BL18" s="43">
        <f t="shared" si="12"/>
        <v>17609.810059357533</v>
      </c>
      <c r="BM18" s="43">
        <f t="shared" si="12"/>
        <v>17678.90579132544</v>
      </c>
      <c r="BN18" s="43">
        <f t="shared" si="12"/>
        <v>17748.108235420772</v>
      </c>
      <c r="BO18" s="43">
        <f t="shared" si="12"/>
        <v>17817.416900253869</v>
      </c>
      <c r="BP18" s="43">
        <f t="shared" ref="BP18:EA18" si="13">$C$5*((0.36*BP17)+(0.64*BP16))</f>
        <v>17886.831299682672</v>
      </c>
      <c r="BQ18" s="43">
        <f t="shared" si="13"/>
        <v>17956.350952725221</v>
      </c>
      <c r="BR18" s="43">
        <f t="shared" si="13"/>
        <v>18025.975383473989</v>
      </c>
      <c r="BS18" s="43">
        <f t="shared" si="13"/>
        <v>18095.704121012404</v>
      </c>
      <c r="BT18" s="43">
        <f t="shared" si="13"/>
        <v>18165.536699332977</v>
      </c>
      <c r="BU18" s="43">
        <f t="shared" si="13"/>
        <v>18235.47265725744</v>
      </c>
      <c r="BV18" s="43">
        <f t="shared" si="13"/>
        <v>18305.511538358449</v>
      </c>
      <c r="BW18" s="43">
        <f t="shared" si="13"/>
        <v>18375.652890883299</v>
      </c>
      <c r="BX18" s="43">
        <f t="shared" si="13"/>
        <v>18445.896267678938</v>
      </c>
      <c r="BY18" s="43">
        <f t="shared" si="13"/>
        <v>18516.241226118967</v>
      </c>
      <c r="BZ18" s="43">
        <f t="shared" si="13"/>
        <v>18586.687328031912</v>
      </c>
      <c r="CA18" s="43">
        <f t="shared" si="13"/>
        <v>18657.234139631244</v>
      </c>
      <c r="CB18" s="43">
        <f t="shared" si="13"/>
        <v>18727.881231446758</v>
      </c>
      <c r="CC18" s="43">
        <f t="shared" si="13"/>
        <v>18798.628178257546</v>
      </c>
      <c r="CD18" s="43">
        <f t="shared" si="13"/>
        <v>18869.474559026243</v>
      </c>
      <c r="CE18" s="43">
        <f t="shared" si="13"/>
        <v>18940.419956834663</v>
      </c>
      <c r="CF18" s="43">
        <f t="shared" si="13"/>
        <v>19011.46395882091</v>
      </c>
      <c r="CG18" s="43">
        <f t="shared" si="13"/>
        <v>19082.606156117661</v>
      </c>
      <c r="CH18" s="43">
        <f t="shared" si="13"/>
        <v>19153.846143791783</v>
      </c>
      <c r="CI18" s="43">
        <f t="shared" si="13"/>
        <v>19225.183520785147</v>
      </c>
      <c r="CJ18" s="43">
        <f t="shared" si="13"/>
        <v>19296.617889856701</v>
      </c>
      <c r="CK18" s="43">
        <f t="shared" si="13"/>
        <v>19368.148857525681</v>
      </c>
      <c r="CL18" s="43">
        <f t="shared" si="13"/>
        <v>19439.776034015926</v>
      </c>
      <c r="CM18" s="43">
        <f t="shared" si="13"/>
        <v>19511.499033201449</v>
      </c>
      <c r="CN18" s="43">
        <f t="shared" si="13"/>
        <v>19583.317472553001</v>
      </c>
      <c r="CO18" s="43">
        <f t="shared" si="13"/>
        <v>19655.230973085556</v>
      </c>
      <c r="CP18" s="43">
        <f t="shared" si="13"/>
        <v>19727.23915930721</v>
      </c>
      <c r="CQ18" s="43">
        <f t="shared" si="13"/>
        <v>19799.341659168636</v>
      </c>
      <c r="CR18" s="43">
        <f t="shared" si="13"/>
        <v>19871.538104013922</v>
      </c>
      <c r="CS18" s="43">
        <f t="shared" si="13"/>
        <v>19943.828128532012</v>
      </c>
      <c r="CT18" s="43">
        <f t="shared" si="13"/>
        <v>20016.211370709443</v>
      </c>
      <c r="CU18" s="43">
        <f t="shared" si="13"/>
        <v>20088.687471783651</v>
      </c>
      <c r="CV18" s="43">
        <f t="shared" si="13"/>
        <v>20161.256076197402</v>
      </c>
      <c r="CW18" s="43">
        <f t="shared" si="13"/>
        <v>20233.91683155407</v>
      </c>
      <c r="CX18" s="43">
        <f t="shared" si="13"/>
        <v>20306.66938857362</v>
      </c>
      <c r="CY18" s="43">
        <f t="shared" si="13"/>
        <v>20379.513401049509</v>
      </c>
      <c r="CZ18" s="43">
        <f t="shared" si="13"/>
        <v>20452.448525806496</v>
      </c>
      <c r="DA18" s="43">
        <f t="shared" si="13"/>
        <v>20525.474422659037</v>
      </c>
      <c r="DB18" s="43">
        <f t="shared" si="13"/>
        <v>20598.590754370634</v>
      </c>
      <c r="DC18" s="43">
        <f t="shared" si="13"/>
        <v>20671.79718661381</v>
      </c>
      <c r="DD18" s="43">
        <f t="shared" si="13"/>
        <v>20745.093387930883</v>
      </c>
      <c r="DE18" s="43">
        <f t="shared" si="13"/>
        <v>20818.479029695474</v>
      </c>
      <c r="DF18" s="43">
        <f t="shared" si="13"/>
        <v>20891.953786074635</v>
      </c>
      <c r="DG18" s="43">
        <f t="shared" si="13"/>
        <v>20965.51733399176</v>
      </c>
      <c r="DH18" s="43">
        <f t="shared" si="13"/>
        <v>21039.169353090077</v>
      </c>
      <c r="DI18" s="43">
        <f t="shared" si="13"/>
        <v>21112.909525696919</v>
      </c>
      <c r="DJ18" s="43">
        <f t="shared" si="13"/>
        <v>21186.737536788438</v>
      </c>
      <c r="DK18" s="43">
        <f t="shared" si="13"/>
        <v>21260.653073955149</v>
      </c>
      <c r="DL18" s="43">
        <f t="shared" si="13"/>
        <v>21334.655827367955</v>
      </c>
      <c r="DM18" s="43">
        <f t="shared" si="13"/>
        <v>21408.745489744873</v>
      </c>
      <c r="DN18" s="43">
        <f t="shared" si="13"/>
        <v>21482.92175631817</v>
      </c>
      <c r="DO18" s="43">
        <f t="shared" si="13"/>
        <v>21557.184324802325</v>
      </c>
      <c r="DP18" s="43">
        <f t="shared" si="13"/>
        <v>21631.532895362274</v>
      </c>
      <c r="DQ18" s="43">
        <f t="shared" si="13"/>
        <v>21705.967170582415</v>
      </c>
      <c r="DR18" s="43">
        <f t="shared" si="13"/>
        <v>21780.486855436044</v>
      </c>
      <c r="DS18" s="43">
        <f t="shared" si="13"/>
        <v>21855.091657255405</v>
      </c>
      <c r="DT18" s="43">
        <f t="shared" si="13"/>
        <v>21929.781285702047</v>
      </c>
      <c r="DU18" s="43">
        <f t="shared" si="13"/>
        <v>22004.555452737986</v>
      </c>
      <c r="DV18" s="43">
        <f t="shared" si="13"/>
        <v>22079.413872596997</v>
      </c>
      <c r="DW18" s="43">
        <f t="shared" si="13"/>
        <v>22154.356261756846</v>
      </c>
      <c r="DX18" s="43">
        <f t="shared" si="13"/>
        <v>22229.382338911444</v>
      </c>
      <c r="DY18" s="43">
        <f t="shared" si="13"/>
        <v>22304.491824943965</v>
      </c>
      <c r="DZ18" s="43">
        <f t="shared" si="13"/>
        <v>22379.684442900056</v>
      </c>
      <c r="EA18" s="43">
        <f t="shared" si="13"/>
        <v>22454.959917961663</v>
      </c>
      <c r="EB18" s="43">
        <f t="shared" ref="EB18:EW18" si="14">$C$5*((0.36*EB17)+(0.64*EB16))</f>
        <v>22530.31797742132</v>
      </c>
      <c r="EC18" s="43">
        <f t="shared" si="14"/>
        <v>22605.758350656663</v>
      </c>
      <c r="ED18" s="43">
        <f t="shared" si="14"/>
        <v>22681.280769105593</v>
      </c>
      <c r="EE18" s="43">
        <f t="shared" si="14"/>
        <v>22756.884966241661</v>
      </c>
      <c r="EF18" s="43">
        <f t="shared" si="14"/>
        <v>22832.570677550029</v>
      </c>
      <c r="EG18" s="43">
        <f t="shared" si="14"/>
        <v>22908.337640503516</v>
      </c>
      <c r="EH18" s="43">
        <f t="shared" si="14"/>
        <v>22984.185594539493</v>
      </c>
      <c r="EI18" s="43">
        <f t="shared" si="14"/>
        <v>23060.11428103664</v>
      </c>
      <c r="EJ18" s="43">
        <f t="shared" si="14"/>
        <v>23136.12344329245</v>
      </c>
      <c r="EK18" s="43">
        <f t="shared" si="14"/>
        <v>23212.212826500945</v>
      </c>
      <c r="EL18" s="43">
        <f t="shared" si="14"/>
        <v>23288.382177730688</v>
      </c>
      <c r="EM18" s="43">
        <f t="shared" si="14"/>
        <v>23364.631245903234</v>
      </c>
      <c r="EN18" s="43">
        <f t="shared" si="14"/>
        <v>23440.959781771875</v>
      </c>
      <c r="EO18" s="43">
        <f t="shared" si="14"/>
        <v>23517.367537900798</v>
      </c>
      <c r="EP18" s="43">
        <f t="shared" si="14"/>
        <v>23593.854268644391</v>
      </c>
      <c r="EQ18" s="43">
        <f t="shared" si="14"/>
        <v>23670.419730127036</v>
      </c>
      <c r="ER18" s="43">
        <f t="shared" si="14"/>
        <v>23747.063680223146</v>
      </c>
      <c r="ES18" s="43">
        <f t="shared" si="14"/>
        <v>23823.785878537499</v>
      </c>
      <c r="ET18" s="43">
        <f t="shared" si="14"/>
        <v>23900.586086385811</v>
      </c>
      <c r="EU18" s="43">
        <f t="shared" si="14"/>
        <v>23977.464066775876</v>
      </c>
      <c r="EV18" s="43">
        <f t="shared" si="14"/>
        <v>24054.419584388579</v>
      </c>
      <c r="EW18" s="43">
        <f t="shared" si="14"/>
        <v>24131.452405559572</v>
      </c>
    </row>
    <row r="21" spans="1:153" x14ac:dyDescent="0.3">
      <c r="A21" s="9" t="s">
        <v>102</v>
      </c>
      <c r="B21">
        <v>1</v>
      </c>
      <c r="C21">
        <v>1.01</v>
      </c>
      <c r="D21" s="36">
        <v>1.02</v>
      </c>
      <c r="E21" s="36">
        <v>1.03</v>
      </c>
      <c r="F21" s="36">
        <v>1.04</v>
      </c>
      <c r="G21" s="36">
        <v>1.05</v>
      </c>
      <c r="H21" s="36">
        <v>1.06</v>
      </c>
      <c r="I21" s="36">
        <v>1.07</v>
      </c>
      <c r="J21" s="36">
        <v>1.08</v>
      </c>
      <c r="K21" s="36">
        <v>1.0900000000000001</v>
      </c>
      <c r="L21" s="36">
        <v>1.1000000000000001</v>
      </c>
      <c r="M21" s="36">
        <v>1.1100000000000001</v>
      </c>
      <c r="N21" s="36">
        <v>1.1200000000000001</v>
      </c>
      <c r="O21" s="36">
        <v>1.1299999999999999</v>
      </c>
      <c r="P21" s="36">
        <v>1.1399999999999999</v>
      </c>
      <c r="Q21" s="36">
        <v>1.1499999999999999</v>
      </c>
      <c r="R21" s="36">
        <v>1.1599999999999999</v>
      </c>
      <c r="S21" s="36">
        <v>1.17</v>
      </c>
      <c r="T21" s="36">
        <v>1.18</v>
      </c>
      <c r="U21" s="36">
        <v>1.19</v>
      </c>
      <c r="V21" s="36">
        <v>1.2</v>
      </c>
      <c r="W21" s="36">
        <v>1.21</v>
      </c>
      <c r="X21" s="36">
        <v>1.22</v>
      </c>
      <c r="Y21" s="36">
        <v>1.23</v>
      </c>
      <c r="Z21" s="36">
        <v>1.24</v>
      </c>
      <c r="AA21" s="36">
        <v>1.25</v>
      </c>
      <c r="AB21" s="36">
        <v>1.26</v>
      </c>
      <c r="AC21" s="36">
        <v>1.27</v>
      </c>
      <c r="AD21" s="36">
        <v>1.28</v>
      </c>
      <c r="AE21" s="36">
        <v>1.29</v>
      </c>
      <c r="AF21" s="36">
        <v>1.3</v>
      </c>
      <c r="AG21" s="36">
        <v>1.31</v>
      </c>
      <c r="AH21" s="36">
        <v>1.32</v>
      </c>
      <c r="AI21" s="36">
        <v>1.33</v>
      </c>
      <c r="AJ21" s="36">
        <v>1.34</v>
      </c>
      <c r="AK21" s="36">
        <v>1.35</v>
      </c>
      <c r="AL21" s="36">
        <v>1.36</v>
      </c>
      <c r="AM21" s="36">
        <v>1.37</v>
      </c>
      <c r="AN21" s="36">
        <v>1.38</v>
      </c>
      <c r="AO21" s="36">
        <v>1.39</v>
      </c>
      <c r="AP21" s="36">
        <v>1.4</v>
      </c>
      <c r="AQ21" s="36">
        <v>1.41</v>
      </c>
      <c r="AR21" s="36">
        <v>1.42</v>
      </c>
      <c r="AS21" s="36">
        <v>1.43</v>
      </c>
      <c r="AT21" s="36">
        <v>1.44</v>
      </c>
      <c r="AU21" s="36">
        <v>1.45</v>
      </c>
      <c r="AV21" s="36">
        <v>1.46</v>
      </c>
      <c r="AW21" s="36">
        <v>1.47</v>
      </c>
      <c r="AX21" s="36">
        <v>1.48</v>
      </c>
      <c r="AY21" s="36">
        <v>1.49</v>
      </c>
      <c r="AZ21" s="36">
        <v>1.5</v>
      </c>
      <c r="BA21" s="36">
        <v>1.51</v>
      </c>
      <c r="BB21" s="36">
        <v>1.52</v>
      </c>
      <c r="BC21" s="36">
        <v>1.53</v>
      </c>
      <c r="BD21" s="36">
        <v>1.54</v>
      </c>
      <c r="BE21" s="36">
        <v>1.55</v>
      </c>
      <c r="BF21" s="36">
        <v>1.56</v>
      </c>
      <c r="BG21" s="36">
        <v>1.57</v>
      </c>
      <c r="BH21" s="36">
        <v>1.58</v>
      </c>
      <c r="BI21" s="36">
        <v>1.59</v>
      </c>
      <c r="BJ21" s="36">
        <v>1.6</v>
      </c>
      <c r="BK21" s="36">
        <v>1.61</v>
      </c>
      <c r="BL21" s="36">
        <v>1.62</v>
      </c>
      <c r="BM21" s="36">
        <v>1.63</v>
      </c>
      <c r="BN21" s="36">
        <v>1.64</v>
      </c>
      <c r="BO21" s="36">
        <v>1.65</v>
      </c>
      <c r="BP21" s="36">
        <v>1.66</v>
      </c>
      <c r="BQ21" s="36">
        <v>1.67</v>
      </c>
      <c r="BR21" s="36">
        <v>1.68</v>
      </c>
      <c r="BS21" s="36">
        <v>1.69</v>
      </c>
      <c r="BT21" s="36">
        <v>1.7</v>
      </c>
      <c r="BU21" s="36">
        <v>1.71</v>
      </c>
      <c r="BV21" s="36">
        <v>1.72</v>
      </c>
      <c r="BW21" s="36">
        <v>1.73</v>
      </c>
      <c r="BX21" s="36">
        <v>1.74</v>
      </c>
      <c r="BY21" s="36">
        <v>1.75</v>
      </c>
      <c r="BZ21" s="36">
        <v>1.76</v>
      </c>
      <c r="CA21" s="36">
        <v>1.77</v>
      </c>
      <c r="CB21" s="36">
        <v>1.78</v>
      </c>
      <c r="CC21" s="36">
        <v>1.79</v>
      </c>
      <c r="CD21" s="36">
        <v>1.8</v>
      </c>
      <c r="CE21" s="36">
        <v>1.81</v>
      </c>
      <c r="CF21" s="36">
        <v>1.82</v>
      </c>
      <c r="CG21" s="36">
        <v>1.83</v>
      </c>
      <c r="CH21" s="36">
        <v>1.84</v>
      </c>
      <c r="CI21" s="36">
        <v>1.85</v>
      </c>
      <c r="CJ21" s="36">
        <v>1.86</v>
      </c>
      <c r="CK21" s="36">
        <v>1.87</v>
      </c>
      <c r="CL21" s="36">
        <v>1.88</v>
      </c>
      <c r="CM21" s="36">
        <v>1.89</v>
      </c>
      <c r="CN21" s="36">
        <v>1.9</v>
      </c>
      <c r="CO21" s="36">
        <v>1.91</v>
      </c>
      <c r="CP21" s="36">
        <v>1.92</v>
      </c>
      <c r="CQ21" s="36">
        <v>1.93</v>
      </c>
      <c r="CR21" s="36">
        <v>1.94</v>
      </c>
      <c r="CS21" s="36">
        <v>1.95</v>
      </c>
      <c r="CT21" s="36">
        <v>1.96</v>
      </c>
      <c r="CU21" s="36">
        <v>1.97</v>
      </c>
      <c r="CV21" s="36">
        <v>1.98</v>
      </c>
      <c r="CW21" s="36">
        <v>1.99</v>
      </c>
      <c r="CX21" s="36">
        <v>2</v>
      </c>
      <c r="CY21" s="36">
        <v>2.0099999999999998</v>
      </c>
      <c r="CZ21" s="36">
        <v>2.02</v>
      </c>
      <c r="DA21" s="36">
        <v>2.0299999999999998</v>
      </c>
      <c r="DB21" s="36">
        <v>2.04</v>
      </c>
      <c r="DC21" s="36">
        <v>2.0499999999999998</v>
      </c>
      <c r="DD21" s="36">
        <v>2.06</v>
      </c>
      <c r="DE21" s="36">
        <v>2.0699999999999998</v>
      </c>
      <c r="DF21" s="36">
        <v>2.08</v>
      </c>
      <c r="DG21" s="36">
        <v>2.09</v>
      </c>
      <c r="DH21" s="36">
        <v>2.1</v>
      </c>
      <c r="DI21" s="36">
        <v>2.11</v>
      </c>
      <c r="DJ21" s="36">
        <v>2.12</v>
      </c>
      <c r="DK21" s="36">
        <v>2.13</v>
      </c>
      <c r="DL21" s="36">
        <v>2.14</v>
      </c>
      <c r="DM21" s="36">
        <v>2.15</v>
      </c>
      <c r="DN21" s="36">
        <v>2.16</v>
      </c>
      <c r="DO21" s="36">
        <v>2.17</v>
      </c>
      <c r="DP21" s="36">
        <v>2.1800000000000002</v>
      </c>
      <c r="DQ21" s="36">
        <v>2.19</v>
      </c>
      <c r="DR21" s="36">
        <v>2.2000000000000002</v>
      </c>
      <c r="DS21" s="36">
        <v>2.21</v>
      </c>
      <c r="DT21" s="36">
        <v>2.2200000000000002</v>
      </c>
      <c r="DU21" s="36">
        <v>2.23</v>
      </c>
      <c r="DV21" s="36">
        <v>2.2400000000000002</v>
      </c>
      <c r="DW21" s="36">
        <v>2.25</v>
      </c>
      <c r="DX21" s="36">
        <v>2.2599999999999998</v>
      </c>
      <c r="DY21" s="36">
        <v>2.27</v>
      </c>
      <c r="DZ21" s="36">
        <v>2.2799999999999998</v>
      </c>
      <c r="EA21" s="36">
        <v>2.29</v>
      </c>
      <c r="EB21" s="36">
        <v>2.2999999999999998</v>
      </c>
      <c r="EC21" s="36">
        <v>2.31</v>
      </c>
      <c r="ED21" s="36">
        <v>2.3199999999999998</v>
      </c>
      <c r="EE21" s="36">
        <v>2.33</v>
      </c>
      <c r="EF21" s="36">
        <v>2.34</v>
      </c>
      <c r="EG21" s="36">
        <v>2.35</v>
      </c>
      <c r="EH21" s="36">
        <v>2.36</v>
      </c>
      <c r="EI21" s="36">
        <v>2.37</v>
      </c>
      <c r="EJ21" s="36">
        <v>2.38</v>
      </c>
      <c r="EK21" s="36">
        <v>2.39</v>
      </c>
      <c r="EL21" s="36">
        <v>2.4</v>
      </c>
      <c r="EM21" s="36">
        <v>2.41</v>
      </c>
      <c r="EN21" s="36">
        <v>2.42</v>
      </c>
      <c r="EO21" s="36">
        <v>2.4300000000000002</v>
      </c>
      <c r="EP21" s="36">
        <v>2.44</v>
      </c>
      <c r="EQ21" s="36">
        <v>2.4500000000000002</v>
      </c>
      <c r="ER21" s="36">
        <v>2.46</v>
      </c>
      <c r="ES21" s="36">
        <v>2.4700000000000002</v>
      </c>
      <c r="ET21" s="36">
        <v>2.48</v>
      </c>
      <c r="EU21" s="36">
        <v>2.4900000000000002</v>
      </c>
      <c r="EV21" s="36">
        <v>2.5</v>
      </c>
    </row>
    <row r="22" spans="1:153" x14ac:dyDescent="0.3">
      <c r="B22" t="s">
        <v>86</v>
      </c>
      <c r="C22" t="s">
        <v>88</v>
      </c>
    </row>
    <row r="23" spans="1:153" x14ac:dyDescent="0.3">
      <c r="C23" t="s">
        <v>87</v>
      </c>
      <c r="D23" s="9" t="s">
        <v>102</v>
      </c>
      <c r="E23">
        <f>1.5+(0.1*C1)</f>
        <v>2</v>
      </c>
    </row>
    <row r="24" spans="1:153" x14ac:dyDescent="0.3">
      <c r="A24" s="41" t="s">
        <v>110</v>
      </c>
      <c r="B24" s="41"/>
      <c r="C24" s="41"/>
      <c r="D24" s="41"/>
      <c r="E24" s="41"/>
      <c r="F24" s="41"/>
      <c r="G24" s="41"/>
      <c r="H24" s="41"/>
      <c r="I24" s="40"/>
    </row>
    <row r="25" spans="1:153" x14ac:dyDescent="0.3">
      <c r="D25" s="9" t="s">
        <v>111</v>
      </c>
      <c r="E25">
        <f>C8*E23</f>
        <v>500</v>
      </c>
      <c r="F25" t="s">
        <v>96</v>
      </c>
    </row>
    <row r="26" spans="1:153" x14ac:dyDescent="0.3">
      <c r="D26" s="9" t="s">
        <v>103</v>
      </c>
      <c r="E26">
        <f>(C9/C7)*POWER(E25,C6)</f>
        <v>2.2360679774997897E-2</v>
      </c>
      <c r="F26" t="s">
        <v>94</v>
      </c>
    </row>
    <row r="27" spans="1:153" x14ac:dyDescent="0.3">
      <c r="D27" s="9" t="s">
        <v>104</v>
      </c>
      <c r="E27">
        <f>E26*POWER(E23,C6)</f>
        <v>3.1622776601683798E-2</v>
      </c>
      <c r="F27" t="s">
        <v>94</v>
      </c>
    </row>
    <row r="28" spans="1:153" x14ac:dyDescent="0.3">
      <c r="D28" s="9" t="s">
        <v>112</v>
      </c>
      <c r="E28">
        <f>E27-E26</f>
        <v>9.2620968266859012E-3</v>
      </c>
      <c r="F28" t="s">
        <v>94</v>
      </c>
    </row>
  </sheetData>
  <mergeCells count="1">
    <mergeCell ref="A2:J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659A-A1DD-42B2-AD67-141CA9182822}">
  <dimension ref="A1:R35"/>
  <sheetViews>
    <sheetView zoomScale="69" workbookViewId="0">
      <selection activeCell="B1" sqref="B1"/>
    </sheetView>
  </sheetViews>
  <sheetFormatPr defaultRowHeight="14.4" x14ac:dyDescent="0.3"/>
  <cols>
    <col min="1" max="1" width="25.44140625" customWidth="1"/>
    <col min="2" max="2" width="13" customWidth="1"/>
    <col min="4" max="4" width="9.6640625" customWidth="1"/>
  </cols>
  <sheetData>
    <row r="1" spans="1:14" ht="43.95" customHeight="1" thickBot="1" x14ac:dyDescent="0.35">
      <c r="A1" s="66" t="s">
        <v>113</v>
      </c>
      <c r="B1" s="67" t="s">
        <v>20</v>
      </c>
      <c r="C1" s="6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15" thickBot="1" x14ac:dyDescent="0.35">
      <c r="A2" s="54" t="s">
        <v>144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3">
      <c r="B3" s="9" t="s">
        <v>114</v>
      </c>
      <c r="C3" s="51">
        <v>5</v>
      </c>
    </row>
    <row r="4" spans="1:14" x14ac:dyDescent="0.3">
      <c r="B4" s="9" t="s">
        <v>12</v>
      </c>
      <c r="C4" s="51">
        <f>4.8+(C3*0.5)</f>
        <v>7.3</v>
      </c>
      <c r="D4" t="s">
        <v>115</v>
      </c>
    </row>
    <row r="5" spans="1:14" x14ac:dyDescent="0.3">
      <c r="B5" s="9" t="s">
        <v>117</v>
      </c>
      <c r="C5" s="52">
        <f>3600/(C4*1000)</f>
        <v>0.49315068493150682</v>
      </c>
      <c r="D5" t="s">
        <v>122</v>
      </c>
    </row>
    <row r="6" spans="1:14" x14ac:dyDescent="0.3">
      <c r="B6" s="9" t="s">
        <v>116</v>
      </c>
      <c r="C6" s="52">
        <f>C5/3</f>
        <v>0.16438356164383561</v>
      </c>
      <c r="D6" t="s">
        <v>119</v>
      </c>
    </row>
    <row r="7" spans="1:14" x14ac:dyDescent="0.3">
      <c r="B7" s="9" t="s">
        <v>120</v>
      </c>
      <c r="C7" s="52">
        <f>C6/4</f>
        <v>4.1095890410958902E-2</v>
      </c>
      <c r="D7" t="s">
        <v>119</v>
      </c>
    </row>
    <row r="8" spans="1:14" x14ac:dyDescent="0.3">
      <c r="B8" s="9" t="s">
        <v>121</v>
      </c>
      <c r="C8" s="52">
        <f>C6/2</f>
        <v>8.2191780821917804E-2</v>
      </c>
      <c r="D8" t="s">
        <v>119</v>
      </c>
    </row>
    <row r="9" spans="1:14" x14ac:dyDescent="0.3">
      <c r="B9" s="9" t="s">
        <v>118</v>
      </c>
      <c r="C9" s="51">
        <v>1</v>
      </c>
    </row>
    <row r="10" spans="1:14" x14ac:dyDescent="0.3">
      <c r="B10" s="9" t="s">
        <v>123</v>
      </c>
      <c r="C10" s="51">
        <v>0.84</v>
      </c>
      <c r="D10" t="s">
        <v>58</v>
      </c>
    </row>
    <row r="11" spans="1:14" x14ac:dyDescent="0.3">
      <c r="B11" s="9" t="s">
        <v>92</v>
      </c>
      <c r="C11" s="51">
        <f>0.2*C10</f>
        <v>0.16800000000000001</v>
      </c>
      <c r="D11" t="s">
        <v>58</v>
      </c>
    </row>
    <row r="12" spans="1:14" x14ac:dyDescent="0.3">
      <c r="B12" s="9" t="s">
        <v>100</v>
      </c>
      <c r="C12" s="51">
        <v>1.4999999999999999E-2</v>
      </c>
      <c r="D12" t="s">
        <v>58</v>
      </c>
    </row>
    <row r="13" spans="1:14" x14ac:dyDescent="0.3">
      <c r="B13" s="9" t="s">
        <v>124</v>
      </c>
      <c r="C13" s="51">
        <v>0.75</v>
      </c>
    </row>
    <row r="14" spans="1:14" x14ac:dyDescent="0.3">
      <c r="B14" s="9" t="s">
        <v>125</v>
      </c>
      <c r="C14" s="51">
        <v>0.2</v>
      </c>
    </row>
    <row r="15" spans="1:14" x14ac:dyDescent="0.3">
      <c r="B15" s="9" t="s">
        <v>126</v>
      </c>
      <c r="C15" s="51">
        <v>2.5000000000000001E-2</v>
      </c>
      <c r="D15" t="s">
        <v>58</v>
      </c>
    </row>
    <row r="16" spans="1:14" x14ac:dyDescent="0.3">
      <c r="B16" s="9" t="s">
        <v>127</v>
      </c>
      <c r="C16" s="51">
        <v>0.02</v>
      </c>
      <c r="D16" s="45" t="s">
        <v>58</v>
      </c>
    </row>
    <row r="17" spans="1:10" x14ac:dyDescent="0.3">
      <c r="B17" s="9" t="s">
        <v>128</v>
      </c>
      <c r="C17" s="51">
        <v>0.04</v>
      </c>
      <c r="D17" s="45" t="s">
        <v>58</v>
      </c>
    </row>
    <row r="18" spans="1:10" x14ac:dyDescent="0.3">
      <c r="B18" s="9" t="s">
        <v>129</v>
      </c>
      <c r="C18" s="51">
        <v>0.08</v>
      </c>
      <c r="D18" s="45" t="s">
        <v>58</v>
      </c>
    </row>
    <row r="19" spans="1:10" x14ac:dyDescent="0.3">
      <c r="B19" s="9" t="s">
        <v>130</v>
      </c>
      <c r="C19" s="51">
        <v>0.45</v>
      </c>
      <c r="D19" s="45" t="s">
        <v>133</v>
      </c>
    </row>
    <row r="20" spans="1:10" x14ac:dyDescent="0.3">
      <c r="B20" s="9" t="s">
        <v>131</v>
      </c>
      <c r="C20" s="51">
        <v>0.3</v>
      </c>
      <c r="D20" s="45" t="s">
        <v>133</v>
      </c>
    </row>
    <row r="21" spans="1:10" x14ac:dyDescent="0.3">
      <c r="B21" s="9" t="s">
        <v>132</v>
      </c>
      <c r="C21" s="51">
        <f>1.6*C19</f>
        <v>0.72000000000000008</v>
      </c>
      <c r="D21" s="45" t="s">
        <v>133</v>
      </c>
    </row>
    <row r="22" spans="1:10" x14ac:dyDescent="0.3">
      <c r="B22" s="9" t="s">
        <v>134</v>
      </c>
      <c r="C22" s="51">
        <v>0.9</v>
      </c>
    </row>
    <row r="23" spans="1:10" x14ac:dyDescent="0.3">
      <c r="B23" s="9" t="s">
        <v>135</v>
      </c>
      <c r="C23" s="51">
        <v>0.85</v>
      </c>
    </row>
    <row r="24" spans="1:10" ht="15" thickBot="1" x14ac:dyDescent="0.35">
      <c r="A24" s="33"/>
      <c r="B24" s="34" t="s">
        <v>140</v>
      </c>
      <c r="C24" s="53">
        <f>C7+C8</f>
        <v>0.12328767123287671</v>
      </c>
      <c r="D24" s="33" t="s">
        <v>119</v>
      </c>
      <c r="E24" s="33"/>
      <c r="F24" s="33"/>
      <c r="G24" s="33"/>
      <c r="H24" s="33"/>
      <c r="I24" s="33"/>
      <c r="J24" s="33"/>
    </row>
    <row r="25" spans="1:10" x14ac:dyDescent="0.3">
      <c r="B25" s="58" t="s">
        <v>136</v>
      </c>
      <c r="C25" s="52">
        <f>C6+((C10+C15)/C19)</f>
        <v>2.0866057838660579</v>
      </c>
      <c r="D25" s="70" t="s">
        <v>119</v>
      </c>
      <c r="E25" s="20" t="s">
        <v>150</v>
      </c>
      <c r="F25" s="20"/>
      <c r="G25" s="107" t="s">
        <v>149</v>
      </c>
      <c r="H25" s="107"/>
      <c r="I25" s="107"/>
      <c r="J25" s="107"/>
    </row>
    <row r="26" spans="1:10" ht="15" thickBot="1" x14ac:dyDescent="0.35">
      <c r="B26" s="59" t="s">
        <v>137</v>
      </c>
      <c r="C26" s="52">
        <f>C6*C22+((C10+C15)/C21)</f>
        <v>1.349334094368341</v>
      </c>
      <c r="D26" s="10" t="s">
        <v>119</v>
      </c>
      <c r="E26" s="71" t="s">
        <v>148</v>
      </c>
      <c r="F26" s="18"/>
      <c r="G26" s="108"/>
      <c r="H26" s="108"/>
      <c r="I26" s="108"/>
      <c r="J26" s="108"/>
    </row>
    <row r="27" spans="1:10" x14ac:dyDescent="0.3">
      <c r="B27" s="59" t="s">
        <v>138</v>
      </c>
      <c r="C27" s="52">
        <f>C24+((C11+C16)/C19)</f>
        <v>0.54106544901065445</v>
      </c>
      <c r="D27" s="10" t="s">
        <v>119</v>
      </c>
      <c r="E27" s="72" t="s">
        <v>145</v>
      </c>
      <c r="F27" s="12"/>
      <c r="G27" s="12"/>
      <c r="H27" s="107" t="s">
        <v>147</v>
      </c>
      <c r="I27" s="107"/>
      <c r="J27" s="107"/>
    </row>
    <row r="28" spans="1:10" ht="15" thickBot="1" x14ac:dyDescent="0.35">
      <c r="B28" s="60" t="s">
        <v>139</v>
      </c>
      <c r="C28" s="52">
        <f>(C24*C23)+((C11+C16)/C21)</f>
        <v>0.36590563165905626</v>
      </c>
      <c r="D28" s="10" t="s">
        <v>119</v>
      </c>
      <c r="E28" s="71" t="s">
        <v>146</v>
      </c>
      <c r="F28" s="18"/>
      <c r="G28" s="18"/>
      <c r="H28" s="108"/>
      <c r="I28" s="108"/>
      <c r="J28" s="108"/>
    </row>
    <row r="29" spans="1:10" x14ac:dyDescent="0.3">
      <c r="B29" s="55" t="s">
        <v>141</v>
      </c>
      <c r="C29" s="56">
        <f>C6/(1-0.5*C14-(((C10+C17)*C13)/(C9*C10)))</f>
        <v>1.4383561643835625</v>
      </c>
      <c r="D29" s="56" t="s">
        <v>119</v>
      </c>
    </row>
    <row r="30" spans="1:10" x14ac:dyDescent="0.3">
      <c r="B30" s="57" t="s">
        <v>142</v>
      </c>
      <c r="C30" s="50">
        <f>C7/(1-0.5*C14-(((C10+C18)*C13)/(C9*C10)))</f>
        <v>0.5230386052303857</v>
      </c>
      <c r="D30" s="50" t="s">
        <v>119</v>
      </c>
    </row>
    <row r="31" spans="1:10" x14ac:dyDescent="0.3">
      <c r="B31" s="48" t="s">
        <v>143</v>
      </c>
      <c r="C31" s="49">
        <f>(C8+C7)/(1-0.5*C14-(((C10-C11+C12+C16)*C13)/(C9*C10)))</f>
        <v>0.4587448231920993</v>
      </c>
      <c r="D31" s="49" t="s">
        <v>119</v>
      </c>
    </row>
    <row r="33" spans="1:18" x14ac:dyDescent="0.3">
      <c r="B33" s="46" t="s">
        <v>139</v>
      </c>
      <c r="C33" s="47" t="s">
        <v>138</v>
      </c>
      <c r="D33" s="68" t="s">
        <v>137</v>
      </c>
      <c r="E33" s="68" t="s">
        <v>136</v>
      </c>
      <c r="P33" s="70"/>
      <c r="Q33" s="70"/>
    </row>
    <row r="34" spans="1:18" ht="15" thickBot="1" x14ac:dyDescent="0.35">
      <c r="A34" s="33"/>
      <c r="B34" s="61">
        <f>(C24*C23)+((C11+C16)/C21)</f>
        <v>0.36590563165905626</v>
      </c>
      <c r="C34" s="62">
        <f>C24+((C11+C16)/C19)</f>
        <v>0.54106544901065445</v>
      </c>
      <c r="D34" s="69">
        <f>C6*C22+((C10+C15)/C21)</f>
        <v>1.349334094368341</v>
      </c>
      <c r="E34" s="69">
        <f>C6+((C10+C15)/C19)</f>
        <v>2.0866057838660579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70"/>
    </row>
    <row r="35" spans="1:18" ht="15" thickBot="1" x14ac:dyDescent="0.35">
      <c r="A35" s="63" t="s">
        <v>151</v>
      </c>
      <c r="B35" s="64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33"/>
      <c r="Q35" s="33"/>
      <c r="R35" s="70"/>
    </row>
  </sheetData>
  <mergeCells count="2">
    <mergeCell ref="H27:J28"/>
    <mergeCell ref="G25:J26"/>
  </mergeCells>
  <phoneticPr fontId="10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440E-15AD-4FC0-8258-2C0DCC3D7B38}">
  <dimension ref="A1:F25"/>
  <sheetViews>
    <sheetView zoomScale="69" workbookViewId="0">
      <selection activeCell="C19" sqref="C19"/>
    </sheetView>
  </sheetViews>
  <sheetFormatPr defaultRowHeight="14.4" x14ac:dyDescent="0.3"/>
  <cols>
    <col min="4" max="4" width="10.5546875" customWidth="1"/>
    <col min="5" max="5" width="10" customWidth="1"/>
    <col min="6" max="6" width="10.88671875" customWidth="1"/>
  </cols>
  <sheetData>
    <row r="1" spans="1:5" ht="45.6" customHeight="1" x14ac:dyDescent="0.3">
      <c r="A1" s="109" t="s">
        <v>152</v>
      </c>
      <c r="B1" s="109"/>
      <c r="C1" s="109"/>
      <c r="D1" s="2" t="s">
        <v>20</v>
      </c>
    </row>
    <row r="2" spans="1:5" x14ac:dyDescent="0.3">
      <c r="A2" t="s">
        <v>153</v>
      </c>
    </row>
    <row r="3" spans="1:5" x14ac:dyDescent="0.3">
      <c r="A3" t="s">
        <v>154</v>
      </c>
      <c r="B3">
        <v>1.5</v>
      </c>
      <c r="C3" t="s">
        <v>15</v>
      </c>
    </row>
    <row r="4" spans="1:5" x14ac:dyDescent="0.3">
      <c r="A4" s="75" t="s">
        <v>12</v>
      </c>
      <c r="B4">
        <v>140</v>
      </c>
      <c r="C4" t="s">
        <v>16</v>
      </c>
    </row>
    <row r="5" spans="1:5" x14ac:dyDescent="0.3">
      <c r="A5" t="s">
        <v>155</v>
      </c>
      <c r="B5">
        <f>(3.14*B4)/30</f>
        <v>14.653333333333334</v>
      </c>
      <c r="C5" t="s">
        <v>164</v>
      </c>
    </row>
    <row r="6" spans="1:5" ht="15" thickBot="1" x14ac:dyDescent="0.35">
      <c r="A6" s="33"/>
      <c r="B6" s="33" t="s">
        <v>160</v>
      </c>
      <c r="C6" s="33" t="s">
        <v>161</v>
      </c>
      <c r="D6" s="33" t="s">
        <v>162</v>
      </c>
      <c r="E6" s="33" t="s">
        <v>163</v>
      </c>
    </row>
    <row r="7" spans="1:5" x14ac:dyDescent="0.3">
      <c r="A7" s="9" t="s">
        <v>156</v>
      </c>
      <c r="B7">
        <v>32</v>
      </c>
      <c r="C7" s="73">
        <f>(B7*C8)/B8</f>
        <v>4.3676069153776156E-2</v>
      </c>
      <c r="D7" s="73">
        <f t="shared" ref="D7:D17" si="0">C7*2*1000</f>
        <v>87.352138307552309</v>
      </c>
      <c r="E7">
        <f>2*3.14*C7</f>
        <v>0.2742857142857143</v>
      </c>
    </row>
    <row r="8" spans="1:5" x14ac:dyDescent="0.3">
      <c r="A8" s="9">
        <v>11</v>
      </c>
      <c r="B8">
        <v>30</v>
      </c>
      <c r="C8" s="73">
        <f t="shared" ref="C8:C14" si="1">(B8*C9)/B9</f>
        <v>4.0946314831665144E-2</v>
      </c>
      <c r="D8" s="73">
        <f t="shared" si="0"/>
        <v>81.892629663330283</v>
      </c>
      <c r="E8" s="73">
        <f t="shared" ref="E8:E18" si="2">2*3.14*C8</f>
        <v>0.25714285714285712</v>
      </c>
    </row>
    <row r="9" spans="1:5" x14ac:dyDescent="0.3">
      <c r="A9" s="9">
        <v>10</v>
      </c>
      <c r="B9">
        <v>25</v>
      </c>
      <c r="C9" s="73">
        <f t="shared" si="1"/>
        <v>3.4121929026387623E-2</v>
      </c>
      <c r="D9" s="73">
        <f t="shared" si="0"/>
        <v>68.243858052775252</v>
      </c>
      <c r="E9" s="73">
        <f t="shared" si="2"/>
        <v>0.21428571428571427</v>
      </c>
    </row>
    <row r="10" spans="1:5" x14ac:dyDescent="0.3">
      <c r="A10" s="9">
        <v>9</v>
      </c>
      <c r="B10">
        <v>36</v>
      </c>
      <c r="C10" s="73">
        <f t="shared" si="1"/>
        <v>4.9135577797998174E-2</v>
      </c>
      <c r="D10" s="73">
        <f>C10*2*1000</f>
        <v>98.271155595996348</v>
      </c>
      <c r="E10" s="73">
        <f t="shared" si="2"/>
        <v>0.30857142857142855</v>
      </c>
    </row>
    <row r="11" spans="1:5" ht="15" thickBot="1" x14ac:dyDescent="0.35">
      <c r="A11" s="34">
        <v>8</v>
      </c>
      <c r="B11" s="33">
        <v>25</v>
      </c>
      <c r="C11" s="33">
        <f t="shared" si="1"/>
        <v>3.4121929026387623E-2</v>
      </c>
      <c r="D11" s="33">
        <f t="shared" si="0"/>
        <v>68.243858052775252</v>
      </c>
      <c r="E11" s="33">
        <f t="shared" si="2"/>
        <v>0.21428571428571427</v>
      </c>
    </row>
    <row r="12" spans="1:5" x14ac:dyDescent="0.3">
      <c r="A12" s="9" t="s">
        <v>158</v>
      </c>
      <c r="B12">
        <v>30</v>
      </c>
      <c r="C12" s="73">
        <f t="shared" si="1"/>
        <v>4.0946314831665144E-2</v>
      </c>
      <c r="D12" s="73">
        <f t="shared" si="0"/>
        <v>81.892629663330283</v>
      </c>
      <c r="E12" s="73">
        <f t="shared" si="2"/>
        <v>0.25714285714285712</v>
      </c>
    </row>
    <row r="13" spans="1:5" x14ac:dyDescent="0.3">
      <c r="A13" s="9">
        <v>6</v>
      </c>
      <c r="B13">
        <v>35</v>
      </c>
      <c r="C13" s="73">
        <f t="shared" si="1"/>
        <v>4.7770700636942671E-2</v>
      </c>
      <c r="D13" s="73">
        <f t="shared" si="0"/>
        <v>95.541401273885342</v>
      </c>
      <c r="E13" s="73">
        <f t="shared" si="2"/>
        <v>0.3</v>
      </c>
    </row>
    <row r="14" spans="1:5" ht="15" thickBot="1" x14ac:dyDescent="0.35">
      <c r="A14" s="34">
        <v>5</v>
      </c>
      <c r="B14" s="33">
        <v>33</v>
      </c>
      <c r="C14" s="33">
        <f t="shared" si="1"/>
        <v>4.5040946314831666E-2</v>
      </c>
      <c r="D14" s="33">
        <f t="shared" si="0"/>
        <v>90.081892629663329</v>
      </c>
      <c r="E14" s="33">
        <f t="shared" si="2"/>
        <v>0.28285714285714286</v>
      </c>
    </row>
    <row r="15" spans="1:5" x14ac:dyDescent="0.3">
      <c r="A15" s="9" t="s">
        <v>157</v>
      </c>
      <c r="B15">
        <v>45</v>
      </c>
      <c r="C15">
        <f>(B15*C16)/B16</f>
        <v>6.1419472247497726E-2</v>
      </c>
      <c r="D15" s="73">
        <f t="shared" si="0"/>
        <v>122.83894449499546</v>
      </c>
      <c r="E15" s="73">
        <f t="shared" si="2"/>
        <v>0.38571428571428573</v>
      </c>
    </row>
    <row r="16" spans="1:5" x14ac:dyDescent="0.3">
      <c r="A16" s="9">
        <v>3</v>
      </c>
      <c r="B16">
        <v>44</v>
      </c>
      <c r="C16">
        <f>(B16*C17)/B17</f>
        <v>6.0054595086442217E-2</v>
      </c>
      <c r="D16" s="73">
        <f t="shared" si="0"/>
        <v>120.10919017288444</v>
      </c>
      <c r="E16" s="73">
        <f t="shared" si="2"/>
        <v>0.37714285714285711</v>
      </c>
    </row>
    <row r="17" spans="1:6" ht="15" thickBot="1" x14ac:dyDescent="0.35">
      <c r="A17" s="34">
        <v>2</v>
      </c>
      <c r="B17" s="33">
        <v>42</v>
      </c>
      <c r="C17" s="33">
        <f>(B17*C18)/B18</f>
        <v>5.7324840764331204E-2</v>
      </c>
      <c r="D17" s="33">
        <f t="shared" si="0"/>
        <v>114.64968152866241</v>
      </c>
      <c r="E17" s="33">
        <f t="shared" si="2"/>
        <v>0.36</v>
      </c>
    </row>
    <row r="18" spans="1:6" x14ac:dyDescent="0.3">
      <c r="A18" s="9" t="s">
        <v>159</v>
      </c>
      <c r="B18">
        <v>75</v>
      </c>
      <c r="C18">
        <f>B3/B5</f>
        <v>0.10236578707916287</v>
      </c>
      <c r="D18">
        <f>C18*2*1000</f>
        <v>204.73157415832574</v>
      </c>
      <c r="E18" s="73">
        <f t="shared" si="2"/>
        <v>0.6428571428571429</v>
      </c>
    </row>
    <row r="20" spans="1:6" x14ac:dyDescent="0.3">
      <c r="A20" t="s">
        <v>165</v>
      </c>
      <c r="B20" s="73" t="s">
        <v>166</v>
      </c>
      <c r="C20" s="73" t="s">
        <v>168</v>
      </c>
      <c r="D20" t="s">
        <v>167</v>
      </c>
      <c r="E20" t="s">
        <v>169</v>
      </c>
      <c r="F20" t="s">
        <v>170</v>
      </c>
    </row>
    <row r="21" spans="1:6" x14ac:dyDescent="0.3">
      <c r="A21" s="43">
        <f>SUM(E15:E17)/0.54</f>
        <v>2.0793650793650791</v>
      </c>
      <c r="B21" s="43">
        <f>SUM(E7:E11)/0.54</f>
        <v>2.3492063492063489</v>
      </c>
      <c r="C21" s="43">
        <f>A21+B21</f>
        <v>4.4285714285714279</v>
      </c>
      <c r="D21" s="43">
        <f>SUM(E12:E14)/0.54</f>
        <v>1.5555555555555556</v>
      </c>
      <c r="E21" s="43">
        <f>SUM(E7:E17)/0.54</f>
        <v>5.9841269841269833</v>
      </c>
      <c r="F21">
        <v>9</v>
      </c>
    </row>
    <row r="23" spans="1:6" ht="14.4" customHeight="1" x14ac:dyDescent="0.3">
      <c r="A23" s="109" t="s">
        <v>171</v>
      </c>
      <c r="B23" s="109"/>
      <c r="C23" s="109"/>
      <c r="D23" s="109"/>
      <c r="E23" s="109"/>
      <c r="F23" s="109"/>
    </row>
    <row r="24" spans="1:6" x14ac:dyDescent="0.3">
      <c r="A24" s="109"/>
      <c r="B24" s="109"/>
      <c r="C24" s="109"/>
      <c r="D24" s="109"/>
      <c r="E24" s="109"/>
      <c r="F24" s="109"/>
    </row>
    <row r="25" spans="1:6" x14ac:dyDescent="0.3">
      <c r="A25" s="109"/>
      <c r="B25" s="109"/>
      <c r="C25" s="109"/>
      <c r="D25" s="109"/>
      <c r="E25" s="109"/>
      <c r="F25" s="109"/>
    </row>
  </sheetData>
  <mergeCells count="2">
    <mergeCell ref="A1:C1"/>
    <mergeCell ref="A23:F2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D908-6420-446C-8FA4-16F2A97A46CB}">
  <dimension ref="A1:S30"/>
  <sheetViews>
    <sheetView topLeftCell="A9" workbookViewId="0">
      <selection activeCell="B22" sqref="B22"/>
    </sheetView>
  </sheetViews>
  <sheetFormatPr defaultRowHeight="14.4" x14ac:dyDescent="0.3"/>
  <cols>
    <col min="1" max="1" width="24.33203125" customWidth="1"/>
    <col min="2" max="2" width="9.33203125" customWidth="1"/>
    <col min="4" max="4" width="11" bestFit="1" customWidth="1"/>
  </cols>
  <sheetData>
    <row r="1" spans="1:19" ht="54.6" customHeight="1" x14ac:dyDescent="0.3">
      <c r="A1" s="74" t="s">
        <v>172</v>
      </c>
      <c r="B1" s="2" t="s">
        <v>20</v>
      </c>
    </row>
    <row r="2" spans="1:19" x14ac:dyDescent="0.3">
      <c r="A2" s="110" t="s">
        <v>173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</row>
    <row r="3" spans="1:19" x14ac:dyDescent="0.3">
      <c r="A3" s="76" t="s">
        <v>188</v>
      </c>
      <c r="B3">
        <v>0.9</v>
      </c>
      <c r="C3" t="s">
        <v>58</v>
      </c>
    </row>
    <row r="4" spans="1:19" x14ac:dyDescent="0.3">
      <c r="A4" s="9" t="s">
        <v>123</v>
      </c>
      <c r="B4">
        <v>0.75</v>
      </c>
      <c r="C4" t="s">
        <v>58</v>
      </c>
    </row>
    <row r="5" spans="1:19" x14ac:dyDescent="0.3">
      <c r="A5" s="9" t="s">
        <v>185</v>
      </c>
      <c r="B5">
        <v>0.14000000000000001</v>
      </c>
      <c r="C5" t="s">
        <v>58</v>
      </c>
    </row>
    <row r="6" spans="1:19" x14ac:dyDescent="0.3">
      <c r="A6" s="77" t="s">
        <v>177</v>
      </c>
      <c r="B6">
        <v>0.11</v>
      </c>
      <c r="C6" t="s">
        <v>201</v>
      </c>
    </row>
    <row r="7" spans="1:19" x14ac:dyDescent="0.3">
      <c r="A7" s="9" t="s">
        <v>176</v>
      </c>
      <c r="B7">
        <v>18000</v>
      </c>
      <c r="C7" t="s">
        <v>202</v>
      </c>
    </row>
    <row r="8" spans="1:19" x14ac:dyDescent="0.3">
      <c r="A8" s="9" t="s">
        <v>178</v>
      </c>
      <c r="B8">
        <f>1.5*B7*B4</f>
        <v>20250</v>
      </c>
      <c r="C8" t="s">
        <v>203</v>
      </c>
    </row>
    <row r="9" spans="1:19" x14ac:dyDescent="0.3">
      <c r="A9" s="9" t="s">
        <v>108</v>
      </c>
      <c r="B9">
        <f>B4*B10</f>
        <v>17550</v>
      </c>
      <c r="C9" t="s">
        <v>203</v>
      </c>
    </row>
    <row r="10" spans="1:19" x14ac:dyDescent="0.3">
      <c r="A10" s="9" t="s">
        <v>179</v>
      </c>
      <c r="B10">
        <f>1.3*B7</f>
        <v>23400</v>
      </c>
      <c r="C10" t="s">
        <v>202</v>
      </c>
      <c r="E10" s="38" t="s">
        <v>205</v>
      </c>
      <c r="F10">
        <f>18*1.3/900</f>
        <v>2.6000000000000002E-2</v>
      </c>
    </row>
    <row r="11" spans="1:19" x14ac:dyDescent="0.3">
      <c r="A11" s="9" t="s">
        <v>180</v>
      </c>
      <c r="B11">
        <f>(B12+B13)*B14</f>
        <v>350.96386250244149</v>
      </c>
      <c r="C11" t="s">
        <v>183</v>
      </c>
    </row>
    <row r="12" spans="1:19" x14ac:dyDescent="0.3">
      <c r="A12" s="9" t="s">
        <v>182</v>
      </c>
      <c r="B12">
        <f>0.15*B7*B4*B5</f>
        <v>283.5</v>
      </c>
      <c r="C12" t="s">
        <v>183</v>
      </c>
    </row>
    <row r="13" spans="1:19" x14ac:dyDescent="0.3">
      <c r="A13" s="9" t="s">
        <v>181</v>
      </c>
      <c r="B13">
        <f>900*750*0.14*F10^(1+1/B16)/(3.7*B15^(1/B16))</f>
        <v>8.9698854187012511</v>
      </c>
      <c r="C13" t="s">
        <v>183</v>
      </c>
    </row>
    <row r="14" spans="1:19" x14ac:dyDescent="0.3">
      <c r="A14" s="77" t="s">
        <v>184</v>
      </c>
      <c r="B14">
        <v>1.2</v>
      </c>
    </row>
    <row r="15" spans="1:19" x14ac:dyDescent="0.3">
      <c r="A15" s="77" t="s">
        <v>186</v>
      </c>
      <c r="B15">
        <v>2900</v>
      </c>
    </row>
    <row r="16" spans="1:19" x14ac:dyDescent="0.3">
      <c r="A16" s="9" t="s">
        <v>187</v>
      </c>
      <c r="B16">
        <v>2.7</v>
      </c>
    </row>
    <row r="17" spans="1:3" x14ac:dyDescent="0.3">
      <c r="A17" s="77" t="s">
        <v>206</v>
      </c>
      <c r="B17">
        <f>B10/B3</f>
        <v>26000</v>
      </c>
    </row>
    <row r="18" spans="1:3" x14ac:dyDescent="0.3">
      <c r="A18" s="77" t="s">
        <v>40</v>
      </c>
      <c r="B18">
        <f>(B11*B19)/(POWER(10,3)*B20)</f>
        <v>7.3887128947882417</v>
      </c>
      <c r="C18" t="s">
        <v>191</v>
      </c>
    </row>
    <row r="19" spans="1:3" x14ac:dyDescent="0.3">
      <c r="A19" s="77" t="s">
        <v>12</v>
      </c>
      <c r="B19">
        <v>20</v>
      </c>
      <c r="C19" t="s">
        <v>190</v>
      </c>
    </row>
    <row r="20" spans="1:3" x14ac:dyDescent="0.3">
      <c r="A20" s="77" t="s">
        <v>189</v>
      </c>
      <c r="B20">
        <v>0.95</v>
      </c>
    </row>
    <row r="21" spans="1:3" x14ac:dyDescent="0.3">
      <c r="A21" s="77" t="s">
        <v>192</v>
      </c>
      <c r="B21">
        <f>60/B22</f>
        <v>10.495626822157433</v>
      </c>
      <c r="C21" t="s">
        <v>195</v>
      </c>
    </row>
    <row r="22" spans="1:3" x14ac:dyDescent="0.3">
      <c r="A22" s="77" t="s">
        <v>193</v>
      </c>
      <c r="B22">
        <f>B23+B24+B25+B26+B27+B28</f>
        <v>5.7166666666666668</v>
      </c>
      <c r="C22" t="s">
        <v>194</v>
      </c>
    </row>
    <row r="23" spans="1:3" x14ac:dyDescent="0.3">
      <c r="A23" s="77" t="s">
        <v>199</v>
      </c>
      <c r="B23">
        <v>4</v>
      </c>
      <c r="C23" t="s">
        <v>194</v>
      </c>
    </row>
    <row r="24" spans="1:3" x14ac:dyDescent="0.3">
      <c r="A24" s="77" t="s">
        <v>200</v>
      </c>
      <c r="B24">
        <v>1</v>
      </c>
      <c r="C24" t="s">
        <v>194</v>
      </c>
    </row>
    <row r="25" spans="1:3" x14ac:dyDescent="0.3">
      <c r="A25" s="77" t="s">
        <v>196</v>
      </c>
      <c r="B25">
        <f>1/6</f>
        <v>0.16666666666666666</v>
      </c>
      <c r="C25" t="s">
        <v>194</v>
      </c>
    </row>
    <row r="26" spans="1:3" x14ac:dyDescent="0.3">
      <c r="A26" s="77" t="s">
        <v>52</v>
      </c>
      <c r="B26">
        <f>1/B19</f>
        <v>0.05</v>
      </c>
      <c r="C26" t="s">
        <v>194</v>
      </c>
    </row>
    <row r="27" spans="1:3" x14ac:dyDescent="0.3">
      <c r="A27" s="77" t="s">
        <v>197</v>
      </c>
      <c r="B27">
        <f>1/4</f>
        <v>0.25</v>
      </c>
      <c r="C27" t="s">
        <v>194</v>
      </c>
    </row>
    <row r="28" spans="1:3" x14ac:dyDescent="0.3">
      <c r="A28" s="77" t="s">
        <v>198</v>
      </c>
      <c r="B28" s="78">
        <f>1/4</f>
        <v>0.25</v>
      </c>
      <c r="C28" t="s">
        <v>194</v>
      </c>
    </row>
    <row r="30" spans="1:3" x14ac:dyDescent="0.3">
      <c r="A30" s="79" t="s">
        <v>204</v>
      </c>
    </row>
  </sheetData>
  <mergeCells count="1">
    <mergeCell ref="A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F5DA-7344-4B0D-A248-40AD09FFF506}">
  <dimension ref="A1:AB25"/>
  <sheetViews>
    <sheetView tabSelected="1" topLeftCell="A18" zoomScale="78" workbookViewId="0">
      <selection activeCell="A25" sqref="A25:AB25"/>
    </sheetView>
  </sheetViews>
  <sheetFormatPr defaultRowHeight="14.4" x14ac:dyDescent="0.3"/>
  <cols>
    <col min="1" max="1" width="25" customWidth="1"/>
    <col min="2" max="2" width="9.6640625" customWidth="1"/>
    <col min="3" max="3" width="11" customWidth="1"/>
    <col min="4" max="4" width="12.77734375" customWidth="1"/>
    <col min="6" max="6" width="9.77734375" customWidth="1"/>
    <col min="7" max="7" width="9.5546875" customWidth="1"/>
    <col min="10" max="10" width="18.6640625" customWidth="1"/>
  </cols>
  <sheetData>
    <row r="1" spans="1:20" ht="30.6" customHeight="1" x14ac:dyDescent="0.3">
      <c r="A1" s="74" t="s">
        <v>174</v>
      </c>
      <c r="B1" s="2" t="s">
        <v>20</v>
      </c>
    </row>
    <row r="2" spans="1:20" ht="15" thickBot="1" x14ac:dyDescent="0.35">
      <c r="A2" s="110" t="s">
        <v>175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</row>
    <row r="3" spans="1:20" ht="15" customHeight="1" thickBot="1" x14ac:dyDescent="0.35">
      <c r="B3" s="115" t="s">
        <v>207</v>
      </c>
      <c r="C3" s="113" t="s">
        <v>208</v>
      </c>
      <c r="D3" s="118"/>
      <c r="E3" s="114"/>
      <c r="F3" s="115" t="s">
        <v>207</v>
      </c>
      <c r="G3" s="113" t="s">
        <v>208</v>
      </c>
      <c r="H3" s="118"/>
      <c r="I3" s="114"/>
    </row>
    <row r="4" spans="1:20" ht="66.599999999999994" thickBot="1" x14ac:dyDescent="0.35">
      <c r="B4" s="116"/>
      <c r="C4" s="82" t="s">
        <v>209</v>
      </c>
      <c r="D4" s="82" t="s">
        <v>210</v>
      </c>
      <c r="E4" s="82" t="s">
        <v>211</v>
      </c>
      <c r="F4" s="116"/>
      <c r="G4" s="82" t="s">
        <v>209</v>
      </c>
      <c r="H4" s="82" t="s">
        <v>210</v>
      </c>
      <c r="I4" s="82" t="s">
        <v>211</v>
      </c>
    </row>
    <row r="5" spans="1:20" ht="16.8" customHeight="1" thickBot="1" x14ac:dyDescent="0.35">
      <c r="A5" s="9" t="s">
        <v>215</v>
      </c>
      <c r="B5" s="83" t="s">
        <v>212</v>
      </c>
      <c r="C5" s="84">
        <v>5</v>
      </c>
      <c r="D5" s="84">
        <v>5</v>
      </c>
      <c r="E5" s="84">
        <v>5</v>
      </c>
      <c r="F5" s="86" t="s">
        <v>217</v>
      </c>
      <c r="G5" s="87">
        <v>4</v>
      </c>
      <c r="H5" s="87">
        <v>4</v>
      </c>
      <c r="I5" s="87">
        <v>4</v>
      </c>
    </row>
    <row r="6" spans="1:20" x14ac:dyDescent="0.3">
      <c r="A6" s="9" t="s">
        <v>213</v>
      </c>
      <c r="D6">
        <f>3*D5</f>
        <v>15</v>
      </c>
      <c r="I6">
        <f>6*I5</f>
        <v>24</v>
      </c>
    </row>
    <row r="7" spans="1:20" x14ac:dyDescent="0.3">
      <c r="A7" s="9" t="s">
        <v>214</v>
      </c>
      <c r="D7">
        <f>2*D5</f>
        <v>10</v>
      </c>
      <c r="I7">
        <f>3*I5</f>
        <v>12</v>
      </c>
    </row>
    <row r="8" spans="1:20" x14ac:dyDescent="0.3">
      <c r="A8" s="9" t="s">
        <v>187</v>
      </c>
      <c r="D8">
        <f>D5</f>
        <v>5</v>
      </c>
      <c r="I8">
        <f>2*I5</f>
        <v>8</v>
      </c>
    </row>
    <row r="9" spans="1:20" x14ac:dyDescent="0.3">
      <c r="A9" s="30" t="s">
        <v>123</v>
      </c>
      <c r="B9">
        <v>1</v>
      </c>
    </row>
    <row r="10" spans="1:20" x14ac:dyDescent="0.3">
      <c r="A10" s="30" t="s">
        <v>92</v>
      </c>
      <c r="B10">
        <v>1</v>
      </c>
    </row>
    <row r="11" spans="1:20" x14ac:dyDescent="0.3">
      <c r="A11" s="30" t="s">
        <v>99</v>
      </c>
      <c r="B11">
        <v>0.97</v>
      </c>
    </row>
    <row r="12" spans="1:20" ht="15.6" x14ac:dyDescent="0.3">
      <c r="A12" s="85" t="s">
        <v>179</v>
      </c>
      <c r="B12">
        <v>0.85</v>
      </c>
    </row>
    <row r="13" spans="1:20" x14ac:dyDescent="0.3">
      <c r="A13" s="30" t="s">
        <v>216</v>
      </c>
      <c r="B13">
        <f>80/16</f>
        <v>5</v>
      </c>
      <c r="F13">
        <f>640/32</f>
        <v>20</v>
      </c>
    </row>
    <row r="14" spans="1:20" x14ac:dyDescent="0.3">
      <c r="A14" s="30" t="s">
        <v>12</v>
      </c>
      <c r="B14">
        <v>115</v>
      </c>
      <c r="C14" t="s">
        <v>232</v>
      </c>
      <c r="F14">
        <v>115</v>
      </c>
      <c r="G14" t="s">
        <v>232</v>
      </c>
    </row>
    <row r="15" spans="1:20" x14ac:dyDescent="0.3">
      <c r="A15" s="30" t="s">
        <v>192</v>
      </c>
      <c r="B15">
        <f>60*B14*B10*B11*B12/(B13+B9)</f>
        <v>948.17500000000007</v>
      </c>
      <c r="C15" t="s">
        <v>231</v>
      </c>
      <c r="F15">
        <f>60*F14*B10*B11*B12/(F13+B9)</f>
        <v>270.90714285714284</v>
      </c>
      <c r="G15" t="s">
        <v>231</v>
      </c>
    </row>
    <row r="16" spans="1:20" ht="15" thickBot="1" x14ac:dyDescent="0.35">
      <c r="A16" s="80"/>
      <c r="B16" s="80"/>
      <c r="C16" s="80"/>
      <c r="D16" s="80"/>
      <c r="E16" s="80"/>
    </row>
    <row r="17" spans="1:28" ht="65.400000000000006" customHeight="1" thickBot="1" x14ac:dyDescent="0.35">
      <c r="A17" s="111" t="s">
        <v>218</v>
      </c>
      <c r="B17" s="113" t="s">
        <v>219</v>
      </c>
      <c r="C17" s="114"/>
      <c r="D17" s="115" t="s">
        <v>220</v>
      </c>
      <c r="E17" s="115" t="s">
        <v>221</v>
      </c>
    </row>
    <row r="18" spans="1:28" ht="24" customHeight="1" thickBot="1" x14ac:dyDescent="0.35">
      <c r="A18" s="112"/>
      <c r="B18" s="82" t="s">
        <v>222</v>
      </c>
      <c r="C18" s="82" t="s">
        <v>223</v>
      </c>
      <c r="D18" s="116"/>
      <c r="E18" s="116"/>
    </row>
    <row r="19" spans="1:28" ht="114" customHeight="1" thickBot="1" x14ac:dyDescent="0.35">
      <c r="A19" s="86" t="s">
        <v>225</v>
      </c>
      <c r="B19" s="88" t="s">
        <v>226</v>
      </c>
      <c r="C19" s="88" t="s">
        <v>224</v>
      </c>
      <c r="D19" s="86">
        <v>115</v>
      </c>
      <c r="E19" s="86" t="s">
        <v>227</v>
      </c>
      <c r="F19" s="102"/>
      <c r="G19" s="102"/>
      <c r="H19" s="102"/>
      <c r="I19" s="102"/>
      <c r="J19" s="103"/>
    </row>
    <row r="20" spans="1:28" x14ac:dyDescent="0.3">
      <c r="A20" s="91" t="s">
        <v>228</v>
      </c>
      <c r="B20" s="94">
        <v>80</v>
      </c>
      <c r="C20" s="89">
        <v>640</v>
      </c>
      <c r="D20" s="89"/>
    </row>
    <row r="21" spans="1:28" x14ac:dyDescent="0.3">
      <c r="A21" s="92" t="s">
        <v>235</v>
      </c>
      <c r="B21" s="96">
        <f>80/16</f>
        <v>5</v>
      </c>
      <c r="C21" s="98">
        <f>C20/F13</f>
        <v>32</v>
      </c>
      <c r="D21" s="98"/>
    </row>
    <row r="22" spans="1:28" x14ac:dyDescent="0.3">
      <c r="A22" s="93" t="s">
        <v>229</v>
      </c>
      <c r="B22" s="96">
        <f>SUM(D6:D8)</f>
        <v>30</v>
      </c>
      <c r="C22" s="97">
        <f>SUM(I6:I8)</f>
        <v>44</v>
      </c>
      <c r="D22" s="97"/>
    </row>
    <row r="23" spans="1:28" x14ac:dyDescent="0.3">
      <c r="A23" s="101" t="s">
        <v>233</v>
      </c>
      <c r="B23" s="99">
        <v>19</v>
      </c>
      <c r="C23" s="93" t="s">
        <v>230</v>
      </c>
      <c r="D23" s="100" t="s">
        <v>234</v>
      </c>
    </row>
    <row r="24" spans="1:28" ht="15" thickBot="1" x14ac:dyDescent="0.35">
      <c r="A24" s="90" t="s">
        <v>236</v>
      </c>
      <c r="B24" s="95">
        <f>B21/B15*3600</f>
        <v>18.983837371793179</v>
      </c>
      <c r="C24" s="81">
        <f>C21/F15*3600</f>
        <v>425.23795712816724</v>
      </c>
      <c r="D24" s="81" t="s">
        <v>119</v>
      </c>
    </row>
    <row r="25" spans="1:28" x14ac:dyDescent="0.3">
      <c r="A25" s="117" t="s">
        <v>237</v>
      </c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</row>
  </sheetData>
  <mergeCells count="10">
    <mergeCell ref="A2:T2"/>
    <mergeCell ref="B3:B4"/>
    <mergeCell ref="C3:E3"/>
    <mergeCell ref="F3:F4"/>
    <mergeCell ref="G3:I3"/>
    <mergeCell ref="A17:A18"/>
    <mergeCell ref="B17:C17"/>
    <mergeCell ref="D17:D18"/>
    <mergeCell ref="E17:E18"/>
    <mergeCell ref="A25:AB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2023-02-13T08:40:31Z</dcterms:created>
  <dcterms:modified xsi:type="dcterms:W3CDTF">2023-05-23T08:29:57Z</dcterms:modified>
</cp:coreProperties>
</file>