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WORLD\OneDrive\Desktop\shafaq\"/>
    </mc:Choice>
  </mc:AlternateContent>
  <xr:revisionPtr revIDLastSave="0" documentId="13_ncr:1_{71597CA7-71BE-4BA0-B0BD-F43AE2834826}" xr6:coauthVersionLast="47" xr6:coauthVersionMax="47" xr10:uidLastSave="{00000000-0000-0000-0000-000000000000}"/>
  <bookViews>
    <workbookView xWindow="-120" yWindow="-120" windowWidth="20730" windowHeight="11160" activeTab="6" xr2:uid="{C8A5C393-7037-410E-9F8A-85074FE0A4B3}"/>
  </bookViews>
  <sheets>
    <sheet name="Contents" sheetId="29" r:id="rId1"/>
    <sheet name="Title (2)" sheetId="30" r:id="rId2"/>
    <sheet name="revenues" sheetId="6" r:id="rId3"/>
    <sheet name="P&amp;L" sheetId="9" r:id="rId4"/>
    <sheet name="CapEx" sheetId="10" r:id="rId5"/>
    <sheet name="BS" sheetId="12" r:id="rId6"/>
    <sheet name="debt schedule" sheetId="13" r:id="rId7"/>
    <sheet name="FCFF" sheetId="16" r:id="rId8"/>
    <sheet name="Wacc (2)" sheetId="19" r:id="rId9"/>
    <sheet name="cf" sheetId="14" r:id="rId10"/>
    <sheet name="Regression Beta" sheetId="21" r:id="rId11"/>
    <sheet name="RM" sheetId="27" r:id="rId12"/>
    <sheet name="Cost of Debt" sheetId="23" r:id="rId13"/>
  </sheets>
  <externalReferences>
    <externalReference r:id="rId14"/>
  </externalReferences>
  <definedNames>
    <definedName name="UPDATE">'[1]Data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9" l="1"/>
  <c r="B4" i="29" l="1"/>
  <c r="B5" i="29" s="1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H26" i="16" l="1"/>
  <c r="H25" i="16" s="1"/>
  <c r="H24" i="16" s="1"/>
  <c r="H23" i="16" s="1"/>
  <c r="D29" i="16"/>
  <c r="D27" i="16"/>
  <c r="D25" i="16"/>
  <c r="D18" i="27"/>
  <c r="D19" i="27" s="1"/>
  <c r="F7" i="27" s="1"/>
  <c r="F6" i="27"/>
  <c r="L23" i="19" s="1"/>
  <c r="I7" i="23" l="1"/>
  <c r="F9" i="27"/>
  <c r="L24" i="19" s="1"/>
  <c r="H27" i="16"/>
  <c r="H28" i="16" s="1"/>
  <c r="H29" i="16" s="1"/>
  <c r="F3" i="16"/>
  <c r="G3" i="16" s="1"/>
  <c r="H3" i="16" s="1"/>
  <c r="I3" i="16" s="1"/>
  <c r="F24" i="19"/>
  <c r="I8" i="23"/>
  <c r="I9" i="23" s="1"/>
  <c r="D12" i="23"/>
  <c r="D9" i="23"/>
  <c r="G13" i="19"/>
  <c r="F12" i="19"/>
  <c r="G12" i="19"/>
  <c r="F11" i="19"/>
  <c r="G11" i="19"/>
  <c r="G10" i="19"/>
  <c r="F10" i="19"/>
  <c r="F5" i="21"/>
  <c r="K10" i="19" s="1"/>
  <c r="D15" i="23" l="1"/>
  <c r="F23" i="19" s="1"/>
  <c r="P75" i="21"/>
  <c r="P74" i="21"/>
  <c r="P73" i="21"/>
  <c r="P72" i="21"/>
  <c r="P71" i="21"/>
  <c r="P70" i="21"/>
  <c r="P69" i="21"/>
  <c r="P68" i="21"/>
  <c r="P67" i="21"/>
  <c r="P66" i="21"/>
  <c r="P65" i="21"/>
  <c r="P64" i="21"/>
  <c r="P63" i="21"/>
  <c r="P62" i="21"/>
  <c r="P61" i="21"/>
  <c r="P60" i="21"/>
  <c r="P59" i="21"/>
  <c r="P58" i="21"/>
  <c r="P57" i="21"/>
  <c r="P56" i="21"/>
  <c r="P55" i="21"/>
  <c r="P54" i="21"/>
  <c r="P53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P35" i="21"/>
  <c r="P34" i="21"/>
  <c r="P33" i="21"/>
  <c r="P32" i="21"/>
  <c r="P31" i="21"/>
  <c r="P30" i="21"/>
  <c r="P29" i="21"/>
  <c r="P28" i="21"/>
  <c r="P27" i="21"/>
  <c r="P26" i="21"/>
  <c r="P25" i="21"/>
  <c r="P24" i="21"/>
  <c r="P23" i="21"/>
  <c r="P22" i="21"/>
  <c r="P21" i="21"/>
  <c r="P20" i="21"/>
  <c r="P19" i="21"/>
  <c r="P18" i="21"/>
  <c r="P17" i="21"/>
  <c r="P16" i="21"/>
  <c r="M75" i="21"/>
  <c r="M74" i="21"/>
  <c r="M73" i="21"/>
  <c r="M72" i="21"/>
  <c r="M71" i="21"/>
  <c r="M70" i="21"/>
  <c r="M69" i="21"/>
  <c r="M68" i="21"/>
  <c r="M67" i="21"/>
  <c r="M66" i="21"/>
  <c r="M65" i="21"/>
  <c r="M64" i="21"/>
  <c r="M63" i="21"/>
  <c r="M62" i="21"/>
  <c r="M61" i="21"/>
  <c r="M60" i="21"/>
  <c r="M59" i="21"/>
  <c r="M58" i="21"/>
  <c r="M57" i="21"/>
  <c r="M56" i="21"/>
  <c r="M55" i="21"/>
  <c r="M54" i="21"/>
  <c r="M53" i="21"/>
  <c r="M52" i="21"/>
  <c r="M51" i="21"/>
  <c r="M50" i="21"/>
  <c r="M49" i="21"/>
  <c r="M48" i="21"/>
  <c r="M47" i="21"/>
  <c r="M46" i="21"/>
  <c r="M45" i="21"/>
  <c r="M44" i="21"/>
  <c r="M43" i="21"/>
  <c r="M42" i="21"/>
  <c r="M41" i="21"/>
  <c r="M40" i="21"/>
  <c r="M39" i="21"/>
  <c r="M38" i="21"/>
  <c r="M37" i="21"/>
  <c r="M36" i="21"/>
  <c r="M35" i="21"/>
  <c r="M34" i="21"/>
  <c r="M33" i="21"/>
  <c r="M32" i="21"/>
  <c r="M31" i="21"/>
  <c r="M30" i="21"/>
  <c r="M29" i="21"/>
  <c r="M28" i="21"/>
  <c r="M27" i="21"/>
  <c r="M26" i="21"/>
  <c r="M25" i="21"/>
  <c r="M24" i="21"/>
  <c r="M23" i="21"/>
  <c r="M22" i="21"/>
  <c r="M21" i="21"/>
  <c r="M20" i="21"/>
  <c r="M19" i="21"/>
  <c r="M18" i="21"/>
  <c r="M17" i="21"/>
  <c r="M1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F6" i="21" l="1"/>
  <c r="I4" i="21"/>
  <c r="L6" i="21"/>
  <c r="K13" i="19" s="1"/>
  <c r="F4" i="21"/>
  <c r="I6" i="21"/>
  <c r="O6" i="21"/>
  <c r="O4" i="21"/>
  <c r="L4" i="21"/>
  <c r="L32" i="19"/>
  <c r="F25" i="19"/>
  <c r="L41" i="19" s="1"/>
  <c r="I11" i="19"/>
  <c r="D31" i="19"/>
  <c r="G33" i="16"/>
  <c r="H33" i="16" s="1"/>
  <c r="I33" i="16" s="1"/>
  <c r="J33" i="16" s="1"/>
  <c r="K33" i="16" s="1"/>
  <c r="K11" i="19" l="1"/>
  <c r="K12" i="19"/>
  <c r="J12" i="19"/>
  <c r="J11" i="19"/>
  <c r="J13" i="19"/>
  <c r="J17" i="19" s="1"/>
  <c r="J10" i="19"/>
  <c r="K17" i="19"/>
  <c r="D30" i="19"/>
  <c r="I12" i="19"/>
  <c r="L12" i="19" s="1"/>
  <c r="I10" i="19"/>
  <c r="I13" i="19"/>
  <c r="L13" i="19" s="1"/>
  <c r="K16" i="19" l="1"/>
  <c r="L11" i="19"/>
  <c r="J16" i="19"/>
  <c r="F30" i="19" s="1"/>
  <c r="L42" i="19" s="1"/>
  <c r="D32" i="19"/>
  <c r="E31" i="19" s="1"/>
  <c r="I17" i="19"/>
  <c r="I16" i="19"/>
  <c r="L10" i="19"/>
  <c r="L17" i="19" l="1"/>
  <c r="L30" i="19" s="1"/>
  <c r="L16" i="19"/>
  <c r="E30" i="19"/>
  <c r="E34" i="19" l="1"/>
  <c r="E32" i="19"/>
  <c r="F32" i="19" s="1"/>
  <c r="F31" i="19" s="1"/>
  <c r="L39" i="19" l="1"/>
  <c r="F34" i="19"/>
  <c r="L31" i="19" s="1"/>
  <c r="L33" i="19" s="1"/>
  <c r="L22" i="19" s="1"/>
  <c r="L25" i="19" s="1"/>
  <c r="L38" i="19" s="1"/>
  <c r="L43" i="19" s="1"/>
  <c r="D22" i="16" s="1"/>
  <c r="L22" i="16" s="1"/>
  <c r="K22" i="16" l="1"/>
  <c r="J22" i="16" s="1"/>
  <c r="I22" i="16" s="1"/>
  <c r="M22" i="16"/>
  <c r="N22" i="16" s="1"/>
  <c r="O22" i="16" s="1"/>
  <c r="E45" i="14"/>
  <c r="E8" i="13"/>
  <c r="F29" i="14" l="1"/>
  <c r="G29" i="14"/>
  <c r="H29" i="14"/>
  <c r="I29" i="14"/>
  <c r="E29" i="14"/>
  <c r="F13" i="14"/>
  <c r="F30" i="14" s="1"/>
  <c r="G13" i="14"/>
  <c r="G30" i="14" s="1"/>
  <c r="H13" i="14"/>
  <c r="H30" i="14" s="1"/>
  <c r="I13" i="14"/>
  <c r="I30" i="14" s="1"/>
  <c r="E13" i="14"/>
  <c r="E30" i="14" s="1"/>
  <c r="F26" i="13"/>
  <c r="G26" i="13"/>
  <c r="H26" i="13"/>
  <c r="I26" i="13"/>
  <c r="E26" i="13"/>
  <c r="E20" i="13"/>
  <c r="F71" i="12"/>
  <c r="G71" i="12"/>
  <c r="H71" i="12"/>
  <c r="I71" i="12" s="1"/>
  <c r="J71" i="12" s="1"/>
  <c r="K71" i="12" s="1"/>
  <c r="L71" i="12" s="1"/>
  <c r="M71" i="12" s="1"/>
  <c r="E71" i="12"/>
  <c r="J33" i="12"/>
  <c r="K33" i="12"/>
  <c r="L33" i="12"/>
  <c r="M33" i="12"/>
  <c r="I33" i="12"/>
  <c r="I17" i="13"/>
  <c r="E13" i="13"/>
  <c r="F13" i="13" l="1"/>
  <c r="G13" i="13"/>
  <c r="H13" i="13"/>
  <c r="I13" i="13"/>
  <c r="F65" i="12"/>
  <c r="G65" i="12"/>
  <c r="H65" i="12"/>
  <c r="E65" i="12"/>
  <c r="F62" i="12"/>
  <c r="G62" i="12"/>
  <c r="H62" i="12"/>
  <c r="E62" i="12"/>
  <c r="F27" i="12"/>
  <c r="G27" i="12"/>
  <c r="H27" i="12"/>
  <c r="E27" i="12"/>
  <c r="F58" i="12"/>
  <c r="G58" i="12"/>
  <c r="H58" i="12"/>
  <c r="E58" i="12"/>
  <c r="F57" i="12"/>
  <c r="G57" i="12"/>
  <c r="H57" i="12"/>
  <c r="E57" i="12"/>
  <c r="I56" i="12" l="1"/>
  <c r="I55" i="12" s="1"/>
  <c r="M51" i="12"/>
  <c r="F50" i="12"/>
  <c r="G50" i="12"/>
  <c r="H50" i="12"/>
  <c r="E50" i="12"/>
  <c r="I37" i="12"/>
  <c r="J37" i="12" s="1"/>
  <c r="K37" i="12" s="1"/>
  <c r="L37" i="12" s="1"/>
  <c r="M37" i="12" s="1"/>
  <c r="I38" i="12"/>
  <c r="J38" i="12" s="1"/>
  <c r="K38" i="12" s="1"/>
  <c r="L38" i="12" s="1"/>
  <c r="M38" i="12" s="1"/>
  <c r="I41" i="12"/>
  <c r="J41" i="12" s="1"/>
  <c r="K41" i="12" s="1"/>
  <c r="L41" i="12" s="1"/>
  <c r="M41" i="12" s="1"/>
  <c r="F42" i="12"/>
  <c r="G42" i="12"/>
  <c r="H42" i="12"/>
  <c r="E42" i="12"/>
  <c r="F35" i="12"/>
  <c r="F43" i="12" s="1"/>
  <c r="F45" i="12" s="1"/>
  <c r="G35" i="12"/>
  <c r="G43" i="12" s="1"/>
  <c r="G45" i="12" s="1"/>
  <c r="H35" i="12"/>
  <c r="H43" i="12" s="1"/>
  <c r="H45" i="12" s="1"/>
  <c r="E35" i="12"/>
  <c r="E43" i="12" s="1"/>
  <c r="E45" i="12" s="1"/>
  <c r="I24" i="12"/>
  <c r="J24" i="12" s="1"/>
  <c r="K24" i="12" s="1"/>
  <c r="L24" i="12" s="1"/>
  <c r="M24" i="12" s="1"/>
  <c r="I22" i="12"/>
  <c r="J22" i="12" s="1"/>
  <c r="K22" i="12" s="1"/>
  <c r="L22" i="12" s="1"/>
  <c r="M22" i="12" s="1"/>
  <c r="I21" i="12"/>
  <c r="J21" i="12" s="1"/>
  <c r="K21" i="12" s="1"/>
  <c r="L21" i="12" s="1"/>
  <c r="I25" i="12"/>
  <c r="J25" i="12" s="1"/>
  <c r="K25" i="12" s="1"/>
  <c r="L25" i="12" s="1"/>
  <c r="M25" i="12" s="1"/>
  <c r="I20" i="12"/>
  <c r="J20" i="12" s="1"/>
  <c r="K20" i="12" s="1"/>
  <c r="L20" i="12" s="1"/>
  <c r="M20" i="12" s="1"/>
  <c r="I19" i="12"/>
  <c r="J19" i="12" s="1"/>
  <c r="K19" i="12" s="1"/>
  <c r="L19" i="12" s="1"/>
  <c r="M19" i="12" s="1"/>
  <c r="I13" i="12"/>
  <c r="J13" i="12" s="1"/>
  <c r="K13" i="12" s="1"/>
  <c r="L13" i="12" s="1"/>
  <c r="M13" i="12" s="1"/>
  <c r="I10" i="12"/>
  <c r="J10" i="12" s="1"/>
  <c r="K10" i="12" s="1"/>
  <c r="L10" i="12" s="1"/>
  <c r="M10" i="12" s="1"/>
  <c r="F11" i="12"/>
  <c r="F17" i="12" s="1"/>
  <c r="G11" i="12"/>
  <c r="G17" i="12" s="1"/>
  <c r="H11" i="12"/>
  <c r="D26" i="16" s="1"/>
  <c r="E11" i="12"/>
  <c r="E17" i="12" s="1"/>
  <c r="F5" i="12"/>
  <c r="G5" i="12" s="1"/>
  <c r="H5" i="12" s="1"/>
  <c r="I5" i="12" s="1"/>
  <c r="J5" i="12" s="1"/>
  <c r="K5" i="12" s="1"/>
  <c r="L5" i="12" s="1"/>
  <c r="M5" i="12" s="1"/>
  <c r="I22" i="10"/>
  <c r="J22" i="10" s="1"/>
  <c r="K22" i="10" s="1"/>
  <c r="L22" i="10" s="1"/>
  <c r="M22" i="10" s="1"/>
  <c r="F23" i="10"/>
  <c r="G23" i="10"/>
  <c r="H23" i="10"/>
  <c r="E23" i="10"/>
  <c r="I29" i="10"/>
  <c r="J29" i="10" s="1"/>
  <c r="K29" i="10" s="1"/>
  <c r="L29" i="10" s="1"/>
  <c r="M29" i="10" s="1"/>
  <c r="I26" i="10"/>
  <c r="I28" i="10" s="1"/>
  <c r="F16" i="10"/>
  <c r="G16" i="10"/>
  <c r="H16" i="10"/>
  <c r="I16" i="10" s="1"/>
  <c r="J16" i="10" s="1"/>
  <c r="K16" i="10" s="1"/>
  <c r="L16" i="10" s="1"/>
  <c r="M16" i="10" s="1"/>
  <c r="E16" i="10"/>
  <c r="F12" i="10"/>
  <c r="G12" i="10"/>
  <c r="H12" i="10"/>
  <c r="E12" i="10"/>
  <c r="I8" i="10"/>
  <c r="E9" i="10"/>
  <c r="G8" i="10"/>
  <c r="G9" i="10" s="1"/>
  <c r="F8" i="10"/>
  <c r="F9" i="10" s="1"/>
  <c r="H8" i="10"/>
  <c r="H9" i="10" s="1"/>
  <c r="F15" i="10"/>
  <c r="G15" i="10"/>
  <c r="H15" i="10"/>
  <c r="E15" i="10"/>
  <c r="F5" i="10"/>
  <c r="G5" i="10" s="1"/>
  <c r="H5" i="10" s="1"/>
  <c r="I5" i="10" s="1"/>
  <c r="J5" i="10" s="1"/>
  <c r="K5" i="10" s="1"/>
  <c r="L5" i="10" s="1"/>
  <c r="M5" i="10" s="1"/>
  <c r="I30" i="10" l="1"/>
  <c r="I23" i="10" s="1"/>
  <c r="I21" i="10" s="1"/>
  <c r="I26" i="12" s="1"/>
  <c r="J26" i="10"/>
  <c r="J28" i="10" s="1"/>
  <c r="H17" i="12"/>
  <c r="J56" i="12"/>
  <c r="M21" i="12"/>
  <c r="F62" i="9"/>
  <c r="G62" i="9"/>
  <c r="H62" i="9"/>
  <c r="E62" i="9"/>
  <c r="E48" i="9"/>
  <c r="F48" i="9"/>
  <c r="G48" i="9"/>
  <c r="H48" i="9"/>
  <c r="I45" i="9"/>
  <c r="J45" i="9" s="1"/>
  <c r="E39" i="9"/>
  <c r="E66" i="12" s="1"/>
  <c r="H31" i="9"/>
  <c r="G31" i="9"/>
  <c r="F31" i="9"/>
  <c r="E31" i="9"/>
  <c r="H28" i="9"/>
  <c r="G28" i="9"/>
  <c r="F28" i="9"/>
  <c r="E28" i="9"/>
  <c r="H39" i="9"/>
  <c r="H66" i="12" s="1"/>
  <c r="G39" i="9"/>
  <c r="G66" i="12" s="1"/>
  <c r="F39" i="9"/>
  <c r="F66" i="12" s="1"/>
  <c r="F34" i="9"/>
  <c r="G34" i="9"/>
  <c r="H34" i="9"/>
  <c r="E34" i="9"/>
  <c r="J30" i="10" l="1"/>
  <c r="J23" i="10" s="1"/>
  <c r="J21" i="10" s="1"/>
  <c r="J26" i="12" s="1"/>
  <c r="K26" i="10"/>
  <c r="K28" i="10" s="1"/>
  <c r="K66" i="12"/>
  <c r="L66" i="12"/>
  <c r="J66" i="12"/>
  <c r="M66" i="12"/>
  <c r="I66" i="12"/>
  <c r="K56" i="12"/>
  <c r="J55" i="12"/>
  <c r="I48" i="9"/>
  <c r="J48" i="9" s="1"/>
  <c r="I34" i="9"/>
  <c r="K45" i="9"/>
  <c r="G25" i="9"/>
  <c r="F25" i="9"/>
  <c r="E25" i="9"/>
  <c r="H25" i="9"/>
  <c r="G21" i="9"/>
  <c r="G58" i="9" s="1"/>
  <c r="F21" i="9"/>
  <c r="F58" i="9" s="1"/>
  <c r="E21" i="9"/>
  <c r="E58" i="9" s="1"/>
  <c r="H21" i="9"/>
  <c r="H58" i="9" s="1"/>
  <c r="H18" i="9"/>
  <c r="G18" i="9"/>
  <c r="F18" i="9"/>
  <c r="E18" i="9"/>
  <c r="G13" i="9"/>
  <c r="F13" i="9"/>
  <c r="E13" i="9"/>
  <c r="H13" i="9"/>
  <c r="F63" i="12" l="1"/>
  <c r="F59" i="12"/>
  <c r="I58" i="9"/>
  <c r="J58" i="9" s="1"/>
  <c r="G63" i="12"/>
  <c r="G59" i="12"/>
  <c r="K30" i="10"/>
  <c r="K23" i="10" s="1"/>
  <c r="K21" i="10" s="1"/>
  <c r="K26" i="12" s="1"/>
  <c r="L26" i="10"/>
  <c r="L28" i="10" s="1"/>
  <c r="H63" i="12"/>
  <c r="I63" i="12" s="1"/>
  <c r="J63" i="12" s="1"/>
  <c r="K63" i="12" s="1"/>
  <c r="L63" i="12" s="1"/>
  <c r="M63" i="12" s="1"/>
  <c r="H59" i="12"/>
  <c r="I59" i="12" s="1"/>
  <c r="J59" i="12" s="1"/>
  <c r="K59" i="12" s="1"/>
  <c r="L59" i="12" s="1"/>
  <c r="E59" i="12"/>
  <c r="E63" i="12"/>
  <c r="J34" i="9"/>
  <c r="F15" i="14" s="1"/>
  <c r="F32" i="14" s="1"/>
  <c r="E15" i="14"/>
  <c r="E32" i="14" s="1"/>
  <c r="L56" i="12"/>
  <c r="K55" i="12"/>
  <c r="M59" i="12"/>
  <c r="K48" i="9"/>
  <c r="L48" i="9" s="1"/>
  <c r="M48" i="9" s="1"/>
  <c r="L45" i="9"/>
  <c r="F6" i="9"/>
  <c r="G6" i="9" s="1"/>
  <c r="H6" i="9" s="1"/>
  <c r="I6" i="9" s="1"/>
  <c r="I6" i="6"/>
  <c r="J6" i="6" s="1"/>
  <c r="K6" i="6" s="1"/>
  <c r="L6" i="6" s="1"/>
  <c r="M6" i="6" s="1"/>
  <c r="F40" i="6"/>
  <c r="F43" i="6" s="1"/>
  <c r="G40" i="6"/>
  <c r="G43" i="6" s="1"/>
  <c r="H40" i="6"/>
  <c r="H43" i="6" s="1"/>
  <c r="I43" i="6" s="1"/>
  <c r="E40" i="6"/>
  <c r="E44" i="6" s="1"/>
  <c r="E39" i="6"/>
  <c r="H24" i="6"/>
  <c r="I24" i="6" s="1"/>
  <c r="K58" i="9" l="1"/>
  <c r="M58" i="9" s="1"/>
  <c r="I21" i="6"/>
  <c r="E17" i="10"/>
  <c r="E7" i="9"/>
  <c r="E9" i="9" s="1"/>
  <c r="J43" i="6"/>
  <c r="F44" i="6"/>
  <c r="E43" i="6"/>
  <c r="J6" i="9"/>
  <c r="K6" i="9" s="1"/>
  <c r="L6" i="9" s="1"/>
  <c r="M6" i="9" s="1"/>
  <c r="E5" i="13"/>
  <c r="L58" i="9"/>
  <c r="H44" i="6"/>
  <c r="G44" i="6"/>
  <c r="K34" i="9"/>
  <c r="G15" i="14" s="1"/>
  <c r="G32" i="14" s="1"/>
  <c r="M26" i="10"/>
  <c r="M28" i="10" s="1"/>
  <c r="M30" i="10" s="1"/>
  <c r="M23" i="10" s="1"/>
  <c r="M21" i="10" s="1"/>
  <c r="M26" i="12" s="1"/>
  <c r="L30" i="10"/>
  <c r="L23" i="10" s="1"/>
  <c r="L21" i="10" s="1"/>
  <c r="L26" i="12" s="1"/>
  <c r="M56" i="12"/>
  <c r="M55" i="12" s="1"/>
  <c r="L55" i="12"/>
  <c r="E56" i="9"/>
  <c r="E51" i="12"/>
  <c r="E52" i="12" s="1"/>
  <c r="M45" i="9"/>
  <c r="L34" i="9"/>
  <c r="E14" i="9"/>
  <c r="E22" i="9" s="1"/>
  <c r="E59" i="9" s="1"/>
  <c r="E69" i="12" s="1"/>
  <c r="E52" i="9"/>
  <c r="F5" i="13" l="1"/>
  <c r="G5" i="13" s="1"/>
  <c r="H5" i="13" s="1"/>
  <c r="I5" i="13" s="1"/>
  <c r="E6" i="14"/>
  <c r="G17" i="10"/>
  <c r="G7" i="9"/>
  <c r="G9" i="9" s="1"/>
  <c r="G45" i="6"/>
  <c r="K43" i="6"/>
  <c r="H17" i="10"/>
  <c r="I17" i="10" s="1"/>
  <c r="J17" i="10" s="1"/>
  <c r="K17" i="10" s="1"/>
  <c r="L17" i="10" s="1"/>
  <c r="H45" i="6"/>
  <c r="H7" i="9"/>
  <c r="H9" i="9" s="1"/>
  <c r="M34" i="9"/>
  <c r="I15" i="14" s="1"/>
  <c r="I32" i="14" s="1"/>
  <c r="H15" i="14"/>
  <c r="H32" i="14" s="1"/>
  <c r="F17" i="10"/>
  <c r="F7" i="9"/>
  <c r="F9" i="9" s="1"/>
  <c r="F45" i="6"/>
  <c r="E53" i="9"/>
  <c r="E61" i="9"/>
  <c r="E54" i="9"/>
  <c r="E36" i="9"/>
  <c r="E51" i="9"/>
  <c r="F56" i="9" l="1"/>
  <c r="F51" i="12"/>
  <c r="F52" i="12" s="1"/>
  <c r="F14" i="9"/>
  <c r="F52" i="9"/>
  <c r="E47" i="12"/>
  <c r="H14" i="9"/>
  <c r="H56" i="9"/>
  <c r="H52" i="9"/>
  <c r="H51" i="12"/>
  <c r="H52" i="12" s="1"/>
  <c r="I52" i="12" s="1"/>
  <c r="L43" i="6"/>
  <c r="F6" i="14"/>
  <c r="G6" i="14" s="1"/>
  <c r="H6" i="14" s="1"/>
  <c r="I6" i="14" s="1"/>
  <c r="E5" i="16"/>
  <c r="F5" i="16" s="1"/>
  <c r="G5" i="16" s="1"/>
  <c r="H5" i="16" s="1"/>
  <c r="I5" i="16" s="1"/>
  <c r="G56" i="9"/>
  <c r="G51" i="12"/>
  <c r="G52" i="12" s="1"/>
  <c r="G52" i="9"/>
  <c r="G14" i="9"/>
  <c r="E55" i="9"/>
  <c r="E40" i="9"/>
  <c r="F22" i="9" l="1"/>
  <c r="F51" i="9"/>
  <c r="I52" i="9"/>
  <c r="M43" i="6"/>
  <c r="H51" i="9"/>
  <c r="H22" i="9"/>
  <c r="G22" i="9"/>
  <c r="G51" i="9"/>
  <c r="I51" i="12"/>
  <c r="J52" i="12"/>
  <c r="I56" i="9"/>
  <c r="E42" i="9"/>
  <c r="E57" i="9"/>
  <c r="J56" i="9" l="1"/>
  <c r="G36" i="9"/>
  <c r="G59" i="9"/>
  <c r="G53" i="9"/>
  <c r="G54" i="9"/>
  <c r="K52" i="12"/>
  <c r="J51" i="12"/>
  <c r="H53" i="9"/>
  <c r="H36" i="9"/>
  <c r="H59" i="9"/>
  <c r="H54" i="9"/>
  <c r="J52" i="9"/>
  <c r="K52" i="9" s="1"/>
  <c r="I51" i="9"/>
  <c r="J51" i="9" s="1"/>
  <c r="K56" i="9"/>
  <c r="F59" i="9"/>
  <c r="F36" i="9"/>
  <c r="F53" i="9"/>
  <c r="I53" i="9" s="1"/>
  <c r="J53" i="9" s="1"/>
  <c r="F54" i="9"/>
  <c r="L56" i="9"/>
  <c r="K53" i="9"/>
  <c r="L53" i="9" s="1"/>
  <c r="H37" i="6"/>
  <c r="H39" i="6" s="1"/>
  <c r="G37" i="6"/>
  <c r="G39" i="6" s="1"/>
  <c r="F37" i="6"/>
  <c r="F39" i="6" s="1"/>
  <c r="H32" i="6"/>
  <c r="H34" i="6" s="1"/>
  <c r="I34" i="6" s="1"/>
  <c r="G32" i="6"/>
  <c r="G34" i="6" s="1"/>
  <c r="F32" i="6"/>
  <c r="F34" i="6" s="1"/>
  <c r="H27" i="6"/>
  <c r="H29" i="6" s="1"/>
  <c r="I29" i="6" s="1"/>
  <c r="G27" i="6"/>
  <c r="G29" i="6" s="1"/>
  <c r="F27" i="6"/>
  <c r="F29" i="6" s="1"/>
  <c r="G22" i="6"/>
  <c r="G24" i="6" s="1"/>
  <c r="F22" i="6"/>
  <c r="F24" i="6" s="1"/>
  <c r="H17" i="6"/>
  <c r="H19" i="6" s="1"/>
  <c r="G17" i="6"/>
  <c r="G19" i="6" s="1"/>
  <c r="F17" i="6"/>
  <c r="F19" i="6" s="1"/>
  <c r="H12" i="6"/>
  <c r="H14" i="6" s="1"/>
  <c r="I14" i="6" s="1"/>
  <c r="G12" i="6"/>
  <c r="G14" i="6" s="1"/>
  <c r="F12" i="6"/>
  <c r="F14" i="6" s="1"/>
  <c r="G7" i="6"/>
  <c r="G8" i="6" s="1"/>
  <c r="H7" i="6"/>
  <c r="H9" i="6" s="1"/>
  <c r="F7" i="6"/>
  <c r="F9" i="6" s="1"/>
  <c r="G61" i="9" l="1"/>
  <c r="G69" i="12"/>
  <c r="I19" i="6"/>
  <c r="J24" i="6"/>
  <c r="J34" i="6"/>
  <c r="K34" i="6" s="1"/>
  <c r="L34" i="6" s="1"/>
  <c r="M34" i="6" s="1"/>
  <c r="I31" i="6"/>
  <c r="J31" i="6" s="1"/>
  <c r="K31" i="6" s="1"/>
  <c r="L31" i="6" s="1"/>
  <c r="M31" i="6" s="1"/>
  <c r="I54" i="9"/>
  <c r="H69" i="12"/>
  <c r="I69" i="12" s="1"/>
  <c r="H61" i="9"/>
  <c r="L52" i="12"/>
  <c r="L51" i="12" s="1"/>
  <c r="K51" i="12"/>
  <c r="G40" i="9"/>
  <c r="G55" i="9"/>
  <c r="F61" i="9"/>
  <c r="F69" i="12"/>
  <c r="I11" i="6"/>
  <c r="J14" i="6"/>
  <c r="K14" i="6" s="1"/>
  <c r="L14" i="6" s="1"/>
  <c r="I26" i="6"/>
  <c r="J29" i="6"/>
  <c r="K29" i="6" s="1"/>
  <c r="L29" i="6" s="1"/>
  <c r="M29" i="6" s="1"/>
  <c r="H40" i="9"/>
  <c r="H55" i="9"/>
  <c r="I39" i="6"/>
  <c r="F40" i="9"/>
  <c r="F55" i="9"/>
  <c r="L51" i="9"/>
  <c r="M51" i="9" s="1"/>
  <c r="K51" i="9"/>
  <c r="L52" i="9"/>
  <c r="M53" i="9"/>
  <c r="M56" i="9"/>
  <c r="F5" i="6"/>
  <c r="G5" i="6" s="1"/>
  <c r="H5" i="6" s="1"/>
  <c r="I5" i="6" s="1"/>
  <c r="J5" i="6" s="1"/>
  <c r="K5" i="6" s="1"/>
  <c r="L5" i="6" s="1"/>
  <c r="M5" i="6" s="1"/>
  <c r="I55" i="9" l="1"/>
  <c r="H57" i="9"/>
  <c r="H42" i="9"/>
  <c r="J11" i="6"/>
  <c r="K11" i="6" s="1"/>
  <c r="L11" i="6" s="1"/>
  <c r="M11" i="6" s="1"/>
  <c r="F57" i="9"/>
  <c r="I57" i="9" s="1"/>
  <c r="F42" i="9"/>
  <c r="G42" i="9"/>
  <c r="G57" i="9"/>
  <c r="E17" i="13"/>
  <c r="J69" i="12"/>
  <c r="K24" i="6"/>
  <c r="L24" i="6" s="1"/>
  <c r="J21" i="6"/>
  <c r="M52" i="9"/>
  <c r="I36" i="6"/>
  <c r="J39" i="6"/>
  <c r="K39" i="6" s="1"/>
  <c r="L39" i="6" s="1"/>
  <c r="M39" i="6" s="1"/>
  <c r="J26" i="6"/>
  <c r="K26" i="6" s="1"/>
  <c r="L26" i="6" s="1"/>
  <c r="M26" i="6" s="1"/>
  <c r="J54" i="9"/>
  <c r="K54" i="9"/>
  <c r="L54" i="9" s="1"/>
  <c r="J19" i="6"/>
  <c r="K19" i="6" s="1"/>
  <c r="L19" i="6" s="1"/>
  <c r="I16" i="6"/>
  <c r="M54" i="9" l="1"/>
  <c r="J36" i="6"/>
  <c r="I40" i="6"/>
  <c r="I42" i="6" s="1"/>
  <c r="I44" i="6" s="1"/>
  <c r="K21" i="6"/>
  <c r="L21" i="6" s="1"/>
  <c r="M21" i="6" s="1"/>
  <c r="J57" i="9"/>
  <c r="E9" i="16"/>
  <c r="J55" i="9"/>
  <c r="K55" i="9" s="1"/>
  <c r="F17" i="13"/>
  <c r="K69" i="12"/>
  <c r="J16" i="6"/>
  <c r="K16" i="6" s="1"/>
  <c r="L16" i="6" s="1"/>
  <c r="M16" i="6" s="1"/>
  <c r="K36" i="6" l="1"/>
  <c r="J40" i="6"/>
  <c r="I7" i="9"/>
  <c r="I9" i="9" s="1"/>
  <c r="I45" i="6"/>
  <c r="L55" i="9"/>
  <c r="M55" i="9" s="1"/>
  <c r="L69" i="12"/>
  <c r="H17" i="13" s="1"/>
  <c r="G17" i="13"/>
  <c r="K57" i="9"/>
  <c r="L57" i="9" s="1"/>
  <c r="M57" i="9" s="1"/>
  <c r="J44" i="6" l="1"/>
  <c r="J42" i="6"/>
  <c r="I10" i="10"/>
  <c r="I18" i="9"/>
  <c r="I14" i="9"/>
  <c r="I22" i="9" s="1"/>
  <c r="E8" i="16" s="1"/>
  <c r="E10" i="16" s="1"/>
  <c r="E11" i="16" s="1"/>
  <c r="I31" i="9"/>
  <c r="E14" i="14" s="1"/>
  <c r="E31" i="14" s="1"/>
  <c r="I13" i="9"/>
  <c r="I50" i="12"/>
  <c r="I14" i="12" s="1"/>
  <c r="E19" i="14" s="1"/>
  <c r="L36" i="6"/>
  <c r="K40" i="6"/>
  <c r="K42" i="6" l="1"/>
  <c r="K44" i="6" s="1"/>
  <c r="I62" i="12"/>
  <c r="I31" i="12" s="1"/>
  <c r="E22" i="14" s="1"/>
  <c r="I58" i="12"/>
  <c r="I16" i="12" s="1"/>
  <c r="E21" i="14" s="1"/>
  <c r="I54" i="12"/>
  <c r="I15" i="12" s="1"/>
  <c r="E20" i="14" s="1"/>
  <c r="M36" i="6"/>
  <c r="M40" i="6" s="1"/>
  <c r="M42" i="6" s="1"/>
  <c r="M44" i="6" s="1"/>
  <c r="L40" i="6"/>
  <c r="J7" i="9"/>
  <c r="J9" i="9" s="1"/>
  <c r="J45" i="6"/>
  <c r="J8" i="10"/>
  <c r="I14" i="10"/>
  <c r="I9" i="10"/>
  <c r="E28" i="14" s="1"/>
  <c r="K7" i="9" l="1"/>
  <c r="K9" i="9" s="1"/>
  <c r="K45" i="6"/>
  <c r="I15" i="10"/>
  <c r="I60" i="9" s="1"/>
  <c r="I11" i="10"/>
  <c r="L44" i="6"/>
  <c r="L42" i="6"/>
  <c r="E14" i="16"/>
  <c r="E33" i="14"/>
  <c r="J10" i="10"/>
  <c r="J18" i="9"/>
  <c r="J31" i="9"/>
  <c r="F14" i="14" s="1"/>
  <c r="F31" i="14" s="1"/>
  <c r="J14" i="9"/>
  <c r="J22" i="9" s="1"/>
  <c r="F8" i="16" s="1"/>
  <c r="J50" i="12"/>
  <c r="J14" i="12" s="1"/>
  <c r="F19" i="14" s="1"/>
  <c r="M7" i="9"/>
  <c r="M9" i="9" s="1"/>
  <c r="M45" i="6"/>
  <c r="E12" i="16" l="1"/>
  <c r="E11" i="14"/>
  <c r="I59" i="9"/>
  <c r="M10" i="10"/>
  <c r="M50" i="12"/>
  <c r="M14" i="12" s="1"/>
  <c r="M14" i="9"/>
  <c r="M13" i="9" s="1"/>
  <c r="M31" i="9"/>
  <c r="I14" i="14" s="1"/>
  <c r="I31" i="14" s="1"/>
  <c r="M18" i="9"/>
  <c r="I12" i="10"/>
  <c r="I23" i="12" s="1"/>
  <c r="J13" i="9"/>
  <c r="K8" i="10"/>
  <c r="J14" i="10"/>
  <c r="J15" i="10" s="1"/>
  <c r="J60" i="9" s="1"/>
  <c r="J9" i="10"/>
  <c r="F28" i="14" s="1"/>
  <c r="F14" i="16" s="1"/>
  <c r="L45" i="6"/>
  <c r="L7" i="9"/>
  <c r="L9" i="9" s="1"/>
  <c r="K10" i="10"/>
  <c r="K31" i="9"/>
  <c r="G14" i="14" s="1"/>
  <c r="G31" i="14" s="1"/>
  <c r="K14" i="9"/>
  <c r="K18" i="9"/>
  <c r="K13" i="9"/>
  <c r="K50" i="12"/>
  <c r="K14" i="12" s="1"/>
  <c r="G19" i="14" s="1"/>
  <c r="M62" i="12" l="1"/>
  <c r="M31" i="12" s="1"/>
  <c r="M58" i="12"/>
  <c r="M16" i="12" s="1"/>
  <c r="M54" i="12"/>
  <c r="M15" i="12" s="1"/>
  <c r="I61" i="9"/>
  <c r="E11" i="13"/>
  <c r="L10" i="10"/>
  <c r="L31" i="9"/>
  <c r="H14" i="14" s="1"/>
  <c r="H31" i="14" s="1"/>
  <c r="L14" i="9"/>
  <c r="L22" i="9" s="1"/>
  <c r="H8" i="16" s="1"/>
  <c r="L18" i="9"/>
  <c r="L50" i="12"/>
  <c r="L14" i="12" s="1"/>
  <c r="H19" i="14" s="1"/>
  <c r="F12" i="16"/>
  <c r="F11" i="14"/>
  <c r="J59" i="9"/>
  <c r="J11" i="10"/>
  <c r="K62" i="12"/>
  <c r="K31" i="12" s="1"/>
  <c r="K58" i="12"/>
  <c r="K16" i="12" s="1"/>
  <c r="K54" i="12"/>
  <c r="K15" i="12" s="1"/>
  <c r="K14" i="10"/>
  <c r="K15" i="10" s="1"/>
  <c r="K60" i="9" s="1"/>
  <c r="K9" i="10"/>
  <c r="G28" i="14" s="1"/>
  <c r="G14" i="16" s="1"/>
  <c r="L8" i="10"/>
  <c r="L9" i="10" s="1"/>
  <c r="H28" i="14" s="1"/>
  <c r="H14" i="16" s="1"/>
  <c r="K22" i="9"/>
  <c r="G8" i="16" s="1"/>
  <c r="M22" i="9"/>
  <c r="I8" i="16" s="1"/>
  <c r="I10" i="16" s="1"/>
  <c r="I11" i="16" s="1"/>
  <c r="I19" i="14"/>
  <c r="J58" i="12"/>
  <c r="J16" i="12" s="1"/>
  <c r="F21" i="14" s="1"/>
  <c r="J54" i="12"/>
  <c r="J15" i="12" s="1"/>
  <c r="F20" i="14" s="1"/>
  <c r="J62" i="12"/>
  <c r="J31" i="12" s="1"/>
  <c r="F22" i="14" s="1"/>
  <c r="M14" i="10"/>
  <c r="M15" i="10" s="1"/>
  <c r="M60" i="9" s="1"/>
  <c r="F33" i="14"/>
  <c r="G12" i="16" l="1"/>
  <c r="G11" i="14"/>
  <c r="K59" i="9"/>
  <c r="K11" i="10"/>
  <c r="J12" i="10"/>
  <c r="J23" i="12" s="1"/>
  <c r="H33" i="14"/>
  <c r="I12" i="16"/>
  <c r="I11" i="14"/>
  <c r="M59" i="9"/>
  <c r="G22" i="14"/>
  <c r="G33" i="14"/>
  <c r="G20" i="14"/>
  <c r="J61" i="9"/>
  <c r="F11" i="13"/>
  <c r="M8" i="10"/>
  <c r="M9" i="10" s="1"/>
  <c r="I28" i="14" s="1"/>
  <c r="L14" i="10"/>
  <c r="L15" i="10" s="1"/>
  <c r="L60" i="9" s="1"/>
  <c r="G21" i="14"/>
  <c r="L13" i="9"/>
  <c r="F8" i="13"/>
  <c r="E24" i="13"/>
  <c r="I36" i="12"/>
  <c r="E9" i="13"/>
  <c r="E15" i="13"/>
  <c r="F15" i="13" l="1"/>
  <c r="K61" i="9"/>
  <c r="G11" i="13"/>
  <c r="E21" i="13"/>
  <c r="I32" i="12"/>
  <c r="E22" i="13"/>
  <c r="E38" i="14" s="1"/>
  <c r="E28" i="13"/>
  <c r="F20" i="13"/>
  <c r="F24" i="13"/>
  <c r="J36" i="12"/>
  <c r="G8" i="13"/>
  <c r="G15" i="13" s="1"/>
  <c r="F9" i="13"/>
  <c r="L11" i="10"/>
  <c r="K12" i="10"/>
  <c r="K23" i="12" s="1"/>
  <c r="E37" i="14"/>
  <c r="L62" i="12"/>
  <c r="L31" i="12" s="1"/>
  <c r="L58" i="12"/>
  <c r="L16" i="12" s="1"/>
  <c r="L54" i="12"/>
  <c r="L15" i="12" s="1"/>
  <c r="H12" i="16"/>
  <c r="H11" i="14"/>
  <c r="L59" i="9"/>
  <c r="M61" i="9"/>
  <c r="I11" i="13"/>
  <c r="I14" i="16"/>
  <c r="I33" i="14"/>
  <c r="I36" i="9" l="1"/>
  <c r="E12" i="14"/>
  <c r="E39" i="14" s="1"/>
  <c r="M36" i="12"/>
  <c r="I24" i="13"/>
  <c r="H20" i="14"/>
  <c r="I20" i="14"/>
  <c r="G24" i="13"/>
  <c r="H8" i="13"/>
  <c r="K36" i="12"/>
  <c r="G9" i="13"/>
  <c r="G37" i="14" s="1"/>
  <c r="L61" i="9"/>
  <c r="H11" i="13"/>
  <c r="H21" i="14"/>
  <c r="I21" i="14"/>
  <c r="M11" i="10"/>
  <c r="M12" i="10" s="1"/>
  <c r="M23" i="12" s="1"/>
  <c r="L12" i="10"/>
  <c r="L23" i="12" s="1"/>
  <c r="F22" i="13"/>
  <c r="F38" i="14" s="1"/>
  <c r="F28" i="13"/>
  <c r="J28" i="9" s="1"/>
  <c r="J32" i="12"/>
  <c r="F21" i="13"/>
  <c r="G20" i="13"/>
  <c r="G21" i="13" s="1"/>
  <c r="H22" i="14"/>
  <c r="I22" i="14"/>
  <c r="F37" i="14"/>
  <c r="F12" i="14" l="1"/>
  <c r="F39" i="14" s="1"/>
  <c r="J36" i="9"/>
  <c r="M32" i="12"/>
  <c r="I8" i="13"/>
  <c r="H24" i="13"/>
  <c r="L36" i="12"/>
  <c r="H9" i="13"/>
  <c r="H15" i="13"/>
  <c r="H20" i="13"/>
  <c r="K32" i="12"/>
  <c r="G22" i="13"/>
  <c r="G38" i="14" s="1"/>
  <c r="G28" i="13"/>
  <c r="K28" i="9" s="1"/>
  <c r="I39" i="9"/>
  <c r="I65" i="12" s="1"/>
  <c r="I34" i="12" s="1"/>
  <c r="G12" i="14" l="1"/>
  <c r="G39" i="14" s="1"/>
  <c r="K36" i="9"/>
  <c r="H28" i="13"/>
  <c r="H22" i="13"/>
  <c r="H38" i="14" s="1"/>
  <c r="L32" i="12"/>
  <c r="H21" i="13"/>
  <c r="I20" i="13"/>
  <c r="L28" i="9"/>
  <c r="I15" i="13"/>
  <c r="I9" i="13"/>
  <c r="J39" i="9"/>
  <c r="J65" i="12" s="1"/>
  <c r="J34" i="12" s="1"/>
  <c r="E23" i="14"/>
  <c r="E13" i="16" s="1"/>
  <c r="E15" i="16" s="1"/>
  <c r="E18" i="16" s="1"/>
  <c r="E19" i="16" s="1"/>
  <c r="I35" i="12"/>
  <c r="I40" i="9"/>
  <c r="H37" i="14"/>
  <c r="F23" i="14" l="1"/>
  <c r="F13" i="16" s="1"/>
  <c r="J35" i="12"/>
  <c r="I21" i="13"/>
  <c r="I37" i="14" s="1"/>
  <c r="I28" i="13"/>
  <c r="M28" i="9" s="1"/>
  <c r="I22" i="13"/>
  <c r="I38" i="14" s="1"/>
  <c r="E9" i="14"/>
  <c r="E16" i="14" s="1"/>
  <c r="E24" i="14" s="1"/>
  <c r="I42" i="9"/>
  <c r="I44" i="9" s="1"/>
  <c r="I47" i="9" s="1"/>
  <c r="I62" i="9" s="1"/>
  <c r="E40" i="14" s="1"/>
  <c r="E41" i="14" s="1"/>
  <c r="E43" i="14" s="1"/>
  <c r="E46" i="14" s="1"/>
  <c r="K39" i="9"/>
  <c r="K65" i="12" s="1"/>
  <c r="K34" i="12" s="1"/>
  <c r="K40" i="9"/>
  <c r="J40" i="9"/>
  <c r="L36" i="9"/>
  <c r="H12" i="14"/>
  <c r="H39" i="14" s="1"/>
  <c r="I12" i="14" l="1"/>
  <c r="I39" i="14" s="1"/>
  <c r="M36" i="9"/>
  <c r="G23" i="14"/>
  <c r="G13" i="16" s="1"/>
  <c r="K35" i="12"/>
  <c r="I9" i="12"/>
  <c r="F45" i="14"/>
  <c r="L39" i="9"/>
  <c r="L65" i="12" s="1"/>
  <c r="L34" i="12" s="1"/>
  <c r="L40" i="9"/>
  <c r="K42" i="9"/>
  <c r="K44" i="9" s="1"/>
  <c r="K47" i="9" s="1"/>
  <c r="K62" i="9" s="1"/>
  <c r="G40" i="14" s="1"/>
  <c r="G41" i="14" s="1"/>
  <c r="G43" i="14" s="1"/>
  <c r="G9" i="14"/>
  <c r="G16" i="14" s="1"/>
  <c r="G24" i="14" s="1"/>
  <c r="J42" i="9"/>
  <c r="J44" i="9" s="1"/>
  <c r="J47" i="9" s="1"/>
  <c r="J62" i="9" s="1"/>
  <c r="F40" i="14" s="1"/>
  <c r="F41" i="14" s="1"/>
  <c r="F9" i="14"/>
  <c r="F16" i="14" s="1"/>
  <c r="F24" i="14" s="1"/>
  <c r="F43" i="14" s="1"/>
  <c r="F46" i="14" s="1"/>
  <c r="I40" i="12"/>
  <c r="L35" i="12" l="1"/>
  <c r="H23" i="14"/>
  <c r="H13" i="16" s="1"/>
  <c r="J9" i="12"/>
  <c r="G45" i="14"/>
  <c r="G46" i="14" s="1"/>
  <c r="M39" i="9"/>
  <c r="M65" i="12" s="1"/>
  <c r="M34" i="12" s="1"/>
  <c r="M40" i="9"/>
  <c r="L42" i="9"/>
  <c r="L44" i="9" s="1"/>
  <c r="L47" i="9" s="1"/>
  <c r="L62" i="9" s="1"/>
  <c r="H40" i="14" s="1"/>
  <c r="H41" i="14" s="1"/>
  <c r="H9" i="14"/>
  <c r="H16" i="14" s="1"/>
  <c r="H24" i="14" s="1"/>
  <c r="H43" i="14" s="1"/>
  <c r="I42" i="12"/>
  <c r="I43" i="12" s="1"/>
  <c r="J40" i="12"/>
  <c r="I27" i="12"/>
  <c r="I11" i="12"/>
  <c r="I17" i="12" s="1"/>
  <c r="F9" i="16"/>
  <c r="H45" i="14" l="1"/>
  <c r="H46" i="14" s="1"/>
  <c r="K9" i="12"/>
  <c r="J11" i="12"/>
  <c r="J17" i="12" s="1"/>
  <c r="J27" i="12"/>
  <c r="K40" i="12"/>
  <c r="J42" i="12"/>
  <c r="J43" i="12" s="1"/>
  <c r="M42" i="9"/>
  <c r="M44" i="9" s="1"/>
  <c r="M47" i="9" s="1"/>
  <c r="M62" i="9" s="1"/>
  <c r="I40" i="14" s="1"/>
  <c r="I41" i="14" s="1"/>
  <c r="I43" i="14" s="1"/>
  <c r="I9" i="14"/>
  <c r="I16" i="14" s="1"/>
  <c r="I24" i="14" s="1"/>
  <c r="I45" i="12"/>
  <c r="I23" i="14"/>
  <c r="I13" i="16" s="1"/>
  <c r="I15" i="16" s="1"/>
  <c r="I17" i="16" s="1"/>
  <c r="M35" i="12"/>
  <c r="G9" i="16"/>
  <c r="F10" i="16"/>
  <c r="F11" i="16" s="1"/>
  <c r="F15" i="16" s="1"/>
  <c r="J45" i="12" l="1"/>
  <c r="K11" i="12"/>
  <c r="K17" i="12" s="1"/>
  <c r="K27" i="12"/>
  <c r="K42" i="12"/>
  <c r="K43" i="12" s="1"/>
  <c r="L40" i="12"/>
  <c r="I45" i="14"/>
  <c r="I46" i="14" s="1"/>
  <c r="M9" i="12" s="1"/>
  <c r="L9" i="12"/>
  <c r="F16" i="16"/>
  <c r="H9" i="16"/>
  <c r="H10" i="16" s="1"/>
  <c r="H11" i="16" s="1"/>
  <c r="H15" i="16" s="1"/>
  <c r="G10" i="16"/>
  <c r="G11" i="16" s="1"/>
  <c r="G15" i="16" s="1"/>
  <c r="L27" i="12" l="1"/>
  <c r="L11" i="12"/>
  <c r="L17" i="12" s="1"/>
  <c r="K45" i="12"/>
  <c r="M27" i="12"/>
  <c r="M11" i="12"/>
  <c r="M17" i="12" s="1"/>
  <c r="L42" i="12"/>
  <c r="L43" i="12" s="1"/>
  <c r="M40" i="12"/>
  <c r="M42" i="12" s="1"/>
  <c r="M43" i="12" s="1"/>
  <c r="F18" i="16"/>
  <c r="F19" i="16" s="1"/>
  <c r="G16" i="16"/>
  <c r="H16" i="16"/>
  <c r="H18" i="16" s="1"/>
  <c r="I16" i="16"/>
  <c r="M45" i="12" l="1"/>
  <c r="L45" i="12"/>
  <c r="I18" i="16"/>
  <c r="I19" i="16" s="1"/>
  <c r="H19" i="16"/>
  <c r="G18" i="16"/>
  <c r="G19" i="16" s="1"/>
  <c r="D24" i="16" l="1"/>
  <c r="D28" i="16" s="1"/>
  <c r="D30" i="16" s="1"/>
  <c r="H22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valuation</author>
  </authors>
  <commentList>
    <comment ref="L23" authorId="0" shapeId="0" xr:uid="{98159FE0-73FC-4743-9FCE-298EDB84EF81}">
      <text>
        <r>
          <rPr>
            <b/>
            <sz val="9"/>
            <color indexed="81"/>
            <rFont val="Tahoma"/>
            <family val="2"/>
          </rPr>
          <t>valuation:</t>
        </r>
        <r>
          <rPr>
            <sz val="9"/>
            <color indexed="81"/>
            <rFont val="Tahoma"/>
            <family val="2"/>
          </rPr>
          <t xml:space="preserve">
as per valuation date 20 
feb 2024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valuation</author>
  </authors>
  <commentList>
    <comment ref="F6" authorId="0" shapeId="0" xr:uid="{32A61DD5-77F2-431B-92B2-0995A2B6169D}">
      <text>
        <r>
          <rPr>
            <b/>
            <sz val="9"/>
            <color indexed="81"/>
            <rFont val="Tahoma"/>
            <family val="2"/>
          </rPr>
          <t>valuation:</t>
        </r>
        <r>
          <rPr>
            <sz val="9"/>
            <color indexed="81"/>
            <rFont val="Tahoma"/>
            <family val="2"/>
          </rPr>
          <t xml:space="preserve">
on valuation date 20 feb 2024
</t>
        </r>
      </text>
    </comment>
    <comment ref="S10" authorId="0" shapeId="0" xr:uid="{9725DA50-08CD-4609-83B0-E7021BA966DE}">
      <text>
        <r>
          <rPr>
            <b/>
            <sz val="9"/>
            <color indexed="81"/>
            <rFont val="Tahoma"/>
            <family val="2"/>
          </rPr>
          <t>valuation:</t>
        </r>
        <r>
          <rPr>
            <sz val="9"/>
            <color indexed="81"/>
            <rFont val="Tahoma"/>
            <family val="2"/>
          </rPr>
          <t xml:space="preserve">
on valuation date 20 feb 2024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valuation</author>
  </authors>
  <commentList>
    <comment ref="I8" authorId="0" shapeId="0" xr:uid="{88D67AB6-15F4-4F44-B0D6-A91A088E336D}">
      <text>
        <r>
          <rPr>
            <b/>
            <sz val="9"/>
            <color indexed="81"/>
            <rFont val="Tahoma"/>
            <family val="2"/>
          </rPr>
          <t>valuation:</t>
        </r>
        <r>
          <rPr>
            <sz val="9"/>
            <color indexed="81"/>
            <rFont val="Tahoma"/>
            <family val="2"/>
          </rPr>
          <t xml:space="preserve">
from Damodran Aswath Site
</t>
        </r>
      </text>
    </comment>
  </commentList>
</comments>
</file>

<file path=xl/sharedStrings.xml><?xml version="1.0" encoding="utf-8"?>
<sst xmlns="http://schemas.openxmlformats.org/spreadsheetml/2006/main" count="560" uniqueCount="421">
  <si>
    <t>Asia Pacific</t>
  </si>
  <si>
    <t>Eliminations</t>
  </si>
  <si>
    <t>particulars</t>
  </si>
  <si>
    <t>unit</t>
  </si>
  <si>
    <t>Historicals</t>
  </si>
  <si>
    <t>Forcast</t>
  </si>
  <si>
    <t>Europe,Middle East &amp; Africa</t>
  </si>
  <si>
    <t>Latin America</t>
  </si>
  <si>
    <t>North America</t>
  </si>
  <si>
    <t>Globle Venture</t>
  </si>
  <si>
    <t>Bottling Investment</t>
  </si>
  <si>
    <t xml:space="preserve">Corporate </t>
  </si>
  <si>
    <t>Growth Rate %</t>
  </si>
  <si>
    <t>Total revenue</t>
  </si>
  <si>
    <t>Inventories</t>
  </si>
  <si>
    <t>Cash from Investing Activity -</t>
  </si>
  <si>
    <t>COGS</t>
  </si>
  <si>
    <t>NET operating revenue</t>
  </si>
  <si>
    <t>Add/less: Inorganic growth</t>
  </si>
  <si>
    <t>Organic growth</t>
  </si>
  <si>
    <t>Total revenue before elimination</t>
  </si>
  <si>
    <t>Elimination as % 0f sales before elimination</t>
  </si>
  <si>
    <t>Assumptions</t>
  </si>
  <si>
    <t>Gross profit margin%</t>
  </si>
  <si>
    <t>SG&amp;A as a % of sales</t>
  </si>
  <si>
    <t>other operating charges as% of sales</t>
  </si>
  <si>
    <t>EBIT margins</t>
  </si>
  <si>
    <t>Effective tax rate %</t>
  </si>
  <si>
    <t xml:space="preserve">Depreciation /Amortization as % sales </t>
  </si>
  <si>
    <t xml:space="preserve">EBITDA Margins </t>
  </si>
  <si>
    <t>Dividend</t>
  </si>
  <si>
    <t>8k adjustments</t>
  </si>
  <si>
    <t>reconciliation of GAAP and non Gaap</t>
  </si>
  <si>
    <t>Add/less: Extraordinary items</t>
  </si>
  <si>
    <t>Normalised revenue</t>
  </si>
  <si>
    <t>operating charges</t>
  </si>
  <si>
    <t>Normalised COGS</t>
  </si>
  <si>
    <t xml:space="preserve"> </t>
  </si>
  <si>
    <t>Normalised Gross Profit</t>
  </si>
  <si>
    <t>Normalised sg &amp;a</t>
  </si>
  <si>
    <t>Normalised operating charges</t>
  </si>
  <si>
    <t>Selling general&amp; admin.Expenses</t>
  </si>
  <si>
    <t>Normaised operating income ebit</t>
  </si>
  <si>
    <t xml:space="preserve">Interest expense </t>
  </si>
  <si>
    <t>equity income(loss)-net</t>
  </si>
  <si>
    <t>Income before income taxes (pbt)</t>
  </si>
  <si>
    <t xml:space="preserve">income taxes </t>
  </si>
  <si>
    <t xml:space="preserve">Consolidated Net Income </t>
  </si>
  <si>
    <r>
      <t>Less:Net income (loss)</t>
    </r>
    <r>
      <rPr>
        <sz val="11"/>
        <color theme="1"/>
        <rFont val="Calibri"/>
        <family val="2"/>
        <scheme val="minor"/>
      </rPr>
      <t>attributable to non controliing interest</t>
    </r>
  </si>
  <si>
    <t>Net Income attributable to shareowners of the coca cola company</t>
  </si>
  <si>
    <t>Dilluted EPS</t>
  </si>
  <si>
    <t>AverageShares outstanding -dilluted</t>
  </si>
  <si>
    <t>Dividend per share</t>
  </si>
  <si>
    <t xml:space="preserve">dividend payout ratio </t>
  </si>
  <si>
    <t>Interest income</t>
  </si>
  <si>
    <t xml:space="preserve">Normalized interest income </t>
  </si>
  <si>
    <t>Normalised interest expense</t>
  </si>
  <si>
    <t>Normalised equity income</t>
  </si>
  <si>
    <t>other income-net</t>
  </si>
  <si>
    <t>Normalised other income</t>
  </si>
  <si>
    <t>normalised income tax</t>
  </si>
  <si>
    <t xml:space="preserve">Non controlling interest as a % of income </t>
  </si>
  <si>
    <t>average</t>
  </si>
  <si>
    <t>-</t>
  </si>
  <si>
    <t>cf</t>
  </si>
  <si>
    <t>debt schudule</t>
  </si>
  <si>
    <t xml:space="preserve">cant forcast ,come from equity investmrnt ,many time same use </t>
  </si>
  <si>
    <t>equity income as % of sales</t>
  </si>
  <si>
    <t>net profit margins</t>
  </si>
  <si>
    <t>uper</t>
  </si>
  <si>
    <t>accounting for buy backs to calculculate oustanding shares</t>
  </si>
  <si>
    <t>eps/dps</t>
  </si>
  <si>
    <t>payout*eps</t>
  </si>
  <si>
    <t>(average shares outstanding *dps)</t>
  </si>
  <si>
    <t>capex sheet</t>
  </si>
  <si>
    <t>Property plant &amp; equipment</t>
  </si>
  <si>
    <t xml:space="preserve">Add:Net purchases </t>
  </si>
  <si>
    <t>Gross block</t>
  </si>
  <si>
    <t xml:space="preserve">Less:Accumulated depreciation </t>
  </si>
  <si>
    <t>Net block</t>
  </si>
  <si>
    <t xml:space="preserve">Depreciatipn </t>
  </si>
  <si>
    <t>Depreciation &amp;Amortization</t>
  </si>
  <si>
    <t xml:space="preserve">Rate of depreciation </t>
  </si>
  <si>
    <t>FATR</t>
  </si>
  <si>
    <t xml:space="preserve">Other intangible assets </t>
  </si>
  <si>
    <t>Other intangible assets (with indefinite life)</t>
  </si>
  <si>
    <t>Other intangible assets (with definite life)</t>
  </si>
  <si>
    <t xml:space="preserve">Opening balance </t>
  </si>
  <si>
    <t>Netv block</t>
  </si>
  <si>
    <t>Opening gross  block</t>
  </si>
  <si>
    <t>Closing Gross block</t>
  </si>
  <si>
    <t>dep/gross block</t>
  </si>
  <si>
    <t>normalised sales/FATR</t>
  </si>
  <si>
    <t>revenue total</t>
  </si>
  <si>
    <t>/gross block</t>
  </si>
  <si>
    <t>forcast</t>
  </si>
  <si>
    <t>hitoricals</t>
  </si>
  <si>
    <t>historicals</t>
  </si>
  <si>
    <t>&amp; forcast formula diff</t>
  </si>
  <si>
    <t>RATE</t>
  </si>
  <si>
    <t>FORCAST DEP</t>
  </si>
  <si>
    <t>gross block*rate of dep</t>
  </si>
  <si>
    <t xml:space="preserve">forcast </t>
  </si>
  <si>
    <t>acc dep :previous +new</t>
  </si>
  <si>
    <t>h9+i12</t>
  </si>
  <si>
    <t>dep schedule</t>
  </si>
  <si>
    <t xml:space="preserve">Amortization </t>
  </si>
  <si>
    <t>u</t>
  </si>
  <si>
    <t>b/s</t>
  </si>
  <si>
    <t>after capex ,ebitda and ebitda margins woiuld be forcasted</t>
  </si>
  <si>
    <t>Normalised EBITDA</t>
  </si>
  <si>
    <t>355 carrying value of amortization</t>
  </si>
  <si>
    <t xml:space="preserve">Balance Sheet </t>
  </si>
  <si>
    <t>Assets</t>
  </si>
  <si>
    <t xml:space="preserve">Current Assets  </t>
  </si>
  <si>
    <t xml:space="preserve">Cash and cash equavilent </t>
  </si>
  <si>
    <t xml:space="preserve">Short-term investment </t>
  </si>
  <si>
    <t xml:space="preserve">Total Cash and Cash euavilent and Short- term investment </t>
  </si>
  <si>
    <t xml:space="preserve">Marketable Securities Trade account recievable </t>
  </si>
  <si>
    <t>inventories</t>
  </si>
  <si>
    <t xml:space="preserve">Prepaid expenxes and other current assets </t>
  </si>
  <si>
    <t>Total Current Assets</t>
  </si>
  <si>
    <t xml:space="preserve">Equity method investments </t>
  </si>
  <si>
    <t xml:space="preserve">Other investments </t>
  </si>
  <si>
    <t xml:space="preserve">Oter noncurrent assets </t>
  </si>
  <si>
    <t xml:space="preserve">Defered income tax asset </t>
  </si>
  <si>
    <t>Property,plant and equipment (net)</t>
  </si>
  <si>
    <t xml:space="preserve">Trademark with indefinite lives </t>
  </si>
  <si>
    <t xml:space="preserve">Goodwill </t>
  </si>
  <si>
    <t xml:space="preserve">Other intangible asset </t>
  </si>
  <si>
    <t>Total assets</t>
  </si>
  <si>
    <t xml:space="preserve">Euity and libilities </t>
  </si>
  <si>
    <t>Current liabilities</t>
  </si>
  <si>
    <t xml:space="preserve">Account payable and accrued expenses </t>
  </si>
  <si>
    <t xml:space="preserve">Loan and notes payable </t>
  </si>
  <si>
    <t xml:space="preserve">current maturities of long- term debt </t>
  </si>
  <si>
    <t xml:space="preserve">Accrued income taxes </t>
  </si>
  <si>
    <t xml:space="preserve">Total current liabilties </t>
  </si>
  <si>
    <t xml:space="preserve">Long - term debt </t>
  </si>
  <si>
    <t>Other noncurrent liabilities</t>
  </si>
  <si>
    <t>Deffered income tax liabilities</t>
  </si>
  <si>
    <t>(in millions except par value)</t>
  </si>
  <si>
    <t>cfs</t>
  </si>
  <si>
    <t>mv cannot e predicted that’s why same</t>
  </si>
  <si>
    <t>only when m and d activitt</t>
  </si>
  <si>
    <t>constant or forcast them as % of sales</t>
  </si>
  <si>
    <t>net block</t>
  </si>
  <si>
    <t>or forcasted basis on dep</t>
  </si>
  <si>
    <t>cannot depended on sales so cannot forcast</t>
  </si>
  <si>
    <t xml:space="preserve"> Trade account recievable </t>
  </si>
  <si>
    <t>have to forcast this</t>
  </si>
  <si>
    <t>Equity</t>
  </si>
  <si>
    <t xml:space="preserve">Noncontrolling  interest </t>
  </si>
  <si>
    <t xml:space="preserve">Total Equity  </t>
  </si>
  <si>
    <t xml:space="preserve">Total Liabilities and Equity </t>
  </si>
  <si>
    <t>Check</t>
  </si>
  <si>
    <t xml:space="preserve">Trade accounts reciebles </t>
  </si>
  <si>
    <t>Recievable turnover ratio</t>
  </si>
  <si>
    <t xml:space="preserve">Recievable days </t>
  </si>
  <si>
    <t>1ST</t>
  </si>
  <si>
    <t>plus consolidated profit</t>
  </si>
  <si>
    <t>previous equity</t>
  </si>
  <si>
    <t>LESS DIVIDEND</t>
  </si>
  <si>
    <t>2ND</t>
  </si>
  <si>
    <t>noncontrolling interest</t>
  </si>
  <si>
    <t>previous+</t>
  </si>
  <si>
    <t>net income attributable to them</t>
  </si>
  <si>
    <t>WC</t>
  </si>
  <si>
    <t>Debt shedule</t>
  </si>
  <si>
    <t>wc</t>
  </si>
  <si>
    <t xml:space="preserve">Working Capital </t>
  </si>
  <si>
    <t>Current assets</t>
  </si>
  <si>
    <t>Inventoris turnover ratio</t>
  </si>
  <si>
    <t>Inventory days</t>
  </si>
  <si>
    <t>normalised revenue/traDE RECIEVEABLES</t>
  </si>
  <si>
    <t>Days</t>
  </si>
  <si>
    <t xml:space="preserve">forcast by reducing </t>
  </si>
  <si>
    <t>365/rtr</t>
  </si>
  <si>
    <t xml:space="preserve"> forcast 365/receivable turn over ratio forcasted</t>
  </si>
  <si>
    <t>if 25 d for one how many times in the year</t>
  </si>
  <si>
    <t>normalised sales/rtr forcasted</t>
  </si>
  <si>
    <t>IF I HAVE TO ACHIEVE PARTICULAR SALES and something is happenting 14.40 times a year</t>
  </si>
  <si>
    <t>$</t>
  </si>
  <si>
    <t>cogs used</t>
  </si>
  <si>
    <t xml:space="preserve">Prepaid expenses and other current assets </t>
  </si>
  <si>
    <t xml:space="preserve">Current Liabilities </t>
  </si>
  <si>
    <t>Accounts payable and accrued expenses as % of COGS</t>
  </si>
  <si>
    <t>Prepaid expenses and other current assets % of COGS &amp;SG&amp;A</t>
  </si>
  <si>
    <t>Accrued income taxes</t>
  </si>
  <si>
    <t>Accrued income taxes as % of income tax</t>
  </si>
  <si>
    <t>c</t>
  </si>
  <si>
    <t>16% of sum of cogs and s and adm expenses</t>
  </si>
  <si>
    <t>p/l</t>
  </si>
  <si>
    <t>rolling average</t>
  </si>
  <si>
    <t>f4</t>
  </si>
  <si>
    <t>no need for historical data</t>
  </si>
  <si>
    <t>Long- term debt</t>
  </si>
  <si>
    <t>Closing balance</t>
  </si>
  <si>
    <t xml:space="preserve">Average Interest rate </t>
  </si>
  <si>
    <t xml:space="preserve">interest expense </t>
  </si>
  <si>
    <t xml:space="preserve">Loans and notes payables </t>
  </si>
  <si>
    <t>Less:loans repaid</t>
  </si>
  <si>
    <t xml:space="preserve">Average interest rate </t>
  </si>
  <si>
    <t>(AVERAGE OF OPENING AND CLOSING) *AVERAGE INTEREST RATE</t>
  </si>
  <si>
    <t>Less:Loan repaid</t>
  </si>
  <si>
    <t>maturities of ltd</t>
  </si>
  <si>
    <t>because co. will engage itself in loans every year</t>
  </si>
  <si>
    <t>Net long term debt/EBITDA</t>
  </si>
  <si>
    <t>veterns don’t agree but for simplification</t>
  </si>
  <si>
    <t>total long term debt /EBITDA</t>
  </si>
  <si>
    <t>sum of lt debt and maturuties of lt debt /normalised EBITDA</t>
  </si>
  <si>
    <t>reduce</t>
  </si>
  <si>
    <t>n ltd/ebitda*ebitda</t>
  </si>
  <si>
    <t>equals to closing balance</t>
  </si>
  <si>
    <t>bs</t>
  </si>
  <si>
    <t>ebita*ntld/ebitda</t>
  </si>
  <si>
    <t>normalised</t>
  </si>
  <si>
    <t>debt ..closing -1960</t>
  </si>
  <si>
    <t xml:space="preserve">check bs </t>
  </si>
  <si>
    <t>ltd+cltd</t>
  </si>
  <si>
    <t>closing balance</t>
  </si>
  <si>
    <t>Notes and loans payables as % of long term debt</t>
  </si>
  <si>
    <t xml:space="preserve">ist from bs </t>
  </si>
  <si>
    <t>notes payabe % of ltd</t>
  </si>
  <si>
    <t>*closing balance</t>
  </si>
  <si>
    <t>ist</t>
  </si>
  <si>
    <t>2nd</t>
  </si>
  <si>
    <t>if formula</t>
  </si>
  <si>
    <t>debt and borrowing arrangements wacc</t>
  </si>
  <si>
    <t>for stl</t>
  </si>
  <si>
    <t>Debt Schedule</t>
  </si>
  <si>
    <t>Cashflow from Operations</t>
  </si>
  <si>
    <t>Net profit</t>
  </si>
  <si>
    <t xml:space="preserve">Add/Less:Non cash items </t>
  </si>
  <si>
    <t xml:space="preserve">Depreciation and Amortization </t>
  </si>
  <si>
    <t xml:space="preserve">Equity income </t>
  </si>
  <si>
    <t xml:space="preserve">Other income </t>
  </si>
  <si>
    <t xml:space="preserve">Cashflow from operation before working capital changes </t>
  </si>
  <si>
    <t xml:space="preserve">Trade receivable </t>
  </si>
  <si>
    <t xml:space="preserve">Inventory Prepaid expenses and other current expenses </t>
  </si>
  <si>
    <t xml:space="preserve">Accrued payables and accrued expenses </t>
  </si>
  <si>
    <t>Accrued income tax</t>
  </si>
  <si>
    <t xml:space="preserve">Cash generated from operation </t>
  </si>
  <si>
    <t xml:space="preserve">Interest income </t>
  </si>
  <si>
    <t>consolidated income p/l</t>
  </si>
  <si>
    <t>as%sales</t>
  </si>
  <si>
    <t>Changes in Working Capital</t>
  </si>
  <si>
    <t>last year -previous</t>
  </si>
  <si>
    <t xml:space="preserve"> minus  brackets used</t>
  </si>
  <si>
    <t xml:space="preserve"> Prepaid expenses and other current expenses </t>
  </si>
  <si>
    <t>plus</t>
  </si>
  <si>
    <t xml:space="preserve">Purchase of property plant &amp;equipment </t>
  </si>
  <si>
    <t>Purchase of intangible assets</t>
  </si>
  <si>
    <t>minus</t>
  </si>
  <si>
    <t>net purchases</t>
  </si>
  <si>
    <t>uper subtract now plus so minus sign</t>
  </si>
  <si>
    <t>Cash from investments</t>
  </si>
  <si>
    <t>Cash from Financing Activity</t>
  </si>
  <si>
    <t>Debt taken</t>
  </si>
  <si>
    <t>Debt repaid</t>
  </si>
  <si>
    <t xml:space="preserve">interest paid </t>
  </si>
  <si>
    <t xml:space="preserve">Dividend </t>
  </si>
  <si>
    <t>Cash Flow Statement</t>
  </si>
  <si>
    <t>Profit and Loss Statement</t>
  </si>
  <si>
    <t>Cash generated from financial activities</t>
  </si>
  <si>
    <t>Add:Loan taken</t>
  </si>
  <si>
    <t xml:space="preserve">Cash generated during year </t>
  </si>
  <si>
    <t>Add:Opening balance of cash and cash equivalents</t>
  </si>
  <si>
    <t xml:space="preserve">Closing balance </t>
  </si>
  <si>
    <t>first bs</t>
  </si>
  <si>
    <t>EBIT</t>
  </si>
  <si>
    <t>Tax Rate</t>
  </si>
  <si>
    <t>Free Cash Flows to Firm</t>
  </si>
  <si>
    <t>WACC</t>
  </si>
  <si>
    <t>Terminal Value</t>
  </si>
  <si>
    <t>Marginal Tax Rate</t>
  </si>
  <si>
    <t>this is effective rate however use marginal rate is--------kpmg tax rate report…corporate tax table</t>
  </si>
  <si>
    <t>Calculation of PV of FCFF</t>
  </si>
  <si>
    <t>Less:Income tax</t>
  </si>
  <si>
    <t>NOPAT</t>
  </si>
  <si>
    <t>Add:Depreciation and Amortiztion</t>
  </si>
  <si>
    <t>Less: CapEX</t>
  </si>
  <si>
    <t xml:space="preserve">Terminal Value </t>
  </si>
  <si>
    <t>Total Cash Flow</t>
  </si>
  <si>
    <t>Pv of cash flows</t>
  </si>
  <si>
    <t>Value of Firm</t>
  </si>
  <si>
    <t>sum of fcff and growwth rate</t>
  </si>
  <si>
    <t>All Figures are IN Euros unless stated otherwise</t>
  </si>
  <si>
    <t>Peers Comps</t>
  </si>
  <si>
    <t>Debt/</t>
  </si>
  <si>
    <t xml:space="preserve">Name of the company </t>
  </si>
  <si>
    <t xml:space="preserve">Country </t>
  </si>
  <si>
    <t xml:space="preserve">Total Debt </t>
  </si>
  <si>
    <t xml:space="preserve">Total Equity </t>
  </si>
  <si>
    <t>Capital</t>
  </si>
  <si>
    <t xml:space="preserve">Levered Beta </t>
  </si>
  <si>
    <t xml:space="preserve">Unlevered Beta </t>
  </si>
  <si>
    <t>Average</t>
  </si>
  <si>
    <t>Median</t>
  </si>
  <si>
    <t>Cost of Debt</t>
  </si>
  <si>
    <t>Cost of Equity</t>
  </si>
  <si>
    <t>Beta</t>
  </si>
  <si>
    <t>pre-tax Cost OF Debt</t>
  </si>
  <si>
    <t>Risk Free Return</t>
  </si>
  <si>
    <t xml:space="preserve">  Tax Rate </t>
  </si>
  <si>
    <t>Equity Risk Premium</t>
  </si>
  <si>
    <t>Capital Structure</t>
  </si>
  <si>
    <t>Levered Beta</t>
  </si>
  <si>
    <t xml:space="preserve">Current </t>
  </si>
  <si>
    <t>Target Weight</t>
  </si>
  <si>
    <t>Comps Median Unlevered Beta</t>
  </si>
  <si>
    <t>Market Capitalization</t>
  </si>
  <si>
    <t xml:space="preserve">Target Debt/Equity </t>
  </si>
  <si>
    <t>Total Capitalization</t>
  </si>
  <si>
    <t>Leverage Beta</t>
  </si>
  <si>
    <t>Target Debt /Equity</t>
  </si>
  <si>
    <t>Weighted Average Cost of Capital</t>
  </si>
  <si>
    <t>Notes:</t>
  </si>
  <si>
    <t xml:space="preserve">Cost of Equity </t>
  </si>
  <si>
    <t xml:space="preserve">Equity Weight </t>
  </si>
  <si>
    <t xml:space="preserve">Cost of Debt </t>
  </si>
  <si>
    <t xml:space="preserve">Debt Weight </t>
  </si>
  <si>
    <t>Business Administration</t>
  </si>
  <si>
    <t>Financial Modelling</t>
  </si>
  <si>
    <t>Valuation of Business( Coca Cola)</t>
  </si>
  <si>
    <t>Debt Schudule</t>
  </si>
  <si>
    <t>Capex</t>
  </si>
  <si>
    <t>FCFF</t>
  </si>
  <si>
    <t>RM &amp; RF</t>
  </si>
  <si>
    <t>Intrinsic Value</t>
  </si>
  <si>
    <t>Formulas Available</t>
  </si>
  <si>
    <t>Template</t>
  </si>
  <si>
    <t xml:space="preserve">Revenue </t>
  </si>
  <si>
    <t>Calculation of WACC</t>
  </si>
  <si>
    <t>Date</t>
  </si>
  <si>
    <t>Adj Close</t>
  </si>
  <si>
    <t>Weekly Returns</t>
  </si>
  <si>
    <t>Weekly Retrurns</t>
  </si>
  <si>
    <t>ANOVA</t>
  </si>
  <si>
    <t>df</t>
  </si>
  <si>
    <t>SS</t>
  </si>
  <si>
    <t>MS</t>
  </si>
  <si>
    <t>F</t>
  </si>
  <si>
    <t>Significance F</t>
  </si>
  <si>
    <t>P-value</t>
  </si>
  <si>
    <t>Lower 95%</t>
  </si>
  <si>
    <t>Upper 95%</t>
  </si>
  <si>
    <t>Lower 95.0%</t>
  </si>
  <si>
    <t>Upper 95.0%</t>
  </si>
  <si>
    <t>NYSE</t>
  </si>
  <si>
    <t>Coca Cola</t>
  </si>
  <si>
    <t>year</t>
  </si>
  <si>
    <t>index value</t>
  </si>
  <si>
    <t>CAGR</t>
  </si>
  <si>
    <t>Return from Market (historical)</t>
  </si>
  <si>
    <t xml:space="preserve">Total Time </t>
  </si>
  <si>
    <t>Keurig Dr. Pepper</t>
  </si>
  <si>
    <t>Pepsi Co</t>
  </si>
  <si>
    <t>Monster Beaverages</t>
  </si>
  <si>
    <t>keurig Dr. Pepper</t>
  </si>
  <si>
    <t>Pepsi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</si>
  <si>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</si>
  <si>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</si>
  <si>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</si>
  <si>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</si>
  <si>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</si>
  <si>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</si>
  <si>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</si>
  <si>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</si>
  <si>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</si>
  <si>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</si>
  <si>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Intercept</t>
  </si>
  <si>
    <t>Coefficients</t>
  </si>
  <si>
    <t>t Stat</t>
  </si>
  <si>
    <t>X Variable 1</t>
  </si>
  <si>
    <t>Beta 2</t>
  </si>
  <si>
    <t>Beta 1</t>
  </si>
  <si>
    <t>Beta 3</t>
  </si>
  <si>
    <t>United States of America</t>
  </si>
  <si>
    <t>CMP</t>
  </si>
  <si>
    <t>Redemption</t>
  </si>
  <si>
    <t xml:space="preserve">Valuation date </t>
  </si>
  <si>
    <t xml:space="preserve">Time to maturity </t>
  </si>
  <si>
    <t xml:space="preserve">Coupon rate </t>
  </si>
  <si>
    <t>Face value</t>
  </si>
  <si>
    <t>Coupon Amount</t>
  </si>
  <si>
    <t xml:space="preserve">Risk free return </t>
  </si>
  <si>
    <t xml:space="preserve">Risk Premium </t>
  </si>
  <si>
    <t>(Premium based )</t>
  </si>
  <si>
    <t>Market based</t>
  </si>
  <si>
    <t>Cost of debt(pre-tax)</t>
  </si>
  <si>
    <t xml:space="preserve">Mrginal tax rate </t>
  </si>
  <si>
    <t>Bottom up beta</t>
  </si>
  <si>
    <t>Long term Growth</t>
  </si>
  <si>
    <t xml:space="preserve">Less: Value of Debt </t>
  </si>
  <si>
    <t>Add:cash and cash equivalents</t>
  </si>
  <si>
    <t>Add:Investments</t>
  </si>
  <si>
    <t>Value of Equity</t>
  </si>
  <si>
    <t xml:space="preserve">No. of shareholders outstanding </t>
  </si>
  <si>
    <t>FV per share</t>
  </si>
  <si>
    <t>g</t>
  </si>
  <si>
    <t>r</t>
  </si>
  <si>
    <t>o</t>
  </si>
  <si>
    <t>w</t>
  </si>
  <si>
    <t>t</t>
  </si>
  <si>
    <t>h</t>
  </si>
  <si>
    <t>Wacc</t>
  </si>
  <si>
    <r>
      <t>Total Rate</t>
    </r>
    <r>
      <rPr>
        <b/>
        <vertAlign val="superscript"/>
        <sz val="12"/>
        <color theme="0"/>
        <rFont val="Calibri"/>
        <family val="2"/>
        <scheme val="minor"/>
      </rPr>
      <t xml:space="preserve"> 1</t>
    </r>
  </si>
  <si>
    <t xml:space="preserve">Regression Beta </t>
  </si>
  <si>
    <t>contents</t>
  </si>
  <si>
    <t xml:space="preserve"> Revenue Statement</t>
  </si>
  <si>
    <t xml:space="preserve">Profit &amp;Loss Statement </t>
  </si>
  <si>
    <t xml:space="preserve">Balance sheet </t>
  </si>
  <si>
    <t>CapeX</t>
  </si>
  <si>
    <t xml:space="preserve">Debt Schedule </t>
  </si>
  <si>
    <t>Risk FREE Return</t>
  </si>
  <si>
    <t xml:space="preserve">Market Return </t>
  </si>
  <si>
    <t>Excel Formulae</t>
  </si>
  <si>
    <t>Sources</t>
  </si>
  <si>
    <t xml:space="preserve">Sources are available </t>
  </si>
  <si>
    <t xml:space="preserve">forcasted Financial Statements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</si>
</sst>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#,##0.0"/>
    <numFmt numFmtId="165" formatCode="0.0%"/>
    <numFmt numFmtId="166" formatCode="#,##0.0;\(#,##0.0\);\-"/>
    <numFmt numFmtId="167" formatCode="#,##0_);\(#,##0\);\-"/>
    <numFmt numFmtId="168" formatCode="0.000%"/>
    <numFmt numFmtId="169" formatCode="#,##0.0;\(#,##0.0\)"/>
    <numFmt numFmtId="170" formatCode="0.0"/>
    <numFmt numFmtId="171" formatCode="mmm\-yy&quot;A&quot;"/>
    <numFmt numFmtId="172" formatCode="mmm\-yy&quot;F&quot;"/>
    <numFmt numFmtId="173" formatCode="0.000000000000000%"/>
    <numFmt numFmtId="174" formatCode="#,##0.0;\(#,##0\);\-"/>
  </numFmts>
  <fonts count="46" x14ac:knownFonts="1">
    <font>
      <sz val="11"/>
      <color theme="1"/>
      <name val="calibri"/>
      <family val="2"/>
    </font>
    <font>
      <b/>
      <sz val="8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b/>
      <sz val="8"/>
      <color rgb="FF0000FF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9" tint="0.3999755851924192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1"/>
      <color theme="0"/>
      <name val="calibri"/>
      <family val="2"/>
    </font>
    <font>
      <sz val="11"/>
      <color theme="9" tint="-0.249977111117893"/>
      <name val="calibri"/>
      <family val="2"/>
    </font>
    <font>
      <sz val="11"/>
      <color theme="9" tint="0.39997558519241921"/>
      <name val="calibri"/>
      <family val="2"/>
    </font>
    <font>
      <b/>
      <sz val="12"/>
      <color theme="1"/>
      <name val="calibri"/>
      <family val="2"/>
    </font>
    <font>
      <sz val="11"/>
      <color rgb="FF92D050"/>
      <name val="calibri"/>
      <family val="2"/>
    </font>
    <font>
      <b/>
      <sz val="11"/>
      <color rgb="FF92D05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sz val="16"/>
      <color theme="1"/>
      <name val="calibri"/>
      <family val="2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28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 applyAlignment="1">
      <alignment horizontal="right" wrapText="1"/>
    </xf>
    <xf numFmtId="0" fontId="0" fillId="3" borderId="0" xfId="0" applyFill="1"/>
    <xf numFmtId="164" fontId="0" fillId="0" borderId="0" xfId="0" applyNumberFormat="1"/>
    <xf numFmtId="164" fontId="1" fillId="3" borderId="0" xfId="0" applyNumberFormat="1" applyFont="1" applyFill="1" applyAlignment="1">
      <alignment wrapText="1"/>
    </xf>
    <xf numFmtId="165" fontId="0" fillId="0" borderId="0" xfId="1" applyNumberFormat="1" applyFont="1"/>
    <xf numFmtId="10" fontId="0" fillId="0" borderId="0" xfId="1" applyNumberFormat="1" applyFont="1"/>
    <xf numFmtId="0" fontId="0" fillId="0" borderId="2" xfId="0" applyBorder="1"/>
    <xf numFmtId="0" fontId="3" fillId="0" borderId="2" xfId="0" applyFont="1" applyBorder="1"/>
    <xf numFmtId="164" fontId="4" fillId="0" borderId="0" xfId="0" applyNumberFormat="1" applyFont="1"/>
    <xf numFmtId="164" fontId="5" fillId="3" borderId="0" xfId="0" applyNumberFormat="1" applyFont="1" applyFill="1" applyAlignment="1">
      <alignment wrapText="1"/>
    </xf>
    <xf numFmtId="166" fontId="4" fillId="0" borderId="0" xfId="0" applyNumberFormat="1" applyFont="1"/>
    <xf numFmtId="167" fontId="0" fillId="0" borderId="0" xfId="1" applyNumberFormat="1" applyFont="1"/>
    <xf numFmtId="10" fontId="4" fillId="0" borderId="0" xfId="1" applyNumberFormat="1" applyFont="1"/>
    <xf numFmtId="167" fontId="4" fillId="0" borderId="0" xfId="1" applyNumberFormat="1" applyFont="1"/>
    <xf numFmtId="9" fontId="4" fillId="0" borderId="0" xfId="1" applyFont="1"/>
    <xf numFmtId="9" fontId="0" fillId="0" borderId="0" xfId="0" applyNumberFormat="1"/>
    <xf numFmtId="10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3" fillId="0" borderId="0" xfId="1" applyNumberFormat="1" applyFont="1"/>
    <xf numFmtId="164" fontId="3" fillId="0" borderId="2" xfId="0" applyNumberFormat="1" applyFont="1" applyBorder="1"/>
    <xf numFmtId="0" fontId="4" fillId="0" borderId="0" xfId="0" applyFont="1"/>
    <xf numFmtId="0" fontId="0" fillId="0" borderId="3" xfId="0" applyBorder="1"/>
    <xf numFmtId="0" fontId="3" fillId="0" borderId="3" xfId="0" applyFont="1" applyBorder="1"/>
    <xf numFmtId="2" fontId="0" fillId="0" borderId="0" xfId="0" applyNumberFormat="1"/>
    <xf numFmtId="169" fontId="4" fillId="0" borderId="4" xfId="0" applyNumberFormat="1" applyFont="1" applyBorder="1"/>
    <xf numFmtId="0" fontId="9" fillId="0" borderId="0" xfId="0" applyFont="1"/>
    <xf numFmtId="0" fontId="11" fillId="0" borderId="0" xfId="0" applyFont="1"/>
    <xf numFmtId="2" fontId="4" fillId="0" borderId="0" xfId="0" applyNumberFormat="1" applyFont="1"/>
    <xf numFmtId="165" fontId="0" fillId="0" borderId="0" xfId="0" applyNumberFormat="1"/>
    <xf numFmtId="0" fontId="0" fillId="5" borderId="0" xfId="0" applyFill="1"/>
    <xf numFmtId="0" fontId="0" fillId="0" borderId="0" xfId="0" applyAlignment="1">
      <alignment horizontal="left" indent="2"/>
    </xf>
    <xf numFmtId="0" fontId="0" fillId="6" borderId="0" xfId="0" applyFill="1"/>
    <xf numFmtId="2" fontId="4" fillId="5" borderId="0" xfId="0" applyNumberFormat="1" applyFont="1" applyFill="1"/>
    <xf numFmtId="0" fontId="3" fillId="0" borderId="6" xfId="0" applyFont="1" applyBorder="1"/>
    <xf numFmtId="0" fontId="0" fillId="0" borderId="6" xfId="0" applyBorder="1"/>
    <xf numFmtId="0" fontId="13" fillId="0" borderId="0" xfId="0" applyFont="1"/>
    <xf numFmtId="44" fontId="0" fillId="0" borderId="0" xfId="2" applyFont="1"/>
    <xf numFmtId="0" fontId="0" fillId="7" borderId="0" xfId="0" applyFill="1"/>
    <xf numFmtId="2" fontId="14" fillId="0" borderId="0" xfId="0" applyNumberFormat="1" applyFont="1"/>
    <xf numFmtId="0" fontId="14" fillId="0" borderId="0" xfId="0" applyFont="1"/>
    <xf numFmtId="0" fontId="3" fillId="0" borderId="7" xfId="0" applyFont="1" applyBorder="1"/>
    <xf numFmtId="0" fontId="0" fillId="0" borderId="7" xfId="0" applyBorder="1"/>
    <xf numFmtId="0" fontId="4" fillId="6" borderId="0" xfId="0" applyFont="1" applyFill="1"/>
    <xf numFmtId="1" fontId="0" fillId="0" borderId="0" xfId="0" applyNumberFormat="1"/>
    <xf numFmtId="2" fontId="0" fillId="6" borderId="0" xfId="0" applyNumberFormat="1" applyFill="1"/>
    <xf numFmtId="0" fontId="0" fillId="0" borderId="9" xfId="0" applyBorder="1"/>
    <xf numFmtId="0" fontId="0" fillId="0" borderId="5" xfId="0" applyBorder="1"/>
    <xf numFmtId="9" fontId="0" fillId="0" borderId="0" xfId="1" applyFont="1"/>
    <xf numFmtId="2" fontId="11" fillId="0" borderId="0" xfId="0" applyNumberFormat="1" applyFont="1"/>
    <xf numFmtId="0" fontId="15" fillId="6" borderId="0" xfId="0" applyFont="1" applyFill="1"/>
    <xf numFmtId="2" fontId="3" fillId="0" borderId="3" xfId="0" applyNumberFormat="1" applyFont="1" applyBorder="1"/>
    <xf numFmtId="2" fontId="3" fillId="0" borderId="0" xfId="0" applyNumberFormat="1" applyFont="1"/>
    <xf numFmtId="170" fontId="0" fillId="0" borderId="0" xfId="0" applyNumberFormat="1"/>
    <xf numFmtId="0" fontId="13" fillId="0" borderId="6" xfId="0" applyFont="1" applyBorder="1"/>
    <xf numFmtId="0" fontId="8" fillId="0" borderId="0" xfId="3"/>
    <xf numFmtId="10" fontId="8" fillId="0" borderId="0" xfId="3" applyNumberFormat="1"/>
    <xf numFmtId="0" fontId="16" fillId="3" borderId="0" xfId="3" applyFont="1" applyFill="1"/>
    <xf numFmtId="171" fontId="16" fillId="3" borderId="0" xfId="3" applyNumberFormat="1" applyFont="1" applyFill="1"/>
    <xf numFmtId="172" fontId="16" fillId="3" borderId="0" xfId="3" applyNumberFormat="1" applyFont="1" applyFill="1"/>
    <xf numFmtId="0" fontId="8" fillId="3" borderId="0" xfId="3" applyFill="1"/>
    <xf numFmtId="2" fontId="8" fillId="0" borderId="0" xfId="3" applyNumberFormat="1"/>
    <xf numFmtId="9" fontId="8" fillId="0" borderId="0" xfId="1" applyFont="1"/>
    <xf numFmtId="0" fontId="6" fillId="0" borderId="0" xfId="3" applyFont="1"/>
    <xf numFmtId="2" fontId="6" fillId="0" borderId="0" xfId="3" applyNumberFormat="1" applyFont="1"/>
    <xf numFmtId="0" fontId="17" fillId="0" borderId="0" xfId="3" applyFont="1" applyAlignment="1">
      <alignment horizontal="left" indent="2"/>
    </xf>
    <xf numFmtId="164" fontId="8" fillId="0" borderId="0" xfId="3" applyNumberFormat="1"/>
    <xf numFmtId="164" fontId="6" fillId="0" borderId="0" xfId="3" applyNumberFormat="1" applyFont="1"/>
    <xf numFmtId="0" fontId="6" fillId="3" borderId="0" xfId="3" applyFont="1" applyFill="1"/>
    <xf numFmtId="0" fontId="20" fillId="0" borderId="0" xfId="3" applyFont="1"/>
    <xf numFmtId="164" fontId="20" fillId="0" borderId="0" xfId="3" applyNumberFormat="1" applyFont="1"/>
    <xf numFmtId="164" fontId="20" fillId="0" borderId="0" xfId="3" applyNumberFormat="1" applyFont="1" applyAlignment="1">
      <alignment horizontal="right"/>
    </xf>
    <xf numFmtId="10" fontId="20" fillId="0" borderId="0" xfId="4" applyNumberFormat="1" applyFont="1"/>
    <xf numFmtId="10" fontId="21" fillId="7" borderId="0" xfId="4" applyNumberFormat="1" applyFont="1" applyFill="1"/>
    <xf numFmtId="164" fontId="8" fillId="7" borderId="0" xfId="3" applyNumberFormat="1" applyFill="1"/>
    <xf numFmtId="164" fontId="21" fillId="7" borderId="0" xfId="3" applyNumberFormat="1" applyFont="1" applyFill="1"/>
    <xf numFmtId="0" fontId="8" fillId="0" borderId="3" xfId="3" applyBorder="1"/>
    <xf numFmtId="10" fontId="8" fillId="7" borderId="3" xfId="3" applyNumberFormat="1" applyFill="1" applyBorder="1"/>
    <xf numFmtId="2" fontId="8" fillId="7" borderId="3" xfId="3" applyNumberFormat="1" applyFill="1" applyBorder="1"/>
    <xf numFmtId="0" fontId="8" fillId="0" borderId="6" xfId="3" applyBorder="1"/>
    <xf numFmtId="10" fontId="8" fillId="7" borderId="6" xfId="3" applyNumberFormat="1" applyFill="1" applyBorder="1"/>
    <xf numFmtId="2" fontId="8" fillId="7" borderId="6" xfId="3" applyNumberFormat="1" applyFill="1" applyBorder="1"/>
    <xf numFmtId="0" fontId="6" fillId="0" borderId="6" xfId="3" applyFont="1" applyBorder="1"/>
    <xf numFmtId="0" fontId="8" fillId="3" borderId="6" xfId="3" applyFill="1" applyBorder="1"/>
    <xf numFmtId="0" fontId="8" fillId="0" borderId="0" xfId="3" applyAlignment="1">
      <alignment horizontal="left" vertical="center" indent="1"/>
    </xf>
    <xf numFmtId="0" fontId="8" fillId="0" borderId="0" xfId="3" applyAlignment="1">
      <alignment horizontal="center" vertical="center"/>
    </xf>
    <xf numFmtId="10" fontId="20" fillId="0" borderId="0" xfId="3" applyNumberFormat="1" applyFont="1"/>
    <xf numFmtId="0" fontId="6" fillId="0" borderId="3" xfId="3" applyFont="1" applyBorder="1"/>
    <xf numFmtId="10" fontId="0" fillId="0" borderId="3" xfId="4" applyNumberFormat="1" applyFont="1" applyBorder="1"/>
    <xf numFmtId="0" fontId="8" fillId="3" borderId="3" xfId="3" applyFill="1" applyBorder="1"/>
    <xf numFmtId="0" fontId="6" fillId="0" borderId="3" xfId="3" applyFont="1" applyBorder="1" applyAlignment="1">
      <alignment horizontal="right"/>
    </xf>
    <xf numFmtId="9" fontId="0" fillId="0" borderId="0" xfId="4" applyFont="1" applyBorder="1"/>
    <xf numFmtId="10" fontId="8" fillId="10" borderId="0" xfId="3" applyNumberFormat="1" applyFill="1"/>
    <xf numFmtId="2" fontId="8" fillId="10" borderId="0" xfId="3" applyNumberFormat="1" applyFill="1"/>
    <xf numFmtId="10" fontId="0" fillId="0" borderId="0" xfId="4" applyNumberFormat="1" applyFont="1" applyBorder="1"/>
    <xf numFmtId="164" fontId="20" fillId="0" borderId="3" xfId="3" applyNumberFormat="1" applyFont="1" applyBorder="1"/>
    <xf numFmtId="165" fontId="0" fillId="0" borderId="3" xfId="4" applyNumberFormat="1" applyFont="1" applyBorder="1"/>
    <xf numFmtId="10" fontId="20" fillId="3" borderId="0" xfId="3" applyNumberFormat="1" applyFont="1" applyFill="1"/>
    <xf numFmtId="2" fontId="8" fillId="0" borderId="3" xfId="3" applyNumberFormat="1" applyBorder="1"/>
    <xf numFmtId="2" fontId="8" fillId="3" borderId="3" xfId="3" applyNumberFormat="1" applyFill="1" applyBorder="1"/>
    <xf numFmtId="9" fontId="0" fillId="0" borderId="0" xfId="4" applyFont="1"/>
    <xf numFmtId="10" fontId="0" fillId="0" borderId="0" xfId="4" applyNumberFormat="1" applyFont="1"/>
    <xf numFmtId="0" fontId="8" fillId="0" borderId="0" xfId="3" applyAlignment="1">
      <alignment horizontal="center"/>
    </xf>
    <xf numFmtId="0" fontId="22" fillId="0" borderId="0" xfId="3" applyFont="1" applyAlignment="1">
      <alignment horizontal="left" indent="1"/>
    </xf>
    <xf numFmtId="0" fontId="19" fillId="0" borderId="0" xfId="3" applyFont="1"/>
    <xf numFmtId="0" fontId="26" fillId="15" borderId="0" xfId="3" applyFont="1" applyFill="1"/>
    <xf numFmtId="0" fontId="26" fillId="3" borderId="0" xfId="3" applyFont="1" applyFill="1"/>
    <xf numFmtId="0" fontId="16" fillId="9" borderId="0" xfId="3" applyFont="1" applyFill="1"/>
    <xf numFmtId="14" fontId="8" fillId="0" borderId="0" xfId="3" applyNumberFormat="1"/>
    <xf numFmtId="0" fontId="27" fillId="0" borderId="0" xfId="3" applyFont="1" applyAlignment="1">
      <alignment horizontal="center"/>
    </xf>
    <xf numFmtId="15" fontId="8" fillId="0" borderId="0" xfId="3" applyNumberFormat="1"/>
    <xf numFmtId="0" fontId="27" fillId="0" borderId="0" xfId="3" applyFont="1" applyAlignment="1">
      <alignment horizontal="centerContinuous"/>
    </xf>
    <xf numFmtId="2" fontId="8" fillId="3" borderId="0" xfId="3" applyNumberFormat="1" applyFill="1"/>
    <xf numFmtId="0" fontId="19" fillId="3" borderId="0" xfId="3" applyFont="1" applyFill="1"/>
    <xf numFmtId="0" fontId="25" fillId="3" borderId="0" xfId="3" applyFont="1" applyFill="1" applyAlignment="1">
      <alignment horizontal="center"/>
    </xf>
    <xf numFmtId="0" fontId="26" fillId="3" borderId="0" xfId="3" applyFont="1" applyFill="1" applyAlignment="1">
      <alignment horizontal="center"/>
    </xf>
    <xf numFmtId="10" fontId="0" fillId="3" borderId="0" xfId="4" applyNumberFormat="1" applyFont="1" applyFill="1"/>
    <xf numFmtId="15" fontId="0" fillId="0" borderId="0" xfId="0" applyNumberFormat="1"/>
    <xf numFmtId="14" fontId="0" fillId="0" borderId="0" xfId="0" applyNumberFormat="1"/>
    <xf numFmtId="0" fontId="25" fillId="9" borderId="0" xfId="3" applyFont="1" applyFill="1"/>
    <xf numFmtId="0" fontId="0" fillId="0" borderId="16" xfId="0" applyBorder="1"/>
    <xf numFmtId="0" fontId="30" fillId="0" borderId="17" xfId="0" applyFont="1" applyBorder="1" applyAlignment="1">
      <alignment horizontal="center"/>
    </xf>
    <xf numFmtId="0" fontId="30" fillId="0" borderId="17" xfId="0" applyFont="1" applyBorder="1" applyAlignment="1">
      <alignment horizontal="centerContinuous"/>
    </xf>
    <xf numFmtId="0" fontId="30" fillId="0" borderId="0" xfId="0" applyFont="1" applyAlignment="1">
      <alignment horizontal="center"/>
    </xf>
    <xf numFmtId="10" fontId="0" fillId="3" borderId="0" xfId="4" applyNumberFormat="1" applyFont="1" applyFill="1" applyBorder="1"/>
    <xf numFmtId="14" fontId="8" fillId="3" borderId="0" xfId="3" applyNumberFormat="1" applyFill="1"/>
    <xf numFmtId="173" fontId="19" fillId="0" borderId="0" xfId="3" applyNumberFormat="1" applyFont="1"/>
    <xf numFmtId="2" fontId="19" fillId="0" borderId="1" xfId="3" applyNumberFormat="1" applyFont="1" applyBorder="1" applyAlignment="1">
      <alignment horizontal="center"/>
    </xf>
    <xf numFmtId="0" fontId="19" fillId="0" borderId="1" xfId="3" applyFont="1" applyBorder="1"/>
    <xf numFmtId="2" fontId="19" fillId="0" borderId="1" xfId="3" applyNumberFormat="1" applyFont="1" applyBorder="1"/>
    <xf numFmtId="2" fontId="19" fillId="0" borderId="0" xfId="3" applyNumberFormat="1" applyFont="1"/>
    <xf numFmtId="0" fontId="8" fillId="0" borderId="1" xfId="3" applyBorder="1"/>
    <xf numFmtId="10" fontId="8" fillId="0" borderId="0" xfId="1" applyNumberFormat="1" applyFont="1"/>
    <xf numFmtId="0" fontId="8" fillId="7" borderId="0" xfId="3" applyFill="1"/>
    <xf numFmtId="2" fontId="0" fillId="7" borderId="0" xfId="1" applyNumberFormat="1" applyFont="1" applyFill="1"/>
    <xf numFmtId="2" fontId="0" fillId="7" borderId="0" xfId="0" applyNumberFormat="1" applyFill="1"/>
    <xf numFmtId="10" fontId="0" fillId="7" borderId="0" xfId="0" applyNumberFormat="1" applyFill="1"/>
    <xf numFmtId="0" fontId="8" fillId="0" borderId="0" xfId="3" applyAlignment="1">
      <alignment horizontal="left"/>
    </xf>
    <xf numFmtId="0" fontId="19" fillId="0" borderId="2" xfId="3" applyFont="1" applyBorder="1"/>
    <xf numFmtId="0" fontId="6" fillId="3" borderId="6" xfId="3" applyFont="1" applyFill="1" applyBorder="1"/>
    <xf numFmtId="10" fontId="19" fillId="0" borderId="2" xfId="3" applyNumberFormat="1" applyFont="1" applyBorder="1"/>
    <xf numFmtId="4" fontId="8" fillId="0" borderId="0" xfId="3" applyNumberFormat="1"/>
    <xf numFmtId="0" fontId="3" fillId="12" borderId="0" xfId="0" applyFont="1" applyFill="1"/>
    <xf numFmtId="10" fontId="3" fillId="0" borderId="2" xfId="0" applyNumberFormat="1" applyFont="1" applyBorder="1"/>
    <xf numFmtId="10" fontId="3" fillId="0" borderId="2" xfId="1" applyNumberFormat="1" applyFont="1" applyBorder="1"/>
    <xf numFmtId="0" fontId="8" fillId="3" borderId="0" xfId="3" applyFill="1" applyAlignment="1">
      <alignment horizontal="left"/>
    </xf>
    <xf numFmtId="0" fontId="32" fillId="3" borderId="0" xfId="3" applyFont="1" applyFill="1" applyAlignment="1">
      <alignment horizontal="left"/>
    </xf>
    <xf numFmtId="0" fontId="32" fillId="3" borderId="0" xfId="3" applyFont="1" applyFill="1" applyAlignment="1">
      <alignment horizontal="right"/>
    </xf>
    <xf numFmtId="10" fontId="8" fillId="3" borderId="0" xfId="3" applyNumberFormat="1" applyFill="1"/>
    <xf numFmtId="10" fontId="18" fillId="3" borderId="0" xfId="3" applyNumberFormat="1" applyFont="1" applyFill="1"/>
    <xf numFmtId="0" fontId="33" fillId="3" borderId="0" xfId="3" applyFont="1" applyFill="1"/>
    <xf numFmtId="0" fontId="31" fillId="3" borderId="0" xfId="3" applyFont="1" applyFill="1"/>
    <xf numFmtId="10" fontId="8" fillId="3" borderId="0" xfId="1" applyNumberFormat="1" applyFont="1" applyFill="1" applyBorder="1"/>
    <xf numFmtId="10" fontId="19" fillId="3" borderId="0" xfId="3" applyNumberFormat="1" applyFont="1" applyFill="1"/>
    <xf numFmtId="15" fontId="0" fillId="3" borderId="0" xfId="0" applyNumberFormat="1" applyFill="1"/>
    <xf numFmtId="0" fontId="0" fillId="3" borderId="0" xfId="0" applyFill="1" applyAlignment="1">
      <alignment horizontal="left" indent="2"/>
    </xf>
    <xf numFmtId="2" fontId="0" fillId="3" borderId="0" xfId="0" applyNumberFormat="1" applyFill="1"/>
    <xf numFmtId="10" fontId="0" fillId="3" borderId="0" xfId="1" applyNumberFormat="1" applyFont="1" applyFill="1" applyBorder="1"/>
    <xf numFmtId="2" fontId="0" fillId="3" borderId="0" xfId="1" applyNumberFormat="1" applyFont="1" applyFill="1" applyBorder="1"/>
    <xf numFmtId="10" fontId="0" fillId="3" borderId="0" xfId="0" applyNumberFormat="1" applyFill="1"/>
    <xf numFmtId="9" fontId="0" fillId="3" borderId="0" xfId="0" applyNumberFormat="1" applyFill="1"/>
    <xf numFmtId="0" fontId="13" fillId="3" borderId="0" xfId="0" applyFont="1" applyFill="1"/>
    <xf numFmtId="2" fontId="21" fillId="4" borderId="11" xfId="3" applyNumberFormat="1" applyFont="1" applyFill="1" applyBorder="1"/>
    <xf numFmtId="165" fontId="8" fillId="16" borderId="13" xfId="1" applyNumberFormat="1" applyFont="1" applyFill="1" applyBorder="1"/>
    <xf numFmtId="2" fontId="8" fillId="4" borderId="0" xfId="3" applyNumberFormat="1" applyFill="1"/>
    <xf numFmtId="0" fontId="8" fillId="17" borderId="0" xfId="3" applyFill="1"/>
    <xf numFmtId="2" fontId="8" fillId="17" borderId="0" xfId="3" applyNumberFormat="1" applyFill="1"/>
    <xf numFmtId="165" fontId="8" fillId="17" borderId="3" xfId="1" applyNumberFormat="1" applyFont="1" applyFill="1" applyBorder="1"/>
    <xf numFmtId="0" fontId="6" fillId="17" borderId="0" xfId="3" applyFont="1" applyFill="1" applyAlignment="1">
      <alignment horizontal="left" indent="6"/>
    </xf>
    <xf numFmtId="165" fontId="8" fillId="17" borderId="13" xfId="1" applyNumberFormat="1" applyFont="1" applyFill="1" applyBorder="1"/>
    <xf numFmtId="0" fontId="8" fillId="3" borderId="0" xfId="3" applyFill="1" applyAlignment="1">
      <alignment horizontal="left" indent="1"/>
    </xf>
    <xf numFmtId="164" fontId="37" fillId="9" borderId="3" xfId="3" applyNumberFormat="1" applyFont="1" applyFill="1" applyBorder="1"/>
    <xf numFmtId="164" fontId="35" fillId="9" borderId="0" xfId="3" applyNumberFormat="1" applyFont="1" applyFill="1"/>
    <xf numFmtId="164" fontId="35" fillId="9" borderId="6" xfId="3" applyNumberFormat="1" applyFont="1" applyFill="1" applyBorder="1"/>
    <xf numFmtId="0" fontId="32" fillId="9" borderId="0" xfId="0" applyFont="1" applyFill="1"/>
    <xf numFmtId="0" fontId="32" fillId="9" borderId="1" xfId="0" applyFont="1" applyFill="1" applyBorder="1"/>
    <xf numFmtId="0" fontId="32" fillId="9" borderId="8" xfId="0" applyFont="1" applyFill="1" applyBorder="1"/>
    <xf numFmtId="0" fontId="34" fillId="9" borderId="0" xfId="0" applyFont="1" applyFill="1"/>
    <xf numFmtId="0" fontId="34" fillId="9" borderId="1" xfId="0" applyFont="1" applyFill="1" applyBorder="1"/>
    <xf numFmtId="0" fontId="34" fillId="9" borderId="5" xfId="0" applyFont="1" applyFill="1" applyBorder="1"/>
    <xf numFmtId="0" fontId="34" fillId="9" borderId="0" xfId="0" applyFont="1" applyFill="1" applyAlignment="1">
      <alignment horizontal="left" indent="2"/>
    </xf>
    <xf numFmtId="0" fontId="39" fillId="9" borderId="6" xfId="3" applyFont="1" applyFill="1" applyBorder="1"/>
    <xf numFmtId="0" fontId="40" fillId="9" borderId="6" xfId="3" applyFont="1" applyFill="1" applyBorder="1"/>
    <xf numFmtId="0" fontId="41" fillId="10" borderId="0" xfId="3" applyFont="1" applyFill="1"/>
    <xf numFmtId="2" fontId="41" fillId="10" borderId="0" xfId="3" applyNumberFormat="1" applyFont="1" applyFill="1"/>
    <xf numFmtId="0" fontId="42" fillId="9" borderId="0" xfId="0" applyFont="1" applyFill="1"/>
    <xf numFmtId="0" fontId="43" fillId="9" borderId="0" xfId="0" applyFont="1" applyFill="1"/>
    <xf numFmtId="0" fontId="23" fillId="10" borderId="0" xfId="0" applyFont="1" applyFill="1"/>
    <xf numFmtId="0" fontId="44" fillId="10" borderId="0" xfId="0" applyFont="1" applyFill="1"/>
    <xf numFmtId="0" fontId="19" fillId="7" borderId="1" xfId="3" applyFont="1" applyFill="1" applyBorder="1"/>
    <xf numFmtId="0" fontId="10" fillId="9" borderId="11" xfId="0" applyFont="1" applyFill="1" applyBorder="1"/>
    <xf numFmtId="0" fontId="36" fillId="9" borderId="3" xfId="0" applyFont="1" applyFill="1" applyBorder="1"/>
    <xf numFmtId="0" fontId="10" fillId="9" borderId="3" xfId="0" applyFont="1" applyFill="1" applyBorder="1"/>
    <xf numFmtId="0" fontId="10" fillId="9" borderId="12" xfId="0" applyFont="1" applyFill="1" applyBorder="1"/>
    <xf numFmtId="0" fontId="0" fillId="18" borderId="13" xfId="0" applyFill="1" applyBorder="1"/>
    <xf numFmtId="0" fontId="24" fillId="18" borderId="0" xfId="0" applyFont="1" applyFill="1" applyAlignment="1">
      <alignment horizontal="left" indent="1"/>
    </xf>
    <xf numFmtId="0" fontId="0" fillId="18" borderId="4" xfId="0" applyFill="1" applyBorder="1"/>
    <xf numFmtId="0" fontId="24" fillId="18" borderId="0" xfId="0" applyFont="1" applyFill="1"/>
    <xf numFmtId="0" fontId="0" fillId="18" borderId="0" xfId="0" applyFill="1"/>
    <xf numFmtId="0" fontId="0" fillId="0" borderId="14" xfId="0" applyBorder="1"/>
    <xf numFmtId="0" fontId="0" fillId="0" borderId="15" xfId="0" applyBorder="1"/>
    <xf numFmtId="0" fontId="3" fillId="3" borderId="0" xfId="0" applyFont="1" applyFill="1"/>
    <xf numFmtId="0" fontId="0" fillId="19" borderId="0" xfId="0" applyFill="1"/>
    <xf numFmtId="0" fontId="3" fillId="2" borderId="0" xfId="0" applyFont="1" applyFill="1"/>
    <xf numFmtId="0" fontId="45" fillId="2" borderId="0" xfId="0" applyFont="1" applyFill="1"/>
    <xf numFmtId="0" fontId="10" fillId="2" borderId="0" xfId="0" applyFont="1" applyFill="1"/>
    <xf numFmtId="0" fontId="10" fillId="3" borderId="0" xfId="0" applyFont="1" applyFill="1"/>
    <xf numFmtId="0" fontId="34" fillId="3" borderId="0" xfId="0" applyFont="1" applyFill="1"/>
    <xf numFmtId="169" fontId="0" fillId="0" borderId="0" xfId="0" applyNumberFormat="1"/>
    <xf numFmtId="169" fontId="32" fillId="9" borderId="0" xfId="0" applyNumberFormat="1" applyFont="1" applyFill="1"/>
    <xf numFmtId="169" fontId="32" fillId="9" borderId="1" xfId="0" applyNumberFormat="1" applyFont="1" applyFill="1" applyBorder="1"/>
    <xf numFmtId="169" fontId="32" fillId="9" borderId="5" xfId="0" applyNumberFormat="1" applyFont="1" applyFill="1" applyBorder="1"/>
    <xf numFmtId="169" fontId="0" fillId="4" borderId="0" xfId="0" applyNumberFormat="1" applyFill="1"/>
    <xf numFmtId="169" fontId="7" fillId="0" borderId="0" xfId="0" applyNumberFormat="1" applyFont="1"/>
    <xf numFmtId="169" fontId="7" fillId="0" borderId="4" xfId="0" applyNumberFormat="1" applyFont="1" applyBorder="1"/>
    <xf numFmtId="169" fontId="9" fillId="0" borderId="0" xfId="0" applyNumberFormat="1" applyFont="1"/>
    <xf numFmtId="169" fontId="7" fillId="0" borderId="0" xfId="0" applyNumberFormat="1" applyFont="1" applyAlignment="1">
      <alignment horizontal="left" indent="3"/>
    </xf>
    <xf numFmtId="169" fontId="3" fillId="0" borderId="0" xfId="0" applyNumberFormat="1" applyFont="1"/>
    <xf numFmtId="169" fontId="3" fillId="0" borderId="4" xfId="0" applyNumberFormat="1" applyFont="1" applyBorder="1"/>
    <xf numFmtId="169" fontId="4" fillId="0" borderId="0" xfId="0" applyNumberFormat="1" applyFont="1"/>
    <xf numFmtId="169" fontId="0" fillId="0" borderId="4" xfId="0" applyNumberFormat="1" applyBorder="1"/>
    <xf numFmtId="169" fontId="0" fillId="0" borderId="3" xfId="0" applyNumberFormat="1" applyBorder="1"/>
    <xf numFmtId="169" fontId="6" fillId="0" borderId="3" xfId="0" applyNumberFormat="1" applyFont="1" applyBorder="1"/>
    <xf numFmtId="169" fontId="3" fillId="0" borderId="3" xfId="0" applyNumberFormat="1" applyFont="1" applyBorder="1"/>
    <xf numFmtId="169" fontId="6" fillId="0" borderId="0" xfId="0" applyNumberFormat="1" applyFont="1"/>
    <xf numFmtId="169" fontId="8" fillId="0" borderId="0" xfId="0" applyNumberFormat="1" applyFont="1" applyAlignment="1">
      <alignment horizontal="left" indent="1"/>
    </xf>
    <xf numFmtId="169" fontId="4" fillId="4" borderId="0" xfId="0" applyNumberFormat="1" applyFont="1" applyFill="1"/>
    <xf numFmtId="169" fontId="9" fillId="0" borderId="3" xfId="0" applyNumberFormat="1" applyFont="1" applyBorder="1"/>
    <xf numFmtId="169" fontId="12" fillId="3" borderId="0" xfId="0" applyNumberFormat="1" applyFont="1" applyFill="1"/>
    <xf numFmtId="174" fontId="0" fillId="0" borderId="0" xfId="0" applyNumberFormat="1"/>
    <xf numFmtId="9" fontId="0" fillId="0" borderId="0" xfId="1" applyFont="1" applyBorder="1"/>
    <xf numFmtId="169" fontId="10" fillId="3" borderId="0" xfId="0" applyNumberFormat="1" applyFont="1" applyFill="1"/>
    <xf numFmtId="165" fontId="10" fillId="3" borderId="0" xfId="0" applyNumberFormat="1" applyFont="1" applyFill="1"/>
    <xf numFmtId="2" fontId="10" fillId="3" borderId="0" xfId="0" applyNumberFormat="1" applyFont="1" applyFill="1"/>
    <xf numFmtId="0" fontId="10" fillId="3" borderId="0" xfId="0" applyFont="1" applyFill="1" applyAlignment="1">
      <alignment horizontal="left" indent="3"/>
    </xf>
    <xf numFmtId="0" fontId="10" fillId="3" borderId="0" xfId="0" applyFont="1" applyFill="1" applyAlignment="1">
      <alignment horizontal="left" indent="4"/>
    </xf>
    <xf numFmtId="0" fontId="10" fillId="3" borderId="1" xfId="0" applyFont="1" applyFill="1" applyBorder="1"/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5" xfId="0" applyFont="1" applyFill="1" applyBorder="1"/>
    <xf numFmtId="0" fontId="10" fillId="3" borderId="10" xfId="0" applyFont="1" applyFill="1" applyBorder="1"/>
    <xf numFmtId="0" fontId="10" fillId="3" borderId="0" xfId="0" applyFont="1" applyFill="1" applyAlignment="1">
      <alignment horizontal="left" indent="5"/>
    </xf>
    <xf numFmtId="9" fontId="16" fillId="3" borderId="0" xfId="3" applyNumberFormat="1" applyFont="1" applyFill="1"/>
    <xf numFmtId="10" fontId="16" fillId="3" borderId="0" xfId="3" applyNumberFormat="1" applyFont="1" applyFill="1"/>
    <xf numFmtId="165" fontId="16" fillId="3" borderId="3" xfId="1" applyNumberFormat="1" applyFont="1" applyFill="1" applyBorder="1"/>
    <xf numFmtId="10" fontId="16" fillId="3" borderId="3" xfId="3" applyNumberFormat="1" applyFont="1" applyFill="1" applyBorder="1"/>
    <xf numFmtId="2" fontId="16" fillId="3" borderId="0" xfId="3" applyNumberFormat="1" applyFont="1" applyFill="1"/>
    <xf numFmtId="2" fontId="16" fillId="3" borderId="3" xfId="3" applyNumberFormat="1" applyFont="1" applyFill="1" applyBorder="1"/>
    <xf numFmtId="0" fontId="16" fillId="3" borderId="0" xfId="3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23" fillId="11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24" fillId="12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0" fontId="36" fillId="9" borderId="1" xfId="0" applyFont="1" applyFill="1" applyBorder="1" applyAlignment="1">
      <alignment horizontal="center"/>
    </xf>
    <xf numFmtId="0" fontId="1" fillId="3" borderId="0" xfId="0" applyFont="1" applyFill="1" applyAlignment="1">
      <alignment horizontal="right" wrapText="1"/>
    </xf>
    <xf numFmtId="0" fontId="0" fillId="3" borderId="0" xfId="0" applyFill="1" applyAlignment="1">
      <alignment vertical="center" wrapText="1"/>
    </xf>
    <xf numFmtId="3" fontId="1" fillId="3" borderId="0" xfId="0" applyNumberFormat="1" applyFont="1" applyFill="1" applyAlignment="1">
      <alignment horizontal="right" wrapText="1"/>
    </xf>
    <xf numFmtId="0" fontId="34" fillId="9" borderId="1" xfId="0" applyFont="1" applyFill="1" applyBorder="1" applyAlignment="1">
      <alignment horizontal="center"/>
    </xf>
    <xf numFmtId="169" fontId="32" fillId="9" borderId="1" xfId="0" applyNumberFormat="1" applyFont="1" applyFill="1" applyBorder="1" applyAlignment="1">
      <alignment horizontal="center"/>
    </xf>
    <xf numFmtId="169" fontId="32" fillId="9" borderId="5" xfId="0" applyNumberFormat="1" applyFont="1" applyFill="1" applyBorder="1" applyAlignment="1">
      <alignment horizontal="center"/>
    </xf>
    <xf numFmtId="169" fontId="36" fillId="9" borderId="8" xfId="0" applyNumberFormat="1" applyFont="1" applyFill="1" applyBorder="1" applyAlignment="1">
      <alignment horizontal="center"/>
    </xf>
    <xf numFmtId="169" fontId="36" fillId="9" borderId="9" xfId="0" applyNumberFormat="1" applyFont="1" applyFill="1" applyBorder="1" applyAlignment="1">
      <alignment horizontal="center"/>
    </xf>
    <xf numFmtId="169" fontId="36" fillId="9" borderId="5" xfId="0" applyNumberFormat="1" applyFont="1" applyFill="1" applyBorder="1" applyAlignment="1">
      <alignment horizontal="center"/>
    </xf>
    <xf numFmtId="0" fontId="34" fillId="9" borderId="5" xfId="0" applyFont="1" applyFill="1" applyBorder="1" applyAlignment="1">
      <alignment horizontal="center"/>
    </xf>
    <xf numFmtId="0" fontId="36" fillId="9" borderId="8" xfId="0" applyFont="1" applyFill="1" applyBorder="1" applyAlignment="1">
      <alignment horizontal="center"/>
    </xf>
    <xf numFmtId="0" fontId="36" fillId="9" borderId="9" xfId="0" applyFont="1" applyFill="1" applyBorder="1" applyAlignment="1">
      <alignment horizontal="center"/>
    </xf>
    <xf numFmtId="0" fontId="36" fillId="9" borderId="5" xfId="0" applyFont="1" applyFill="1" applyBorder="1" applyAlignment="1">
      <alignment horizontal="center"/>
    </xf>
    <xf numFmtId="0" fontId="32" fillId="9" borderId="1" xfId="0" applyFont="1" applyFill="1" applyBorder="1" applyAlignment="1">
      <alignment horizontal="center"/>
    </xf>
    <xf numFmtId="0" fontId="25" fillId="9" borderId="1" xfId="3" applyFont="1" applyFill="1" applyBorder="1" applyAlignment="1">
      <alignment horizontal="center"/>
    </xf>
    <xf numFmtId="0" fontId="31" fillId="3" borderId="0" xfId="3" applyFont="1" applyFill="1" applyAlignment="1">
      <alignment horizontal="center"/>
    </xf>
    <xf numFmtId="0" fontId="25" fillId="9" borderId="8" xfId="3" applyFont="1" applyFill="1" applyBorder="1" applyAlignment="1">
      <alignment horizontal="center"/>
    </xf>
    <xf numFmtId="0" fontId="25" fillId="9" borderId="9" xfId="3" applyFont="1" applyFill="1" applyBorder="1" applyAlignment="1">
      <alignment horizontal="center"/>
    </xf>
    <xf numFmtId="0" fontId="25" fillId="9" borderId="5" xfId="3" applyFont="1" applyFill="1" applyBorder="1" applyAlignment="1">
      <alignment horizontal="center"/>
    </xf>
    <xf numFmtId="0" fontId="25" fillId="9" borderId="0" xfId="3" applyFont="1" applyFill="1" applyAlignment="1">
      <alignment horizontal="center"/>
    </xf>
    <xf numFmtId="0" fontId="25" fillId="3" borderId="0" xfId="3" applyFont="1" applyFill="1" applyAlignment="1">
      <alignment horizontal="center"/>
    </xf>
    <xf numFmtId="0" fontId="26" fillId="15" borderId="0" xfId="3" applyFont="1" applyFill="1" applyAlignment="1">
      <alignment horizontal="center"/>
    </xf>
    <xf numFmtId="0" fontId="34" fillId="0" borderId="0" xfId="0" applyFont="1"/>
    <xf numFmtId="0" fontId="10" fillId="0" borderId="0" xfId="0" applyFont="1"/>
  </cellXfs>
  <cellStyles count="5">
    <cellStyle name="Currency" xfId="2" builtinId="4"/>
    <cellStyle name="Normal" xfId="0" builtinId="0"/>
    <cellStyle name="Normal 2" xfId="3" xr:uid="{CF11024D-12C1-471B-A1EC-B2B45D031EB2}"/>
    <cellStyle name="Percent" xfId="1" builtinId="5"/>
    <cellStyle name="Percent 2" xfId="4" xr:uid="{EA325840-EE20-4137-95C8-D35D8583EEA1}"/>
  </cellStyles>
  <dxfs count="0"/>
  <tableStyles count="0" defaultTableStyle="TableStyleMedium2" defaultPivotStyle="PivotStyleLight16"/>
  <colors>
    <mruColors>
      <color rgb="FF002060"/>
      <color rgb="FF0033CC"/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11</xdr:row>
      <xdr:rowOff>9525</xdr:rowOff>
    </xdr:from>
    <xdr:to>
      <xdr:col>2</xdr:col>
      <xdr:colOff>85725</xdr:colOff>
      <xdr:row>13</xdr:row>
      <xdr:rowOff>38100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E97612D-F601-4C0D-83FE-9C7FEE6F9818}"/>
            </a:ext>
          </a:extLst>
        </xdr:cNvPr>
        <xdr:cNvSpPr/>
      </xdr:nvSpPr>
      <xdr:spPr>
        <a:xfrm>
          <a:off x="390525" y="2219325"/>
          <a:ext cx="4572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mo%20financial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 &amp; Loss"/>
      <sheetName val="Quarters"/>
      <sheetName val="Balance Sheet"/>
      <sheetName val="Cash Flow"/>
      <sheetName val="Data Sheet"/>
      <sheetName val="historicals fs"/>
      <sheetName val="data"/>
      <sheetName val="Wacc"/>
      <sheetName val="Sheet1"/>
      <sheetName val="Regression Beta"/>
      <sheetName val="Adjusted Beta"/>
      <sheetName val="Beta Comparables"/>
      <sheetName val="RM"/>
      <sheetName val="Cost of Debt"/>
      <sheetName val="intrinsic Growth"/>
      <sheetName val="Raw Data"/>
      <sheetName val="DCF&gt;"/>
    </sheetNames>
    <sheetDataSet>
      <sheetData sheetId="0"/>
      <sheetData sheetId="1"/>
      <sheetData sheetId="2"/>
      <sheetData sheetId="3"/>
      <sheetData sheetId="4">
        <row r="1">
          <cell r="E1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4">
          <cell r="E24">
            <v>-13779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1152-6A22-46A3-BC91-10D26D70049A}">
  <dimension ref="B2:E17"/>
  <sheetViews>
    <sheetView showGridLines="0" workbookViewId="0">
      <selection activeCell="F11" sqref="F11"/>
    </sheetView>
  </sheetViews>
  <sheetFormatPr defaultRowHeight="15" x14ac:dyDescent="0.25"/>
  <cols>
    <col min="1" max="1" width="2.28515625" customWidth="1"/>
    <col min="2" max="2" width="6.5703125" customWidth="1"/>
    <col min="3" max="3" width="18.42578125" customWidth="1"/>
    <col min="4" max="4" width="16.5703125" customWidth="1"/>
  </cols>
  <sheetData>
    <row r="2" spans="2:5" ht="18.75" x14ac:dyDescent="0.3">
      <c r="B2" s="194"/>
      <c r="C2" s="195" t="s">
        <v>409</v>
      </c>
      <c r="D2" s="196"/>
      <c r="E2" s="197"/>
    </row>
    <row r="3" spans="2:5" ht="15.75" x14ac:dyDescent="0.25">
      <c r="B3" s="198">
        <v>1</v>
      </c>
      <c r="C3" s="199" t="s">
        <v>410</v>
      </c>
      <c r="D3" s="199"/>
      <c r="E3" s="200"/>
    </row>
    <row r="4" spans="2:5" ht="15.75" x14ac:dyDescent="0.25">
      <c r="B4" s="198">
        <f>B3+1</f>
        <v>2</v>
      </c>
      <c r="C4" s="199" t="s">
        <v>411</v>
      </c>
      <c r="D4" s="199"/>
      <c r="E4" s="200"/>
    </row>
    <row r="5" spans="2:5" ht="15.75" x14ac:dyDescent="0.25">
      <c r="B5" s="198">
        <f t="shared" ref="B5:B15" si="0">B4+1</f>
        <v>3</v>
      </c>
      <c r="C5" s="199" t="s">
        <v>412</v>
      </c>
      <c r="D5" s="199"/>
      <c r="E5" s="200"/>
    </row>
    <row r="6" spans="2:5" ht="15.75" x14ac:dyDescent="0.25">
      <c r="B6" s="198">
        <f t="shared" si="0"/>
        <v>4</v>
      </c>
      <c r="C6" s="199" t="s">
        <v>262</v>
      </c>
      <c r="D6" s="199"/>
      <c r="E6" s="200"/>
    </row>
    <row r="7" spans="2:5" ht="15.75" x14ac:dyDescent="0.25">
      <c r="B7" s="198">
        <f t="shared" si="0"/>
        <v>5</v>
      </c>
      <c r="C7" s="199" t="s">
        <v>413</v>
      </c>
      <c r="D7" s="199"/>
      <c r="E7" s="200"/>
    </row>
    <row r="8" spans="2:5" ht="15.75" x14ac:dyDescent="0.25">
      <c r="B8" s="198">
        <f t="shared" si="0"/>
        <v>6</v>
      </c>
      <c r="C8" s="199" t="s">
        <v>414</v>
      </c>
      <c r="D8" s="199"/>
      <c r="E8" s="200"/>
    </row>
    <row r="9" spans="2:5" ht="15.75" x14ac:dyDescent="0.25">
      <c r="B9" s="198">
        <f t="shared" si="0"/>
        <v>7</v>
      </c>
      <c r="C9" s="199" t="s">
        <v>327</v>
      </c>
      <c r="D9" s="199"/>
      <c r="E9" s="200"/>
    </row>
    <row r="10" spans="2:5" ht="15.75" x14ac:dyDescent="0.25">
      <c r="B10" s="198">
        <f t="shared" si="0"/>
        <v>8</v>
      </c>
      <c r="C10" s="199" t="s">
        <v>273</v>
      </c>
      <c r="D10" s="199"/>
      <c r="E10" s="200"/>
    </row>
    <row r="11" spans="2:5" ht="15.75" x14ac:dyDescent="0.25">
      <c r="B11" s="198">
        <f t="shared" si="0"/>
        <v>9</v>
      </c>
      <c r="C11" s="199" t="s">
        <v>408</v>
      </c>
      <c r="D11" s="199"/>
      <c r="E11" s="200"/>
    </row>
    <row r="12" spans="2:5" ht="15.75" x14ac:dyDescent="0.25">
      <c r="B12" s="198">
        <f t="shared" si="0"/>
        <v>10</v>
      </c>
      <c r="C12" s="199" t="s">
        <v>415</v>
      </c>
      <c r="D12" s="199"/>
      <c r="E12" s="200"/>
    </row>
    <row r="13" spans="2:5" ht="15.75" x14ac:dyDescent="0.25">
      <c r="B13" s="198">
        <f t="shared" si="0"/>
        <v>11</v>
      </c>
      <c r="C13" s="199" t="s">
        <v>416</v>
      </c>
      <c r="D13" s="199"/>
      <c r="E13" s="200"/>
    </row>
    <row r="14" spans="2:5" ht="15.75" x14ac:dyDescent="0.25">
      <c r="B14" s="198">
        <f t="shared" si="0"/>
        <v>12</v>
      </c>
      <c r="C14" s="199" t="s">
        <v>417</v>
      </c>
      <c r="D14" s="199"/>
      <c r="E14" s="200"/>
    </row>
    <row r="15" spans="2:5" ht="15.75" x14ac:dyDescent="0.25">
      <c r="B15" s="198">
        <f t="shared" si="0"/>
        <v>13</v>
      </c>
      <c r="C15" s="199" t="s">
        <v>418</v>
      </c>
      <c r="D15" s="201"/>
      <c r="E15" s="200"/>
    </row>
    <row r="16" spans="2:5" x14ac:dyDescent="0.25">
      <c r="B16" s="198"/>
      <c r="C16" s="202"/>
      <c r="D16" s="202"/>
      <c r="E16" s="200"/>
    </row>
    <row r="17" spans="2:5" x14ac:dyDescent="0.25">
      <c r="B17" s="203"/>
      <c r="C17" s="39"/>
      <c r="D17" s="39"/>
      <c r="E17" s="2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38EF-551C-4C49-9294-81CB4E4887BB}">
  <dimension ref="A2:S27"/>
  <sheetViews>
    <sheetView showGridLines="0" topLeftCell="A5" workbookViewId="0">
      <selection activeCell="E8" sqref="E8:P8"/>
    </sheetView>
  </sheetViews>
  <sheetFormatPr defaultRowHeight="15" x14ac:dyDescent="0.25"/>
  <cols>
    <col min="1" max="1" width="2.28515625" customWidth="1"/>
  </cols>
  <sheetData>
    <row r="2" spans="1:19" ht="21" x14ac:dyDescent="0.35">
      <c r="B2" s="254" t="s">
        <v>322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</row>
    <row r="4" spans="1:19" ht="15.75" x14ac:dyDescent="0.25">
      <c r="C4" s="255" t="s">
        <v>324</v>
      </c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</row>
    <row r="6" spans="1:19" ht="15.75" x14ac:dyDescent="0.25">
      <c r="B6" s="5"/>
      <c r="D6" s="256" t="s">
        <v>323</v>
      </c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</row>
    <row r="8" spans="1:19" ht="15.75" x14ac:dyDescent="0.25">
      <c r="E8" s="256" t="s">
        <v>420</v>
      </c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</row>
    <row r="10" spans="1:19" ht="15.75" x14ac:dyDescent="0.25">
      <c r="B10" s="205"/>
      <c r="C10" s="205"/>
      <c r="D10" s="205"/>
      <c r="F10" s="253" t="s">
        <v>325</v>
      </c>
      <c r="G10" s="258"/>
      <c r="H10" s="258"/>
      <c r="I10" s="258"/>
      <c r="J10" s="258"/>
      <c r="K10" s="258"/>
      <c r="L10" s="258"/>
      <c r="M10" s="258"/>
      <c r="N10" s="258"/>
      <c r="O10" s="258"/>
    </row>
    <row r="11" spans="1:19" x14ac:dyDescent="0.25">
      <c r="B11" s="205"/>
      <c r="C11" s="205"/>
      <c r="D11" s="205"/>
    </row>
    <row r="12" spans="1:19" ht="15.75" x14ac:dyDescent="0.25">
      <c r="B12" s="205"/>
      <c r="C12" s="205"/>
      <c r="D12" s="205"/>
      <c r="G12" s="253" t="s">
        <v>326</v>
      </c>
      <c r="H12" s="253"/>
      <c r="I12" s="253"/>
      <c r="J12" s="253"/>
      <c r="K12" s="253"/>
      <c r="L12" s="253"/>
      <c r="M12" s="253"/>
      <c r="N12" s="253"/>
    </row>
    <row r="13" spans="1:19" x14ac:dyDescent="0.25">
      <c r="B13" s="205"/>
      <c r="C13" s="205"/>
      <c r="D13" s="205"/>
    </row>
    <row r="14" spans="1:19" ht="15.75" x14ac:dyDescent="0.25">
      <c r="B14" s="205"/>
      <c r="C14" s="205"/>
      <c r="D14" s="205"/>
      <c r="H14" s="259" t="s">
        <v>273</v>
      </c>
      <c r="I14" s="259"/>
      <c r="J14" s="259"/>
      <c r="K14" s="259"/>
      <c r="L14" s="259"/>
      <c r="M14" s="259"/>
    </row>
    <row r="15" spans="1:19" x14ac:dyDescent="0.25">
      <c r="A15" s="206"/>
      <c r="B15" s="207" t="s">
        <v>419</v>
      </c>
      <c r="C15" s="207"/>
      <c r="D15" s="207"/>
    </row>
    <row r="16" spans="1:19" ht="15.75" x14ac:dyDescent="0.25">
      <c r="A16" s="206"/>
      <c r="B16" s="207"/>
      <c r="C16" s="207"/>
      <c r="D16" s="207"/>
      <c r="I16" s="260" t="s">
        <v>328</v>
      </c>
      <c r="J16" s="260"/>
      <c r="K16" s="260"/>
      <c r="L16" s="260"/>
    </row>
    <row r="17" spans="1:11" x14ac:dyDescent="0.25">
      <c r="A17" s="206"/>
      <c r="B17" s="208"/>
      <c r="C17" s="209"/>
      <c r="D17" s="209"/>
      <c r="E17" s="210"/>
    </row>
    <row r="18" spans="1:11" ht="15.75" x14ac:dyDescent="0.25">
      <c r="B18" s="210"/>
      <c r="C18" s="210"/>
      <c r="D18" s="210"/>
      <c r="E18" s="210"/>
      <c r="J18" s="259" t="s">
        <v>327</v>
      </c>
      <c r="K18" s="259"/>
    </row>
    <row r="19" spans="1:11" x14ac:dyDescent="0.25">
      <c r="B19" s="211" t="s">
        <v>330</v>
      </c>
      <c r="C19" s="210"/>
      <c r="D19" s="210"/>
      <c r="E19" s="210"/>
    </row>
    <row r="20" spans="1:11" ht="15.75" x14ac:dyDescent="0.25">
      <c r="B20" s="211" t="s">
        <v>331</v>
      </c>
      <c r="C20" s="210"/>
      <c r="D20" s="210"/>
      <c r="E20" s="210"/>
      <c r="J20" s="259" t="s">
        <v>274</v>
      </c>
      <c r="K20" s="259"/>
    </row>
    <row r="21" spans="1:11" x14ac:dyDescent="0.25">
      <c r="B21" s="210"/>
      <c r="C21" s="210"/>
      <c r="D21" s="210"/>
      <c r="E21" s="210"/>
    </row>
    <row r="22" spans="1:11" ht="15.75" x14ac:dyDescent="0.25">
      <c r="B22" s="210"/>
      <c r="C22" s="210"/>
      <c r="D22" s="210"/>
      <c r="E22" s="210"/>
      <c r="J22" s="259" t="s">
        <v>329</v>
      </c>
      <c r="K22" s="259"/>
    </row>
    <row r="23" spans="1:11" x14ac:dyDescent="0.25">
      <c r="B23" s="210"/>
      <c r="C23" s="210"/>
      <c r="D23" s="210"/>
      <c r="E23" s="210"/>
    </row>
    <row r="24" spans="1:11" x14ac:dyDescent="0.25">
      <c r="B24" s="210"/>
      <c r="C24" s="210"/>
      <c r="D24" s="210"/>
      <c r="E24" s="210"/>
    </row>
    <row r="25" spans="1:11" x14ac:dyDescent="0.25">
      <c r="B25" s="210"/>
      <c r="C25" s="210"/>
      <c r="D25" s="210"/>
      <c r="E25" s="210"/>
    </row>
    <row r="26" spans="1:11" x14ac:dyDescent="0.25">
      <c r="B26" s="210"/>
      <c r="C26" s="210"/>
      <c r="D26" s="210"/>
      <c r="E26" s="210"/>
    </row>
    <row r="27" spans="1:11" x14ac:dyDescent="0.25">
      <c r="B27" s="210"/>
      <c r="C27" s="210"/>
      <c r="D27" s="210"/>
      <c r="E27" s="210"/>
    </row>
  </sheetData>
  <mergeCells count="11">
    <mergeCell ref="H14:M14"/>
    <mergeCell ref="I16:L16"/>
    <mergeCell ref="J18:K18"/>
    <mergeCell ref="J20:K20"/>
    <mergeCell ref="J22:K22"/>
    <mergeCell ref="G12:N12"/>
    <mergeCell ref="B2:S2"/>
    <mergeCell ref="C4:R4"/>
    <mergeCell ref="D6:Q6"/>
    <mergeCell ref="E8:P8"/>
    <mergeCell ref="F10:O10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F6CF-A198-4B3E-AA0D-9CB52F442787}">
  <dimension ref="A2:BG103"/>
  <sheetViews>
    <sheetView showGridLines="0" workbookViewId="0">
      <selection activeCell="F40" sqref="F40"/>
    </sheetView>
  </sheetViews>
  <sheetFormatPr defaultRowHeight="15" x14ac:dyDescent="0.25"/>
  <cols>
    <col min="1" max="1" width="2.28515625" customWidth="1"/>
    <col min="2" max="2" width="26.140625" bestFit="1" customWidth="1"/>
    <col min="5" max="5" width="9.42578125" customWidth="1"/>
    <col min="6" max="6" width="9.5703125" customWidth="1"/>
    <col min="7" max="7" width="9.140625" bestFit="1" customWidth="1"/>
    <col min="8" max="13" width="8.5703125" bestFit="1" customWidth="1"/>
  </cols>
  <sheetData>
    <row r="2" spans="2:59" ht="18.75" x14ac:dyDescent="0.3">
      <c r="D2" s="261" t="s">
        <v>332</v>
      </c>
      <c r="E2" s="261"/>
      <c r="F2" s="261"/>
      <c r="G2" s="261"/>
      <c r="H2" s="261"/>
    </row>
    <row r="4" spans="2:59" x14ac:dyDescent="0.25">
      <c r="B4" s="181"/>
      <c r="C4" s="181"/>
      <c r="D4" s="181"/>
      <c r="E4" s="265" t="s">
        <v>4</v>
      </c>
      <c r="F4" s="265"/>
      <c r="G4" s="265"/>
      <c r="H4" s="265"/>
      <c r="I4" s="265" t="s">
        <v>5</v>
      </c>
      <c r="J4" s="265"/>
      <c r="K4" s="265"/>
      <c r="L4" s="265"/>
      <c r="M4" s="265"/>
      <c r="N4" s="3"/>
      <c r="O4" s="3"/>
    </row>
    <row r="5" spans="2:59" x14ac:dyDescent="0.25">
      <c r="B5" s="181" t="s">
        <v>2</v>
      </c>
      <c r="C5" s="181"/>
      <c r="D5" s="184" t="s">
        <v>3</v>
      </c>
      <c r="E5" s="182">
        <v>2020</v>
      </c>
      <c r="F5" s="182">
        <f>E5+1</f>
        <v>2021</v>
      </c>
      <c r="G5" s="182">
        <f t="shared" ref="G5:M5" si="0">F5+1</f>
        <v>2022</v>
      </c>
      <c r="H5" s="182">
        <f t="shared" si="0"/>
        <v>2023</v>
      </c>
      <c r="I5" s="182">
        <f t="shared" si="0"/>
        <v>2024</v>
      </c>
      <c r="J5" s="182">
        <f t="shared" si="0"/>
        <v>2025</v>
      </c>
      <c r="K5" s="182">
        <f t="shared" si="0"/>
        <v>2026</v>
      </c>
      <c r="L5" s="182">
        <f t="shared" si="0"/>
        <v>2027</v>
      </c>
      <c r="M5" s="182">
        <f t="shared" si="0"/>
        <v>2028</v>
      </c>
      <c r="N5" s="3"/>
      <c r="O5" s="3"/>
    </row>
    <row r="6" spans="2:59" x14ac:dyDescent="0.25">
      <c r="B6" s="3" t="s">
        <v>6</v>
      </c>
      <c r="E6" s="12">
        <v>6057</v>
      </c>
      <c r="F6" s="12">
        <v>7193</v>
      </c>
      <c r="G6" s="12">
        <v>7523</v>
      </c>
      <c r="H6" s="13">
        <v>8078</v>
      </c>
      <c r="I6" s="7">
        <f>H6*(1+I9)</f>
        <v>8966.58</v>
      </c>
      <c r="J6" s="7">
        <f t="shared" ref="J6:M6" si="1">I6*(1+J9)</f>
        <v>9863.2380000000012</v>
      </c>
      <c r="K6" s="7">
        <f t="shared" si="1"/>
        <v>10750.929420000002</v>
      </c>
      <c r="L6" s="7">
        <f t="shared" si="1"/>
        <v>11611.003773600003</v>
      </c>
      <c r="M6" s="7">
        <f t="shared" si="1"/>
        <v>12423.774037752004</v>
      </c>
      <c r="N6" s="262"/>
      <c r="O6" s="262"/>
      <c r="P6" s="4"/>
      <c r="Q6" s="263"/>
      <c r="R6" s="263"/>
      <c r="S6" s="263"/>
      <c r="T6" s="262"/>
      <c r="U6" s="262"/>
      <c r="V6" s="4"/>
      <c r="W6" s="263"/>
      <c r="X6" s="263"/>
      <c r="Y6" s="263"/>
      <c r="Z6" s="262"/>
      <c r="AA6" s="262"/>
      <c r="AB6" s="4"/>
      <c r="AC6" s="263"/>
      <c r="AD6" s="263"/>
      <c r="AE6" s="263"/>
      <c r="AF6" s="262"/>
      <c r="AG6" s="262"/>
      <c r="AH6" s="4"/>
      <c r="AI6" s="263"/>
      <c r="AJ6" s="263"/>
      <c r="AK6" s="263"/>
      <c r="AL6" s="262"/>
      <c r="AM6" s="262"/>
      <c r="AN6" s="4"/>
      <c r="AO6" s="263"/>
      <c r="AP6" s="263"/>
      <c r="AQ6" s="263"/>
      <c r="AR6" s="262"/>
      <c r="AS6" s="262"/>
      <c r="AT6" s="4"/>
      <c r="AU6" s="263"/>
      <c r="AV6" s="263"/>
      <c r="AW6" s="263"/>
      <c r="AX6" s="264"/>
      <c r="AY6" s="264"/>
      <c r="AZ6" s="4"/>
      <c r="BA6" s="263"/>
      <c r="BB6" s="263"/>
      <c r="BC6" s="263"/>
      <c r="BD6" s="262"/>
      <c r="BE6" s="262"/>
      <c r="BF6" s="4"/>
      <c r="BG6" s="5"/>
    </row>
    <row r="7" spans="2:59" x14ac:dyDescent="0.25">
      <c r="B7" t="s">
        <v>12</v>
      </c>
      <c r="E7" s="6"/>
      <c r="F7" s="9">
        <f>F6/E6-1</f>
        <v>0.18755159319795278</v>
      </c>
      <c r="G7" s="9">
        <f t="shared" ref="G7:H7" si="2">G6/F6-1</f>
        <v>4.5877936883080839E-2</v>
      </c>
      <c r="H7" s="9">
        <f t="shared" si="2"/>
        <v>7.3773760467898519E-2</v>
      </c>
    </row>
    <row r="8" spans="2:59" x14ac:dyDescent="0.25">
      <c r="B8" t="s">
        <v>18</v>
      </c>
      <c r="E8" s="6"/>
      <c r="F8" s="16">
        <v>-5.0000000000000001E-4</v>
      </c>
      <c r="G8" s="16">
        <f>G9-G7</f>
        <v>0.12412206311691917</v>
      </c>
      <c r="H8" s="16">
        <v>0.12</v>
      </c>
      <c r="I8" s="21"/>
      <c r="J8" s="21"/>
      <c r="K8" s="21"/>
      <c r="L8" s="21"/>
      <c r="M8" s="19"/>
    </row>
    <row r="9" spans="2:59" x14ac:dyDescent="0.25">
      <c r="B9" t="s">
        <v>19</v>
      </c>
      <c r="E9" s="6"/>
      <c r="F9" s="9">
        <f>F8+F7</f>
        <v>0.18705159319795278</v>
      </c>
      <c r="G9" s="9">
        <v>0.17</v>
      </c>
      <c r="H9" s="9">
        <f>H8+H7</f>
        <v>0.19377376046789851</v>
      </c>
      <c r="I9" s="21">
        <v>0.11</v>
      </c>
      <c r="J9" s="21">
        <v>0.1</v>
      </c>
      <c r="K9" s="21">
        <v>9.0000000000000011E-2</v>
      </c>
      <c r="L9" s="21">
        <v>8.0000000000000016E-2</v>
      </c>
      <c r="M9" s="19">
        <v>7.0000000000000007E-2</v>
      </c>
    </row>
    <row r="10" spans="2:59" x14ac:dyDescent="0.25">
      <c r="E10" s="6"/>
      <c r="F10" s="9"/>
      <c r="G10" s="9"/>
      <c r="H10" s="9"/>
    </row>
    <row r="11" spans="2:59" x14ac:dyDescent="0.25">
      <c r="B11" s="3" t="s">
        <v>7</v>
      </c>
      <c r="E11" s="12">
        <v>3499</v>
      </c>
      <c r="F11" s="12">
        <v>4143</v>
      </c>
      <c r="G11" s="12">
        <v>4910</v>
      </c>
      <c r="H11" s="12">
        <v>5830</v>
      </c>
      <c r="I11" s="7">
        <f>H11*(1+I14)</f>
        <v>6983.7463136456208</v>
      </c>
      <c r="J11" s="7">
        <f t="shared" ref="J11:M11" si="3">I11*(1+J14)</f>
        <v>8229.8116487846</v>
      </c>
      <c r="K11" s="7">
        <f t="shared" si="3"/>
        <v>9537.9326677616773</v>
      </c>
      <c r="L11" s="7">
        <f t="shared" si="3"/>
        <v>10868.231455854662</v>
      </c>
      <c r="M11" s="7">
        <f t="shared" si="3"/>
        <v>12172.419230557223</v>
      </c>
    </row>
    <row r="12" spans="2:59" x14ac:dyDescent="0.25">
      <c r="B12" t="s">
        <v>12</v>
      </c>
      <c r="E12" s="6"/>
      <c r="F12" s="9">
        <f t="shared" ref="F12:H12" si="4">F11/E11-1</f>
        <v>0.18405258645327227</v>
      </c>
      <c r="G12" s="9">
        <f t="shared" si="4"/>
        <v>0.18513154718802793</v>
      </c>
      <c r="H12" s="9">
        <f t="shared" si="4"/>
        <v>0.18737270875763756</v>
      </c>
    </row>
    <row r="13" spans="2:59" x14ac:dyDescent="0.25">
      <c r="B13" t="s">
        <v>18</v>
      </c>
      <c r="E13" s="6"/>
      <c r="F13" s="16">
        <v>0</v>
      </c>
      <c r="G13" s="16">
        <v>0.06</v>
      </c>
      <c r="H13" s="16">
        <v>0.03</v>
      </c>
    </row>
    <row r="14" spans="2:59" x14ac:dyDescent="0.25">
      <c r="B14" t="s">
        <v>19</v>
      </c>
      <c r="E14" s="6"/>
      <c r="F14" s="9">
        <f>F13+F12</f>
        <v>0.18405258645327227</v>
      </c>
      <c r="G14" s="8">
        <f>G12+G13</f>
        <v>0.24513154718802793</v>
      </c>
      <c r="H14" s="9">
        <f>H12+H13</f>
        <v>0.21737270875763756</v>
      </c>
      <c r="I14" s="8">
        <f>H14-($H$14-$M$14)/5</f>
        <v>0.19789816700611004</v>
      </c>
      <c r="J14" s="8">
        <f t="shared" ref="J14:L14" si="5">I14-($H$14-$M$14)/5</f>
        <v>0.17842362525458252</v>
      </c>
      <c r="K14" s="8">
        <f t="shared" si="5"/>
        <v>0.15894908350305501</v>
      </c>
      <c r="L14" s="8">
        <f t="shared" si="5"/>
        <v>0.13947454175152749</v>
      </c>
      <c r="M14" s="19">
        <v>0.12</v>
      </c>
    </row>
    <row r="15" spans="2:59" x14ac:dyDescent="0.25">
      <c r="E15" s="6"/>
      <c r="F15" s="9"/>
      <c r="G15" s="8"/>
      <c r="H15" s="9"/>
      <c r="I15" s="8"/>
      <c r="J15" s="8"/>
      <c r="K15" s="8"/>
      <c r="L15" s="8"/>
      <c r="M15" s="19"/>
    </row>
    <row r="16" spans="2:59" x14ac:dyDescent="0.25">
      <c r="B16" s="3" t="s">
        <v>8</v>
      </c>
      <c r="E16" s="12">
        <v>11477</v>
      </c>
      <c r="F16" s="12">
        <v>13190</v>
      </c>
      <c r="G16" s="12">
        <v>15674</v>
      </c>
      <c r="H16" s="12">
        <v>16774</v>
      </c>
      <c r="I16" s="7">
        <f>H16*(1+I19)</f>
        <v>17917.046325890009</v>
      </c>
      <c r="J16" s="7">
        <f t="shared" ref="J16:M16" si="6">I16*(1+J19)</f>
        <v>19101.505519061848</v>
      </c>
      <c r="K16" s="7">
        <f t="shared" si="6"/>
        <v>20325.376537218996</v>
      </c>
      <c r="L16" s="7">
        <f t="shared" si="6"/>
        <v>21586.281253737943</v>
      </c>
      <c r="M16" s="7">
        <f t="shared" si="6"/>
        <v>22881.458128962222</v>
      </c>
    </row>
    <row r="17" spans="2:14" x14ac:dyDescent="0.25">
      <c r="B17" t="s">
        <v>12</v>
      </c>
      <c r="E17" s="6"/>
      <c r="F17" s="9">
        <f t="shared" ref="F17" si="7">F16/E16-1</f>
        <v>0.14925503180273592</v>
      </c>
      <c r="G17" s="9">
        <f t="shared" ref="G17" si="8">G16/F16-1</f>
        <v>0.18832448824867321</v>
      </c>
      <c r="H17" s="9">
        <f t="shared" ref="H17" si="9">H16/G16-1</f>
        <v>7.0179915784100988E-2</v>
      </c>
    </row>
    <row r="18" spans="2:14" x14ac:dyDescent="0.25">
      <c r="B18" t="s">
        <v>18</v>
      </c>
      <c r="E18" s="6"/>
      <c r="F18" s="16">
        <v>0</v>
      </c>
      <c r="G18" s="16">
        <v>-0.06</v>
      </c>
      <c r="H18" s="17">
        <v>0</v>
      </c>
    </row>
    <row r="19" spans="2:14" x14ac:dyDescent="0.25">
      <c r="B19" t="s">
        <v>19</v>
      </c>
      <c r="E19" s="6"/>
      <c r="F19" s="9">
        <f>F18+F17</f>
        <v>0.14925503180273592</v>
      </c>
      <c r="G19" s="9">
        <f>G17+G18</f>
        <v>0.12832448824867321</v>
      </c>
      <c r="H19" s="9">
        <f>H17+H18</f>
        <v>7.0179915784100988E-2</v>
      </c>
      <c r="I19" s="8">
        <f>H19-($H$19-$M$19)/5</f>
        <v>6.8143932627280787E-2</v>
      </c>
      <c r="J19" s="8">
        <f t="shared" ref="J19:L19" si="10">I19-($H$19-$M$19)/5</f>
        <v>6.6107949470460586E-2</v>
      </c>
      <c r="K19" s="8">
        <f t="shared" si="10"/>
        <v>6.4071966313640386E-2</v>
      </c>
      <c r="L19" s="8">
        <f t="shared" si="10"/>
        <v>6.2035983156820185E-2</v>
      </c>
      <c r="M19" s="19">
        <v>0.06</v>
      </c>
    </row>
    <row r="20" spans="2:14" x14ac:dyDescent="0.25">
      <c r="E20" s="6"/>
      <c r="F20" s="9"/>
      <c r="G20" s="9"/>
      <c r="H20" s="9"/>
      <c r="I20" s="8"/>
      <c r="J20" s="8"/>
      <c r="K20" s="8"/>
      <c r="L20" s="8"/>
      <c r="M20" s="19"/>
    </row>
    <row r="21" spans="2:14" x14ac:dyDescent="0.25">
      <c r="B21" s="3" t="s">
        <v>0</v>
      </c>
      <c r="E21" s="12">
        <v>4722</v>
      </c>
      <c r="F21" s="12">
        <v>5291</v>
      </c>
      <c r="G21" s="12">
        <v>5445</v>
      </c>
      <c r="H21" s="12">
        <v>5445</v>
      </c>
      <c r="I21" s="7">
        <f>H21*(1+I24)</f>
        <v>5706.3600000000006</v>
      </c>
      <c r="J21" s="7">
        <f t="shared" ref="J21:M21" si="11">I21*(1+J24)</f>
        <v>5968.6472271532484</v>
      </c>
      <c r="K21" s="7">
        <f t="shared" si="11"/>
        <v>6230.8381636096337</v>
      </c>
      <c r="L21" s="7">
        <f t="shared" si="11"/>
        <v>6491.8607508009518</v>
      </c>
      <c r="M21" s="7">
        <f t="shared" si="11"/>
        <v>7011.2096108650285</v>
      </c>
      <c r="N21" s="7"/>
    </row>
    <row r="22" spans="2:14" x14ac:dyDescent="0.25">
      <c r="B22" t="s">
        <v>12</v>
      </c>
      <c r="E22" s="6"/>
      <c r="F22" s="9">
        <f t="shared" ref="F22" si="12">F21/E21-1</f>
        <v>0.12049978822532825</v>
      </c>
      <c r="G22" s="9">
        <f t="shared" ref="G22" si="13">G21/F21-1</f>
        <v>2.9106029106028997E-2</v>
      </c>
      <c r="H22" s="15">
        <v>0</v>
      </c>
      <c r="I22" s="7"/>
      <c r="J22" s="7"/>
      <c r="K22" s="7"/>
      <c r="L22" s="7"/>
      <c r="M22" s="7"/>
      <c r="N22" s="7"/>
    </row>
    <row r="23" spans="2:14" x14ac:dyDescent="0.25">
      <c r="B23" t="s">
        <v>18</v>
      </c>
      <c r="E23" s="6"/>
      <c r="F23" s="16">
        <v>-0.03</v>
      </c>
      <c r="G23" s="16">
        <v>0.08</v>
      </c>
      <c r="H23" s="16">
        <v>0.04</v>
      </c>
    </row>
    <row r="24" spans="2:14" x14ac:dyDescent="0.25">
      <c r="B24" t="s">
        <v>19</v>
      </c>
      <c r="E24" s="6"/>
      <c r="F24" s="9">
        <f>F23+F22</f>
        <v>9.0499788225328254E-2</v>
      </c>
      <c r="G24" s="9">
        <f>G22+G23</f>
        <v>0.109106029106029</v>
      </c>
      <c r="H24" s="9">
        <f>H23+H22</f>
        <v>0.04</v>
      </c>
      <c r="I24" s="8">
        <f>H24-($H$24-$M$24)/5</f>
        <v>4.8000000000000001E-2</v>
      </c>
      <c r="J24" s="8">
        <f t="shared" ref="J24:L24" si="14">I24-($H$19-$M$19)/5</f>
        <v>4.59640168431798E-2</v>
      </c>
      <c r="K24" s="8">
        <f t="shared" si="14"/>
        <v>4.3928033686359599E-2</v>
      </c>
      <c r="L24" s="8">
        <f t="shared" si="14"/>
        <v>4.1892050529539399E-2</v>
      </c>
      <c r="M24" s="19">
        <v>0.08</v>
      </c>
    </row>
    <row r="25" spans="2:14" x14ac:dyDescent="0.25">
      <c r="E25" s="6"/>
      <c r="F25" s="9"/>
      <c r="G25" s="9"/>
      <c r="H25" s="9"/>
      <c r="I25" s="21"/>
      <c r="J25" s="21"/>
      <c r="K25" s="21"/>
      <c r="L25" s="21"/>
      <c r="M25" s="19"/>
    </row>
    <row r="26" spans="2:14" x14ac:dyDescent="0.25">
      <c r="B26" s="3" t="s">
        <v>9</v>
      </c>
      <c r="E26" s="12">
        <v>1991</v>
      </c>
      <c r="F26" s="12">
        <v>2805</v>
      </c>
      <c r="G26" s="12">
        <v>2843</v>
      </c>
      <c r="H26" s="12">
        <v>3064</v>
      </c>
      <c r="I26" s="7">
        <f>H26*(1+I29)</f>
        <v>3302.1793879704533</v>
      </c>
      <c r="J26" s="7">
        <f t="shared" ref="J26:M26" si="15">I26*(1+J29)</f>
        <v>3558.8735999794117</v>
      </c>
      <c r="K26" s="7">
        <f t="shared" si="15"/>
        <v>3835.5218819334914</v>
      </c>
      <c r="L26" s="7">
        <f t="shared" si="15"/>
        <v>4133.6753592135829</v>
      </c>
      <c r="M26" s="7">
        <f t="shared" si="15"/>
        <v>4455.0057336019754</v>
      </c>
    </row>
    <row r="27" spans="2:14" x14ac:dyDescent="0.25">
      <c r="B27" t="s">
        <v>12</v>
      </c>
      <c r="E27" s="6"/>
      <c r="F27" s="9">
        <f t="shared" ref="F27" si="16">F26/E26-1</f>
        <v>0.40883977900552493</v>
      </c>
      <c r="G27" s="9">
        <f t="shared" ref="G27" si="17">G26/F26-1</f>
        <v>1.3547237076648733E-2</v>
      </c>
      <c r="H27" s="9">
        <f t="shared" ref="H27" si="18">H26/G26-1</f>
        <v>7.773478719662319E-2</v>
      </c>
    </row>
    <row r="28" spans="2:14" x14ac:dyDescent="0.25">
      <c r="B28" t="s">
        <v>18</v>
      </c>
      <c r="E28" s="6"/>
      <c r="F28" s="16">
        <v>-0.08</v>
      </c>
      <c r="G28" s="16">
        <v>0.12</v>
      </c>
      <c r="H28" s="17">
        <v>0</v>
      </c>
    </row>
    <row r="29" spans="2:14" x14ac:dyDescent="0.25">
      <c r="B29" t="s">
        <v>19</v>
      </c>
      <c r="E29" s="6"/>
      <c r="F29" s="9">
        <f>F28+F27</f>
        <v>0.32883977900552491</v>
      </c>
      <c r="G29" s="9">
        <f>G28+G27</f>
        <v>0.13354723707664873</v>
      </c>
      <c r="H29" s="9">
        <f>H27+H28</f>
        <v>7.773478719662319E-2</v>
      </c>
      <c r="I29" s="8">
        <f>H29</f>
        <v>7.773478719662319E-2</v>
      </c>
      <c r="J29" s="8">
        <f t="shared" ref="J29:M29" si="19">I29</f>
        <v>7.773478719662319E-2</v>
      </c>
      <c r="K29" s="8">
        <f t="shared" si="19"/>
        <v>7.773478719662319E-2</v>
      </c>
      <c r="L29" s="8">
        <f t="shared" si="19"/>
        <v>7.773478719662319E-2</v>
      </c>
      <c r="M29" s="8">
        <f t="shared" si="19"/>
        <v>7.773478719662319E-2</v>
      </c>
    </row>
    <row r="30" spans="2:14" x14ac:dyDescent="0.25">
      <c r="E30" s="6"/>
      <c r="F30" s="9"/>
      <c r="G30" s="9"/>
      <c r="H30" s="9"/>
      <c r="I30" s="21"/>
      <c r="J30" s="21"/>
      <c r="K30" s="21"/>
      <c r="L30" s="21"/>
      <c r="M30" s="19"/>
    </row>
    <row r="31" spans="2:14" x14ac:dyDescent="0.25">
      <c r="B31" s="3" t="s">
        <v>10</v>
      </c>
      <c r="E31" s="12">
        <v>6265</v>
      </c>
      <c r="F31" s="12">
        <v>7203</v>
      </c>
      <c r="G31" s="12">
        <v>7891</v>
      </c>
      <c r="H31" s="12">
        <v>7860</v>
      </c>
      <c r="I31" s="7">
        <f>H31*(1+I34)</f>
        <v>8929.5217843112423</v>
      </c>
      <c r="J31" s="7">
        <f t="shared" ref="J31:M31" si="20">I31*(1+J34)</f>
        <v>10144.574974108018</v>
      </c>
      <c r="K31" s="7">
        <f t="shared" si="20"/>
        <v>11524.962242223435</v>
      </c>
      <c r="L31" s="7">
        <f t="shared" si="20"/>
        <v>13093.18084036879</v>
      </c>
      <c r="M31" s="7">
        <f t="shared" si="20"/>
        <v>14874.789254452886</v>
      </c>
      <c r="N31" s="7"/>
    </row>
    <row r="32" spans="2:14" x14ac:dyDescent="0.25">
      <c r="B32" t="s">
        <v>12</v>
      </c>
      <c r="E32" s="6"/>
      <c r="F32" s="9">
        <f t="shared" ref="F32" si="21">F31/E31-1</f>
        <v>0.14972067039106141</v>
      </c>
      <c r="G32" s="9">
        <f t="shared" ref="G32" si="22">G31/F31-1</f>
        <v>9.5515757323337391E-2</v>
      </c>
      <c r="H32" s="9">
        <f t="shared" ref="H32" si="23">H31/G31-1</f>
        <v>-3.9285261690533702E-3</v>
      </c>
    </row>
    <row r="33" spans="1:14" x14ac:dyDescent="0.25">
      <c r="B33" t="s">
        <v>18</v>
      </c>
      <c r="E33" s="6"/>
      <c r="F33" s="16">
        <v>-0.02</v>
      </c>
      <c r="G33" s="16">
        <v>0.09</v>
      </c>
      <c r="H33" s="18">
        <v>0.14000000000000001</v>
      </c>
    </row>
    <row r="34" spans="1:14" x14ac:dyDescent="0.25">
      <c r="B34" t="s">
        <v>19</v>
      </c>
      <c r="E34" s="6"/>
      <c r="F34" s="9">
        <f>F33+F32</f>
        <v>0.12972067039106142</v>
      </c>
      <c r="G34" s="9">
        <f>G33+G32</f>
        <v>0.18551575732333739</v>
      </c>
      <c r="H34" s="9">
        <f>H33+H32</f>
        <v>0.13607147383094664</v>
      </c>
      <c r="I34" s="8">
        <f>H34</f>
        <v>0.13607147383094664</v>
      </c>
      <c r="J34" s="8">
        <f t="shared" ref="J34:M34" si="24">I34</f>
        <v>0.13607147383094664</v>
      </c>
      <c r="K34" s="8">
        <f t="shared" si="24"/>
        <v>0.13607147383094664</v>
      </c>
      <c r="L34" s="8">
        <f t="shared" si="24"/>
        <v>0.13607147383094664</v>
      </c>
      <c r="M34" s="8">
        <f t="shared" si="24"/>
        <v>0.13607147383094664</v>
      </c>
    </row>
    <row r="35" spans="1:14" x14ac:dyDescent="0.25">
      <c r="E35" s="6"/>
      <c r="F35" s="9"/>
      <c r="G35" s="9"/>
      <c r="H35" s="9"/>
      <c r="I35" s="21"/>
      <c r="J35" s="21"/>
      <c r="K35" s="21"/>
      <c r="L35" s="21"/>
      <c r="M35" s="19"/>
    </row>
    <row r="36" spans="1:14" x14ac:dyDescent="0.25">
      <c r="B36" s="3" t="s">
        <v>11</v>
      </c>
      <c r="E36" s="12">
        <v>46</v>
      </c>
      <c r="F36" s="12">
        <v>85</v>
      </c>
      <c r="G36" s="12">
        <v>94</v>
      </c>
      <c r="H36" s="12">
        <v>126</v>
      </c>
      <c r="I36" s="7">
        <f>H36*(1+I39)</f>
        <v>154.11739674593241</v>
      </c>
      <c r="J36" s="7">
        <f t="shared" ref="J36:M36" si="25">I36*(1+J39)</f>
        <v>188.50930142653286</v>
      </c>
      <c r="K36" s="7">
        <f t="shared" si="25"/>
        <v>230.5758952242185</v>
      </c>
      <c r="L36" s="7">
        <f t="shared" si="25"/>
        <v>282.02981527237642</v>
      </c>
      <c r="M36" s="7">
        <f t="shared" si="25"/>
        <v>344.96588043265768</v>
      </c>
    </row>
    <row r="37" spans="1:14" x14ac:dyDescent="0.25">
      <c r="B37" t="s">
        <v>12</v>
      </c>
      <c r="E37" s="6"/>
      <c r="F37" s="9">
        <f t="shared" ref="F37" si="26">F36/E36-1</f>
        <v>0.84782608695652173</v>
      </c>
      <c r="G37" s="9">
        <f t="shared" ref="G37" si="27">G36/F36-1</f>
        <v>0.10588235294117654</v>
      </c>
      <c r="H37" s="9">
        <f t="shared" ref="H37" si="28">H36/G36-1</f>
        <v>0.34042553191489366</v>
      </c>
    </row>
    <row r="38" spans="1:14" x14ac:dyDescent="0.25">
      <c r="B38" t="s">
        <v>18</v>
      </c>
      <c r="E38" s="15">
        <v>0</v>
      </c>
      <c r="F38" s="17">
        <v>0</v>
      </c>
      <c r="G38" s="17">
        <v>0</v>
      </c>
      <c r="H38" s="17">
        <v>0</v>
      </c>
    </row>
    <row r="39" spans="1:14" x14ac:dyDescent="0.25">
      <c r="B39" t="s">
        <v>19</v>
      </c>
      <c r="E39" s="9">
        <f t="shared" ref="E39:G39" si="29">E37+E38</f>
        <v>0</v>
      </c>
      <c r="F39" s="9">
        <f t="shared" si="29"/>
        <v>0.84782608695652173</v>
      </c>
      <c r="G39" s="9">
        <f t="shared" si="29"/>
        <v>0.10588235294117654</v>
      </c>
      <c r="H39" s="9">
        <f>H37+H38</f>
        <v>0.34042553191489366</v>
      </c>
      <c r="I39" s="20">
        <f>AVERAGE(G39:H39)</f>
        <v>0.2231539424280351</v>
      </c>
      <c r="J39" s="20">
        <f>I39</f>
        <v>0.2231539424280351</v>
      </c>
      <c r="K39" s="20">
        <f t="shared" ref="K39:M39" si="30">J39</f>
        <v>0.2231539424280351</v>
      </c>
      <c r="L39" s="20">
        <f t="shared" si="30"/>
        <v>0.2231539424280351</v>
      </c>
      <c r="M39" s="20">
        <f t="shared" si="30"/>
        <v>0.2231539424280351</v>
      </c>
    </row>
    <row r="40" spans="1:14" x14ac:dyDescent="0.25">
      <c r="B40" s="3" t="s">
        <v>20</v>
      </c>
      <c r="E40" s="23">
        <f>SUM(E36+E31+E26+E21+E16+E11+E6)</f>
        <v>34057</v>
      </c>
      <c r="F40" s="23">
        <f t="shared" ref="F40:M40" si="31">SUM(F36+F31+F26+F21+F16+F11+F6)</f>
        <v>39910</v>
      </c>
      <c r="G40" s="23">
        <f t="shared" si="31"/>
        <v>44380</v>
      </c>
      <c r="H40" s="23">
        <f t="shared" si="31"/>
        <v>47177</v>
      </c>
      <c r="I40" s="23">
        <f t="shared" si="31"/>
        <v>51959.551208563265</v>
      </c>
      <c r="J40" s="23">
        <f t="shared" si="31"/>
        <v>57055.160270513661</v>
      </c>
      <c r="K40" s="23">
        <f t="shared" si="31"/>
        <v>62436.136807971452</v>
      </c>
      <c r="L40" s="23">
        <f t="shared" si="31"/>
        <v>68066.263248848321</v>
      </c>
      <c r="M40" s="23">
        <f t="shared" si="31"/>
        <v>74163.621876624005</v>
      </c>
    </row>
    <row r="41" spans="1:14" x14ac:dyDescent="0.25">
      <c r="B41" s="3"/>
      <c r="E41" s="15"/>
      <c r="F41" s="15"/>
      <c r="G41" s="15"/>
      <c r="H41" s="15"/>
      <c r="I41" s="15"/>
      <c r="J41" s="15"/>
      <c r="K41" s="15"/>
      <c r="L41" s="15"/>
      <c r="M41" s="15"/>
    </row>
    <row r="42" spans="1:14" x14ac:dyDescent="0.25">
      <c r="B42" s="3" t="s">
        <v>1</v>
      </c>
      <c r="E42" s="14">
        <v>-1043</v>
      </c>
      <c r="F42" s="14">
        <v>-1255</v>
      </c>
      <c r="G42" s="14">
        <v>-1376</v>
      </c>
      <c r="H42" s="14">
        <v>-1433</v>
      </c>
      <c r="I42" s="22">
        <f>-I43*I40</f>
        <v>-1578.2698535699844</v>
      </c>
      <c r="J42" s="22">
        <f t="shared" ref="J42:M42" si="32">-J43*J40</f>
        <v>-1733.0488303123573</v>
      </c>
      <c r="K42" s="22">
        <f t="shared" si="32"/>
        <v>-1896.4958358060726</v>
      </c>
      <c r="L42" s="22">
        <f t="shared" si="32"/>
        <v>-2067.5107623545296</v>
      </c>
      <c r="M42" s="22">
        <f t="shared" si="32"/>
        <v>-2252.7178529622952</v>
      </c>
      <c r="N42" s="7"/>
    </row>
    <row r="43" spans="1:14" x14ac:dyDescent="0.25">
      <c r="B43" s="3" t="s">
        <v>21</v>
      </c>
      <c r="E43" s="16">
        <f>-E42/E40</f>
        <v>3.0625128461109315E-2</v>
      </c>
      <c r="F43" s="16">
        <f t="shared" ref="F43:H43" si="33">-F42/F40</f>
        <v>3.1445752944124279E-2</v>
      </c>
      <c r="G43" s="16">
        <f t="shared" si="33"/>
        <v>3.1004957187922486E-2</v>
      </c>
      <c r="H43" s="16">
        <f t="shared" si="33"/>
        <v>3.0374970854441782E-2</v>
      </c>
      <c r="I43" s="16">
        <f>H43</f>
        <v>3.0374970854441782E-2</v>
      </c>
      <c r="J43" s="16">
        <f t="shared" ref="J43:M43" si="34">I43</f>
        <v>3.0374970854441782E-2</v>
      </c>
      <c r="K43" s="16">
        <f t="shared" si="34"/>
        <v>3.0374970854441782E-2</v>
      </c>
      <c r="L43" s="16">
        <f t="shared" si="34"/>
        <v>3.0374970854441782E-2</v>
      </c>
      <c r="M43" s="16">
        <f t="shared" si="34"/>
        <v>3.0374970854441782E-2</v>
      </c>
      <c r="N43" s="7"/>
    </row>
    <row r="44" spans="1:14" ht="15.75" thickBot="1" x14ac:dyDescent="0.3">
      <c r="A44" s="10"/>
      <c r="B44" s="11" t="s">
        <v>13</v>
      </c>
      <c r="C44" s="11"/>
      <c r="D44" s="11"/>
      <c r="E44" s="24">
        <f>SUM(E40:E42)</f>
        <v>33014</v>
      </c>
      <c r="F44" s="24">
        <f t="shared" ref="F44:M44" si="35">SUM(F40:F42)</f>
        <v>38655</v>
      </c>
      <c r="G44" s="24">
        <f t="shared" si="35"/>
        <v>43004</v>
      </c>
      <c r="H44" s="24">
        <f t="shared" si="35"/>
        <v>45744</v>
      </c>
      <c r="I44" s="11">
        <f t="shared" si="35"/>
        <v>50381.281354993283</v>
      </c>
      <c r="J44" s="11">
        <f t="shared" si="35"/>
        <v>55322.111440201305</v>
      </c>
      <c r="K44" s="11">
        <f t="shared" si="35"/>
        <v>60539.640972165376</v>
      </c>
      <c r="L44" s="11">
        <f t="shared" si="35"/>
        <v>65998.752486493788</v>
      </c>
      <c r="M44" s="24">
        <f t="shared" si="35"/>
        <v>71910.904023661715</v>
      </c>
    </row>
    <row r="45" spans="1:14" ht="15.75" thickTop="1" x14ac:dyDescent="0.25">
      <c r="E45" s="6"/>
      <c r="F45" s="9">
        <f>F44/E44-1</f>
        <v>0.17086690494941537</v>
      </c>
      <c r="G45" s="9">
        <f t="shared" ref="G45:M45" si="36">G44/F44-1</f>
        <v>0.11250808433579107</v>
      </c>
      <c r="H45" s="9">
        <f t="shared" si="36"/>
        <v>6.371500325551116E-2</v>
      </c>
      <c r="I45" s="9">
        <f t="shared" si="36"/>
        <v>0.1013746361269956</v>
      </c>
      <c r="J45" s="9">
        <f t="shared" si="36"/>
        <v>9.8068765865525931E-2</v>
      </c>
      <c r="K45" s="9">
        <f t="shared" si="36"/>
        <v>9.4311829323502794E-2</v>
      </c>
      <c r="L45" s="9">
        <f t="shared" si="36"/>
        <v>9.0174164013268276E-2</v>
      </c>
      <c r="M45" s="9">
        <f t="shared" si="36"/>
        <v>8.9579746804726579E-2</v>
      </c>
    </row>
    <row r="46" spans="1:14" x14ac:dyDescent="0.25">
      <c r="E46" s="9"/>
      <c r="F46" s="9"/>
      <c r="G46" s="9"/>
      <c r="H46" s="9"/>
      <c r="I46" s="21"/>
      <c r="J46" s="21"/>
      <c r="K46" s="21"/>
      <c r="L46" s="21"/>
      <c r="M46" s="19"/>
    </row>
    <row r="47" spans="1:14" x14ac:dyDescent="0.25">
      <c r="B47" s="3"/>
      <c r="E47" s="6"/>
      <c r="F47" s="6"/>
      <c r="G47" s="6"/>
      <c r="H47" s="6"/>
      <c r="J47" s="3"/>
      <c r="M47" s="6"/>
    </row>
    <row r="48" spans="1:14" x14ac:dyDescent="0.25">
      <c r="F48" s="9"/>
      <c r="G48" s="9"/>
      <c r="H48" s="9"/>
    </row>
    <row r="51" spans="2:28" x14ac:dyDescent="0.25">
      <c r="B51" s="2"/>
    </row>
    <row r="53" spans="2:28" x14ac:dyDescent="0.25">
      <c r="I53" s="1"/>
      <c r="M53" s="1"/>
      <c r="Q53" s="1"/>
    </row>
    <row r="54" spans="2:28" x14ac:dyDescent="0.25">
      <c r="E54" s="1"/>
    </row>
    <row r="55" spans="2:28" x14ac:dyDescent="0.25">
      <c r="H55" s="1"/>
      <c r="T55" s="1"/>
    </row>
    <row r="56" spans="2:28" x14ac:dyDescent="0.25">
      <c r="D56" s="1"/>
      <c r="Y56" s="1"/>
    </row>
    <row r="57" spans="2:28" x14ac:dyDescent="0.25">
      <c r="G57" s="1"/>
      <c r="J57" s="1"/>
      <c r="M57" s="1"/>
      <c r="P57" s="1"/>
      <c r="S57" s="1"/>
      <c r="Y57" s="1"/>
      <c r="AB57" s="1"/>
    </row>
    <row r="58" spans="2:28" x14ac:dyDescent="0.25">
      <c r="D58" s="1"/>
      <c r="G58" s="1"/>
      <c r="J58" s="1"/>
      <c r="M58" s="1"/>
      <c r="V58" s="1"/>
      <c r="AB58" s="1"/>
    </row>
    <row r="59" spans="2:28" x14ac:dyDescent="0.25">
      <c r="D59" s="1"/>
    </row>
    <row r="60" spans="2:28" x14ac:dyDescent="0.25">
      <c r="V60" s="1"/>
      <c r="AB60" s="1"/>
    </row>
    <row r="61" spans="2:28" x14ac:dyDescent="0.25">
      <c r="AB61" s="1"/>
    </row>
    <row r="62" spans="2:28" x14ac:dyDescent="0.25">
      <c r="S62" s="1"/>
      <c r="AB62" s="1"/>
    </row>
    <row r="63" spans="2:28" x14ac:dyDescent="0.25">
      <c r="G63" s="1"/>
      <c r="J63" s="1"/>
      <c r="M63" s="1"/>
      <c r="S63" s="1"/>
      <c r="V63" s="1"/>
      <c r="AB63" s="1"/>
    </row>
    <row r="64" spans="2:28" x14ac:dyDescent="0.25">
      <c r="D64" s="1"/>
      <c r="G64" s="1"/>
      <c r="J64" s="1"/>
      <c r="M64" s="1"/>
    </row>
    <row r="65" spans="3:37" x14ac:dyDescent="0.25">
      <c r="D65" s="1"/>
    </row>
    <row r="67" spans="3:37" x14ac:dyDescent="0.25">
      <c r="C67" s="1"/>
      <c r="F67" s="1"/>
    </row>
    <row r="68" spans="3:37" x14ac:dyDescent="0.25">
      <c r="I68" s="1"/>
    </row>
    <row r="69" spans="3:37" x14ac:dyDescent="0.25">
      <c r="C69" s="1"/>
    </row>
    <row r="70" spans="3:37" x14ac:dyDescent="0.25">
      <c r="U70" s="1"/>
      <c r="AA70" s="1"/>
    </row>
    <row r="71" spans="3:37" x14ac:dyDescent="0.25">
      <c r="R71" s="1"/>
      <c r="AB71" s="1"/>
    </row>
    <row r="75" spans="3:37" x14ac:dyDescent="0.25">
      <c r="I75" s="1"/>
      <c r="M75" s="1"/>
      <c r="Q75" s="1"/>
      <c r="U75" s="1"/>
      <c r="Y75" s="1"/>
      <c r="AK75" s="1"/>
    </row>
    <row r="76" spans="3:37" x14ac:dyDescent="0.25">
      <c r="E76" s="1"/>
      <c r="Y76" s="1"/>
    </row>
    <row r="77" spans="3:37" x14ac:dyDescent="0.25">
      <c r="G77" s="1"/>
      <c r="J77" s="1"/>
      <c r="M77" s="1"/>
      <c r="P77" s="1"/>
      <c r="S77" s="1"/>
      <c r="Y77" s="1"/>
      <c r="AB77" s="1"/>
    </row>
    <row r="78" spans="3:37" x14ac:dyDescent="0.25">
      <c r="D78" s="1"/>
      <c r="G78" s="1"/>
      <c r="J78" s="1"/>
      <c r="M78" s="1"/>
      <c r="V78" s="1"/>
      <c r="AB78" s="1"/>
    </row>
    <row r="79" spans="3:37" x14ac:dyDescent="0.25">
      <c r="D79" s="1"/>
    </row>
    <row r="81" spans="3:37" x14ac:dyDescent="0.25">
      <c r="AB81" s="1"/>
    </row>
    <row r="82" spans="3:37" x14ac:dyDescent="0.25">
      <c r="S82" s="1"/>
      <c r="AB82" s="1"/>
    </row>
    <row r="83" spans="3:37" x14ac:dyDescent="0.25">
      <c r="G83" s="1"/>
      <c r="J83" s="1"/>
      <c r="M83" s="1"/>
      <c r="S83" s="1"/>
      <c r="V83" s="1"/>
      <c r="AB83" s="1"/>
    </row>
    <row r="84" spans="3:37" x14ac:dyDescent="0.25">
      <c r="D84" s="1"/>
      <c r="G84" s="1"/>
      <c r="J84" s="1"/>
      <c r="M84" s="1"/>
    </row>
    <row r="85" spans="3:37" x14ac:dyDescent="0.25">
      <c r="D85" s="1"/>
    </row>
    <row r="87" spans="3:37" x14ac:dyDescent="0.25">
      <c r="C87" s="1"/>
      <c r="F87" s="1"/>
    </row>
    <row r="88" spans="3:37" x14ac:dyDescent="0.25">
      <c r="I88" s="1"/>
    </row>
    <row r="89" spans="3:37" x14ac:dyDescent="0.25">
      <c r="C89" s="1"/>
    </row>
    <row r="90" spans="3:37" x14ac:dyDescent="0.25">
      <c r="U90" s="1"/>
      <c r="AA90" s="1"/>
    </row>
    <row r="91" spans="3:37" x14ac:dyDescent="0.25">
      <c r="R91" s="1"/>
      <c r="AB91" s="1"/>
    </row>
    <row r="94" spans="3:37" x14ac:dyDescent="0.25">
      <c r="I94" s="1"/>
      <c r="M94" s="1"/>
      <c r="Q94" s="1"/>
      <c r="U94" s="1"/>
      <c r="Y94" s="1"/>
      <c r="AK94" s="1"/>
    </row>
    <row r="95" spans="3:37" x14ac:dyDescent="0.25">
      <c r="E95" s="1"/>
      <c r="Y95" s="1"/>
    </row>
    <row r="96" spans="3:37" x14ac:dyDescent="0.25">
      <c r="G96" s="1"/>
      <c r="J96" s="1"/>
      <c r="M96" s="1"/>
      <c r="P96" s="1"/>
      <c r="S96" s="1"/>
      <c r="Y96" s="1"/>
      <c r="AB96" s="1"/>
    </row>
    <row r="97" spans="4:28" x14ac:dyDescent="0.25">
      <c r="D97" s="1"/>
      <c r="G97" s="1"/>
      <c r="J97" s="1"/>
      <c r="M97" s="1"/>
      <c r="V97" s="1"/>
      <c r="AB97" s="1"/>
    </row>
    <row r="98" spans="4:28" x14ac:dyDescent="0.25">
      <c r="D98" s="1"/>
    </row>
    <row r="99" spans="4:28" x14ac:dyDescent="0.25">
      <c r="V99" s="1"/>
      <c r="AB99" s="1"/>
    </row>
    <row r="100" spans="4:28" x14ac:dyDescent="0.25">
      <c r="AB100" s="1"/>
    </row>
    <row r="101" spans="4:28" x14ac:dyDescent="0.25">
      <c r="S101" s="1"/>
      <c r="AB101" s="1"/>
    </row>
    <row r="102" spans="4:28" x14ac:dyDescent="0.25">
      <c r="G102" s="1"/>
      <c r="J102" s="1"/>
      <c r="M102" s="1"/>
      <c r="S102" s="1"/>
      <c r="V102" s="1"/>
      <c r="AB102" s="1"/>
    </row>
    <row r="103" spans="4:28" x14ac:dyDescent="0.25">
      <c r="D103" s="1"/>
      <c r="AB103" s="1"/>
    </row>
  </sheetData>
  <mergeCells count="18">
    <mergeCell ref="AC6:AE6"/>
    <mergeCell ref="AF6:AG6"/>
    <mergeCell ref="D2:H2"/>
    <mergeCell ref="BD6:BE6"/>
    <mergeCell ref="AL6:AM6"/>
    <mergeCell ref="AO6:AQ6"/>
    <mergeCell ref="AR6:AS6"/>
    <mergeCell ref="AU6:AW6"/>
    <mergeCell ref="AX6:AY6"/>
    <mergeCell ref="BA6:BC6"/>
    <mergeCell ref="AI6:AK6"/>
    <mergeCell ref="E4:H4"/>
    <mergeCell ref="I4:M4"/>
    <mergeCell ref="N6:O6"/>
    <mergeCell ref="Q6:S6"/>
    <mergeCell ref="T6:U6"/>
    <mergeCell ref="W6:Y6"/>
    <mergeCell ref="Z6:AA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73BF-0044-4020-8CD8-4EF327F93AFF}">
  <dimension ref="A3:S65"/>
  <sheetViews>
    <sheetView showGridLines="0" topLeftCell="A21" zoomScale="87" zoomScaleNormal="87" workbookViewId="0">
      <selection activeCell="I28" sqref="I28"/>
    </sheetView>
  </sheetViews>
  <sheetFormatPr defaultRowHeight="15" x14ac:dyDescent="0.25"/>
  <cols>
    <col min="1" max="1" width="2.28515625" style="212" customWidth="1"/>
    <col min="2" max="2" width="61.85546875" style="212" bestFit="1" customWidth="1"/>
    <col min="3" max="3" width="0.5703125" style="212" customWidth="1"/>
    <col min="4" max="4" width="6.42578125" style="212" bestFit="1" customWidth="1"/>
    <col min="5" max="5" width="9.140625" style="212" bestFit="1" customWidth="1"/>
    <col min="6" max="7" width="9" style="212" bestFit="1" customWidth="1"/>
    <col min="8" max="8" width="9.140625" style="212" bestFit="1" customWidth="1"/>
    <col min="9" max="12" width="13.7109375" style="212" bestFit="1" customWidth="1"/>
    <col min="13" max="13" width="14.42578125" style="212" bestFit="1" customWidth="1"/>
    <col min="14" max="14" width="13.7109375" style="235" bestFit="1" customWidth="1"/>
    <col min="15" max="15" width="60.140625" style="235" bestFit="1" customWidth="1"/>
    <col min="16" max="16" width="9.140625" style="235"/>
    <col min="17" max="17" width="55.85546875" style="235" bestFit="1" customWidth="1"/>
    <col min="18" max="19" width="9.140625" style="235"/>
    <col min="20" max="16384" width="9.140625" style="212"/>
  </cols>
  <sheetData>
    <row r="3" spans="1:17" ht="18.75" x14ac:dyDescent="0.3">
      <c r="D3" s="268" t="s">
        <v>263</v>
      </c>
      <c r="E3" s="269"/>
      <c r="F3" s="269"/>
      <c r="G3" s="269"/>
      <c r="H3" s="270"/>
    </row>
    <row r="5" spans="1:17" ht="15.75" x14ac:dyDescent="0.25">
      <c r="B5" s="213"/>
      <c r="C5" s="213"/>
      <c r="D5" s="213"/>
      <c r="E5" s="266" t="s">
        <v>4</v>
      </c>
      <c r="F5" s="266"/>
      <c r="G5" s="266"/>
      <c r="H5" s="266"/>
      <c r="I5" s="267" t="s">
        <v>5</v>
      </c>
      <c r="J5" s="266"/>
      <c r="K5" s="266"/>
      <c r="L5" s="266"/>
      <c r="M5" s="266"/>
    </row>
    <row r="6" spans="1:17" ht="15.75" x14ac:dyDescent="0.25">
      <c r="B6" s="213" t="s">
        <v>2</v>
      </c>
      <c r="C6" s="213"/>
      <c r="D6" s="213" t="s">
        <v>3</v>
      </c>
      <c r="E6" s="214">
        <v>2020</v>
      </c>
      <c r="F6" s="214">
        <f>E6+1</f>
        <v>2021</v>
      </c>
      <c r="G6" s="214">
        <f t="shared" ref="G6:M6" si="0">F6+1</f>
        <v>2022</v>
      </c>
      <c r="H6" s="214">
        <f t="shared" si="0"/>
        <v>2023</v>
      </c>
      <c r="I6" s="215">
        <f t="shared" si="0"/>
        <v>2024</v>
      </c>
      <c r="J6" s="214">
        <f t="shared" si="0"/>
        <v>2025</v>
      </c>
      <c r="K6" s="214">
        <f t="shared" si="0"/>
        <v>2026</v>
      </c>
      <c r="L6" s="214">
        <f t="shared" si="0"/>
        <v>2027</v>
      </c>
      <c r="M6" s="214">
        <f t="shared" si="0"/>
        <v>2028</v>
      </c>
      <c r="O6" s="235" t="s">
        <v>31</v>
      </c>
      <c r="Q6" s="235" t="s">
        <v>32</v>
      </c>
    </row>
    <row r="7" spans="1:17" x14ac:dyDescent="0.25">
      <c r="B7" s="212" t="s">
        <v>17</v>
      </c>
      <c r="D7" s="217"/>
      <c r="E7" s="217">
        <f>revenues!E44</f>
        <v>33014</v>
      </c>
      <c r="F7" s="217">
        <f>revenues!F44</f>
        <v>38655</v>
      </c>
      <c r="G7" s="217">
        <f>revenues!G44</f>
        <v>43004</v>
      </c>
      <c r="H7" s="218">
        <f>revenues!H44</f>
        <v>45744</v>
      </c>
      <c r="I7" s="217">
        <f>revenues!I44</f>
        <v>50381.281354993283</v>
      </c>
      <c r="J7" s="217">
        <f>revenues!J44</f>
        <v>55322.111440201305</v>
      </c>
      <c r="K7" s="217">
        <f>revenues!K44</f>
        <v>60539.640972165376</v>
      </c>
      <c r="L7" s="217">
        <f>revenues!L44</f>
        <v>65998.752486493788</v>
      </c>
      <c r="M7" s="217">
        <f>revenues!M44</f>
        <v>71910.904023661715</v>
      </c>
    </row>
    <row r="8" spans="1:17" x14ac:dyDescent="0.25">
      <c r="B8" s="212" t="s">
        <v>33</v>
      </c>
      <c r="D8" s="217"/>
      <c r="E8" s="217"/>
      <c r="F8" s="219">
        <v>3</v>
      </c>
      <c r="G8" s="219">
        <v>42</v>
      </c>
      <c r="H8" s="29">
        <v>30</v>
      </c>
      <c r="I8" s="220" t="s">
        <v>63</v>
      </c>
      <c r="J8" s="220" t="s">
        <v>63</v>
      </c>
      <c r="K8" s="220" t="s">
        <v>63</v>
      </c>
      <c r="L8" s="220" t="s">
        <v>63</v>
      </c>
      <c r="M8" s="220" t="s">
        <v>63</v>
      </c>
    </row>
    <row r="9" spans="1:17" x14ac:dyDescent="0.25">
      <c r="B9" s="212" t="s">
        <v>34</v>
      </c>
      <c r="D9" s="217"/>
      <c r="E9" s="221">
        <f t="shared" ref="E9:G9" si="1">SUM(E7:E8)</f>
        <v>33014</v>
      </c>
      <c r="F9" s="221">
        <f t="shared" si="1"/>
        <v>38658</v>
      </c>
      <c r="G9" s="221">
        <f t="shared" si="1"/>
        <v>43046</v>
      </c>
      <c r="H9" s="222">
        <f>SUM(H7:H8)</f>
        <v>45774</v>
      </c>
      <c r="I9" s="221">
        <f>SUM(I7:I8)</f>
        <v>50381.281354993283</v>
      </c>
      <c r="J9" s="221">
        <f t="shared" ref="J9:M9" si="2">SUM(J7:J8)</f>
        <v>55322.111440201305</v>
      </c>
      <c r="K9" s="221">
        <f t="shared" si="2"/>
        <v>60539.640972165376</v>
      </c>
      <c r="L9" s="221">
        <f t="shared" si="2"/>
        <v>65998.752486493788</v>
      </c>
      <c r="M9" s="221">
        <f t="shared" si="2"/>
        <v>71910.904023661715</v>
      </c>
    </row>
    <row r="10" spans="1:17" x14ac:dyDescent="0.25">
      <c r="D10" s="217"/>
      <c r="E10" s="217"/>
      <c r="F10" s="217"/>
      <c r="G10" s="217"/>
      <c r="H10" s="218"/>
      <c r="I10" s="217"/>
      <c r="J10" s="217"/>
      <c r="K10" s="217"/>
      <c r="L10" s="217"/>
      <c r="M10" s="217"/>
    </row>
    <row r="11" spans="1:17" x14ac:dyDescent="0.25">
      <c r="B11" s="212" t="s">
        <v>16</v>
      </c>
      <c r="E11" s="223">
        <v>13433</v>
      </c>
      <c r="F11" s="223">
        <v>15357</v>
      </c>
      <c r="G11" s="223">
        <v>18000</v>
      </c>
      <c r="H11" s="29">
        <v>18520</v>
      </c>
    </row>
    <row r="12" spans="1:17" x14ac:dyDescent="0.25">
      <c r="B12" s="212" t="s">
        <v>33</v>
      </c>
      <c r="E12" s="223">
        <v>65</v>
      </c>
      <c r="F12" s="223">
        <v>53</v>
      </c>
      <c r="G12" s="223">
        <v>-283</v>
      </c>
      <c r="H12" s="29">
        <v>-55</v>
      </c>
      <c r="I12" s="212" t="s">
        <v>37</v>
      </c>
    </row>
    <row r="13" spans="1:17" x14ac:dyDescent="0.25">
      <c r="B13" s="212" t="s">
        <v>36</v>
      </c>
      <c r="E13" s="212">
        <f t="shared" ref="E13:G13" si="3">SUM(E11:E12)</f>
        <v>13498</v>
      </c>
      <c r="F13" s="212">
        <f t="shared" si="3"/>
        <v>15410</v>
      </c>
      <c r="G13" s="212">
        <f t="shared" si="3"/>
        <v>17717</v>
      </c>
      <c r="H13" s="224">
        <f>SUM(H11:H12)</f>
        <v>18465</v>
      </c>
      <c r="I13" s="212">
        <f>I9-I14</f>
        <v>20380.936697112509</v>
      </c>
      <c r="J13" s="212">
        <f t="shared" ref="J13:M13" si="4">J9-J14</f>
        <v>22488.656035856249</v>
      </c>
      <c r="K13" s="212">
        <f t="shared" si="4"/>
        <v>24507.108269692442</v>
      </c>
      <c r="L13" s="212">
        <f t="shared" si="4"/>
        <v>26748.167419370191</v>
      </c>
      <c r="M13" s="212">
        <f t="shared" si="4"/>
        <v>29162.215606083533</v>
      </c>
    </row>
    <row r="14" spans="1:17" x14ac:dyDescent="0.25">
      <c r="A14" s="225"/>
      <c r="B14" s="226" t="s">
        <v>38</v>
      </c>
      <c r="C14" s="225"/>
      <c r="D14" s="225"/>
      <c r="E14" s="227">
        <f t="shared" ref="E14:G14" si="5">SUM(E9-E13)</f>
        <v>19516</v>
      </c>
      <c r="F14" s="227">
        <f t="shared" si="5"/>
        <v>23248</v>
      </c>
      <c r="G14" s="227">
        <f t="shared" si="5"/>
        <v>25329</v>
      </c>
      <c r="H14" s="227">
        <f>SUM(H9-H13)</f>
        <v>27309</v>
      </c>
      <c r="I14" s="225">
        <f>I9*I51</f>
        <v>30000.344657880774</v>
      </c>
      <c r="J14" s="225">
        <f t="shared" ref="J14:M14" si="6">J9*J51</f>
        <v>32833.455404345055</v>
      </c>
      <c r="K14" s="225">
        <f t="shared" si="6"/>
        <v>36032.532702472934</v>
      </c>
      <c r="L14" s="225">
        <f t="shared" si="6"/>
        <v>39250.585067123597</v>
      </c>
      <c r="M14" s="225">
        <f t="shared" si="6"/>
        <v>42748.688417578182</v>
      </c>
    </row>
    <row r="15" spans="1:17" x14ac:dyDescent="0.25">
      <c r="B15" s="228"/>
      <c r="E15" s="221"/>
      <c r="F15" s="221"/>
      <c r="G15" s="221"/>
      <c r="H15" s="222"/>
    </row>
    <row r="16" spans="1:17" x14ac:dyDescent="0.25">
      <c r="B16" s="212" t="s">
        <v>41</v>
      </c>
      <c r="E16" s="223">
        <v>9731</v>
      </c>
      <c r="F16" s="223">
        <v>12144</v>
      </c>
      <c r="G16" s="223">
        <v>12880</v>
      </c>
      <c r="H16" s="29">
        <v>13972</v>
      </c>
    </row>
    <row r="17" spans="1:15" x14ac:dyDescent="0.25">
      <c r="B17" s="212" t="s">
        <v>33</v>
      </c>
      <c r="E17" s="223"/>
      <c r="F17" s="223">
        <v>-5</v>
      </c>
      <c r="G17" s="223">
        <v>4</v>
      </c>
      <c r="H17" s="29">
        <v>11</v>
      </c>
    </row>
    <row r="18" spans="1:15" x14ac:dyDescent="0.25">
      <c r="B18" s="212" t="s">
        <v>39</v>
      </c>
      <c r="E18" s="212">
        <f t="shared" ref="E18:H18" si="7">SUM(E16:E17)</f>
        <v>9731</v>
      </c>
      <c r="F18" s="212">
        <f t="shared" si="7"/>
        <v>12139</v>
      </c>
      <c r="G18" s="212">
        <f t="shared" si="7"/>
        <v>12884</v>
      </c>
      <c r="H18" s="224">
        <f t="shared" si="7"/>
        <v>13983</v>
      </c>
      <c r="I18" s="212">
        <f>I9*I52</f>
        <v>15426.629978147374</v>
      </c>
      <c r="J18" s="212">
        <f t="shared" ref="J18:L18" si="8">J9*J52</f>
        <v>16793.049531912337</v>
      </c>
      <c r="K18" s="212">
        <f t="shared" si="8"/>
        <v>18464.324947368645</v>
      </c>
      <c r="L18" s="212">
        <f t="shared" si="8"/>
        <v>20123.980414083417</v>
      </c>
      <c r="M18" s="212">
        <f>M9*M52</f>
        <v>21895.925360833706</v>
      </c>
    </row>
    <row r="19" spans="1:15" x14ac:dyDescent="0.25">
      <c r="B19" s="229" t="s">
        <v>35</v>
      </c>
      <c r="E19" s="223">
        <v>853</v>
      </c>
      <c r="F19" s="223">
        <v>846</v>
      </c>
      <c r="G19" s="223">
        <v>1215</v>
      </c>
      <c r="H19" s="29">
        <v>1951</v>
      </c>
    </row>
    <row r="20" spans="1:15" x14ac:dyDescent="0.25">
      <c r="B20" s="212" t="s">
        <v>33</v>
      </c>
      <c r="E20" s="223">
        <v>-853</v>
      </c>
      <c r="F20" s="223">
        <v>-846</v>
      </c>
      <c r="G20" s="223">
        <v>-1215</v>
      </c>
      <c r="H20" s="29">
        <v>-1951</v>
      </c>
    </row>
    <row r="21" spans="1:15" x14ac:dyDescent="0.25">
      <c r="B21" s="212" t="s">
        <v>40</v>
      </c>
      <c r="E21" s="212">
        <f t="shared" ref="E21:G21" si="9">SUM(E19:E20)</f>
        <v>0</v>
      </c>
      <c r="F21" s="212">
        <f t="shared" si="9"/>
        <v>0</v>
      </c>
      <c r="G21" s="212">
        <f t="shared" si="9"/>
        <v>0</v>
      </c>
      <c r="H21" s="224">
        <f>SUM(H19:H20)</f>
        <v>0</v>
      </c>
    </row>
    <row r="22" spans="1:15" x14ac:dyDescent="0.25">
      <c r="A22" s="225"/>
      <c r="B22" s="226" t="s">
        <v>42</v>
      </c>
      <c r="C22" s="225"/>
      <c r="D22" s="225"/>
      <c r="E22" s="227">
        <f>E14-E18-E21</f>
        <v>9785</v>
      </c>
      <c r="F22" s="227">
        <f t="shared" ref="F22:G22" si="10">F14-F18-F21</f>
        <v>11109</v>
      </c>
      <c r="G22" s="227">
        <f t="shared" si="10"/>
        <v>12445</v>
      </c>
      <c r="H22" s="227">
        <f>H14-H18-H21</f>
        <v>13326</v>
      </c>
      <c r="I22" s="227">
        <f>I14-I18</f>
        <v>14573.714679733401</v>
      </c>
      <c r="J22" s="227">
        <f t="shared" ref="J22:M22" si="11">J14-J18</f>
        <v>16040.405872432719</v>
      </c>
      <c r="K22" s="227">
        <f t="shared" si="11"/>
        <v>17568.207755104289</v>
      </c>
      <c r="L22" s="227">
        <f t="shared" si="11"/>
        <v>19126.60465304018</v>
      </c>
      <c r="M22" s="227">
        <f t="shared" si="11"/>
        <v>20852.763056744476</v>
      </c>
    </row>
    <row r="23" spans="1:15" x14ac:dyDescent="0.25">
      <c r="B23" s="228"/>
      <c r="E23" s="221"/>
      <c r="F23" s="221"/>
      <c r="G23" s="221"/>
      <c r="H23" s="222"/>
    </row>
    <row r="24" spans="1:15" x14ac:dyDescent="0.25">
      <c r="B24" s="212" t="s">
        <v>54</v>
      </c>
      <c r="E24" s="223">
        <v>370</v>
      </c>
      <c r="F24" s="223">
        <v>276</v>
      </c>
      <c r="G24" s="223">
        <v>499</v>
      </c>
      <c r="H24" s="29">
        <v>907</v>
      </c>
      <c r="I24" s="223"/>
    </row>
    <row r="25" spans="1:15" x14ac:dyDescent="0.25">
      <c r="B25" s="212" t="s">
        <v>55</v>
      </c>
      <c r="E25" s="212">
        <f>SUM(E24:E24)</f>
        <v>370</v>
      </c>
      <c r="F25" s="212">
        <f>SUM(F24:F24)</f>
        <v>276</v>
      </c>
      <c r="G25" s="212">
        <f>SUM(G24:G24)</f>
        <v>499</v>
      </c>
      <c r="H25" s="224">
        <f>SUM(H24:H24)</f>
        <v>907</v>
      </c>
      <c r="I25" s="230"/>
      <c r="J25" s="216"/>
      <c r="K25" s="216"/>
      <c r="L25" s="216"/>
      <c r="M25" s="216"/>
      <c r="N25" s="235" t="s">
        <v>64</v>
      </c>
    </row>
    <row r="26" spans="1:15" x14ac:dyDescent="0.25">
      <c r="B26" s="212" t="s">
        <v>43</v>
      </c>
      <c r="E26" s="223">
        <v>1437</v>
      </c>
      <c r="F26" s="223">
        <v>1597</v>
      </c>
      <c r="G26" s="223">
        <v>-882</v>
      </c>
      <c r="H26" s="29">
        <v>1527</v>
      </c>
      <c r="I26" s="223"/>
    </row>
    <row r="27" spans="1:15" x14ac:dyDescent="0.25">
      <c r="B27" s="212" t="s">
        <v>33</v>
      </c>
      <c r="E27" s="223">
        <v>-484</v>
      </c>
      <c r="F27" s="223">
        <v>-821</v>
      </c>
      <c r="G27" s="223">
        <v>24</v>
      </c>
      <c r="H27" s="29">
        <v>25</v>
      </c>
      <c r="I27" s="223"/>
    </row>
    <row r="28" spans="1:15" x14ac:dyDescent="0.25">
      <c r="B28" s="212" t="s">
        <v>56</v>
      </c>
      <c r="E28" s="212">
        <f t="shared" ref="E28:H28" si="12">SUM(E26:E27)</f>
        <v>953</v>
      </c>
      <c r="F28" s="212">
        <f t="shared" si="12"/>
        <v>776</v>
      </c>
      <c r="G28" s="212">
        <f t="shared" si="12"/>
        <v>-858</v>
      </c>
      <c r="H28" s="224">
        <f t="shared" si="12"/>
        <v>1552</v>
      </c>
      <c r="I28" s="230">
        <f>SUM('debt schedule'!E15,'debt schedule'!E28)</f>
        <v>1544.8872049332999</v>
      </c>
      <c r="J28" s="230">
        <f>SUM('debt schedule'!F15,'debt schedule'!F28)</f>
        <v>1607.6176727511834</v>
      </c>
      <c r="K28" s="230">
        <f>SUM('debt schedule'!G15,'debt schedule'!G28)</f>
        <v>1672.0969979009824</v>
      </c>
      <c r="L28" s="230">
        <f>SUM('debt schedule'!H15,'debt schedule'!H28)</f>
        <v>1726.1013021328879</v>
      </c>
      <c r="M28" s="230">
        <f>SUM('debt schedule'!I15,'debt schedule'!I28)</f>
        <v>1773.1911875168687</v>
      </c>
      <c r="N28" s="235" t="s">
        <v>65</v>
      </c>
    </row>
    <row r="29" spans="1:15" x14ac:dyDescent="0.25">
      <c r="B29" s="212" t="s">
        <v>44</v>
      </c>
      <c r="E29" s="223">
        <v>978</v>
      </c>
      <c r="F29" s="223">
        <v>1438</v>
      </c>
      <c r="G29" s="223">
        <v>1472</v>
      </c>
      <c r="H29" s="29">
        <v>1691</v>
      </c>
      <c r="I29" s="223"/>
    </row>
    <row r="30" spans="1:15" x14ac:dyDescent="0.25">
      <c r="B30" s="212" t="s">
        <v>33</v>
      </c>
      <c r="E30" s="223">
        <v>216</v>
      </c>
      <c r="F30" s="223">
        <v>13</v>
      </c>
      <c r="G30" s="223">
        <v>14</v>
      </c>
      <c r="H30" s="29">
        <v>159</v>
      </c>
      <c r="I30" s="223"/>
      <c r="O30" s="235" t="s">
        <v>66</v>
      </c>
    </row>
    <row r="31" spans="1:15" x14ac:dyDescent="0.25">
      <c r="B31" s="212" t="s">
        <v>57</v>
      </c>
      <c r="E31" s="212">
        <f t="shared" ref="E31:H31" si="13">SUM(E29:E30)</f>
        <v>1194</v>
      </c>
      <c r="F31" s="212">
        <f t="shared" si="13"/>
        <v>1451</v>
      </c>
      <c r="G31" s="212">
        <f t="shared" si="13"/>
        <v>1486</v>
      </c>
      <c r="H31" s="224">
        <f t="shared" si="13"/>
        <v>1850</v>
      </c>
      <c r="I31" s="223">
        <f>I9*I56</f>
        <v>1888.8184453448819</v>
      </c>
      <c r="J31" s="223">
        <f t="shared" ref="J31:M31" si="14">J9*J56</f>
        <v>2073.2449389133544</v>
      </c>
      <c r="K31" s="223">
        <f t="shared" si="14"/>
        <v>2328.4013985291108</v>
      </c>
      <c r="L31" s="223">
        <f t="shared" si="14"/>
        <v>2495.3498242100818</v>
      </c>
      <c r="M31" s="223">
        <f t="shared" si="14"/>
        <v>2726.5187249328337</v>
      </c>
    </row>
    <row r="32" spans="1:15" x14ac:dyDescent="0.25">
      <c r="B32" s="212" t="s">
        <v>58</v>
      </c>
      <c r="E32" s="223">
        <v>841</v>
      </c>
      <c r="F32" s="223">
        <v>2000</v>
      </c>
      <c r="G32" s="223">
        <v>-262</v>
      </c>
      <c r="H32" s="29">
        <v>570</v>
      </c>
      <c r="I32" s="223"/>
    </row>
    <row r="33" spans="1:15" x14ac:dyDescent="0.25">
      <c r="B33" s="212" t="s">
        <v>33</v>
      </c>
      <c r="E33" s="223">
        <v>-724</v>
      </c>
      <c r="F33" s="223">
        <v>-1631</v>
      </c>
      <c r="G33" s="223">
        <v>245</v>
      </c>
      <c r="H33" s="29">
        <v>-708</v>
      </c>
      <c r="I33" s="223"/>
    </row>
    <row r="34" spans="1:15" x14ac:dyDescent="0.25">
      <c r="B34" s="212" t="s">
        <v>59</v>
      </c>
      <c r="E34" s="223">
        <f>SUM(E32:E33)</f>
        <v>117</v>
      </c>
      <c r="F34" s="223">
        <f t="shared" ref="F34:H34" si="15">SUM(F32:F33)</f>
        <v>369</v>
      </c>
      <c r="G34" s="223">
        <f t="shared" si="15"/>
        <v>-17</v>
      </c>
      <c r="H34" s="29">
        <f t="shared" si="15"/>
        <v>-138</v>
      </c>
      <c r="I34" s="223">
        <f>AVERAGE(E34:H34)</f>
        <v>82.75</v>
      </c>
      <c r="J34" s="223">
        <f t="shared" ref="J34:M34" si="16">AVERAGE(F34:I34)</f>
        <v>74.1875</v>
      </c>
      <c r="K34" s="223">
        <f t="shared" si="16"/>
        <v>0.484375</v>
      </c>
      <c r="L34" s="223">
        <f t="shared" si="16"/>
        <v>4.85546875</v>
      </c>
      <c r="M34" s="223">
        <f t="shared" si="16"/>
        <v>40.5693359375</v>
      </c>
      <c r="N34" s="235" t="s">
        <v>62</v>
      </c>
    </row>
    <row r="35" spans="1:15" x14ac:dyDescent="0.25">
      <c r="H35" s="224"/>
    </row>
    <row r="36" spans="1:15" x14ac:dyDescent="0.25">
      <c r="A36" s="221"/>
      <c r="B36" s="227" t="s">
        <v>45</v>
      </c>
      <c r="C36" s="227"/>
      <c r="D36" s="227"/>
      <c r="E36" s="231">
        <f>E22+E25-E28+E34+E31</f>
        <v>10513</v>
      </c>
      <c r="F36" s="231">
        <f t="shared" ref="F36:M36" si="17">F22+F25-F28+F34+F31</f>
        <v>12429</v>
      </c>
      <c r="G36" s="231">
        <f t="shared" si="17"/>
        <v>15271</v>
      </c>
      <c r="H36" s="231">
        <f t="shared" si="17"/>
        <v>14393</v>
      </c>
      <c r="I36" s="227">
        <f t="shared" si="17"/>
        <v>15000.395920144982</v>
      </c>
      <c r="J36" s="227">
        <f t="shared" si="17"/>
        <v>16580.220638594888</v>
      </c>
      <c r="K36" s="227">
        <f t="shared" si="17"/>
        <v>18224.996530732416</v>
      </c>
      <c r="L36" s="227">
        <f t="shared" si="17"/>
        <v>19900.708643867376</v>
      </c>
      <c r="M36" s="227">
        <f t="shared" si="17"/>
        <v>21846.65993009794</v>
      </c>
    </row>
    <row r="37" spans="1:15" x14ac:dyDescent="0.25">
      <c r="B37" s="212" t="s">
        <v>46</v>
      </c>
      <c r="E37" s="223">
        <v>1981</v>
      </c>
      <c r="F37" s="223">
        <v>2621</v>
      </c>
      <c r="G37" s="223">
        <v>2115</v>
      </c>
      <c r="H37" s="29">
        <v>2240</v>
      </c>
    </row>
    <row r="38" spans="1:15" x14ac:dyDescent="0.25">
      <c r="B38" s="212" t="s">
        <v>33</v>
      </c>
      <c r="E38" s="223">
        <v>61</v>
      </c>
      <c r="F38" s="223">
        <v>-313</v>
      </c>
      <c r="G38" s="223">
        <v>430</v>
      </c>
      <c r="H38" s="29">
        <v>488</v>
      </c>
    </row>
    <row r="39" spans="1:15" x14ac:dyDescent="0.25">
      <c r="B39" s="212" t="s">
        <v>60</v>
      </c>
      <c r="E39" s="212">
        <f t="shared" ref="E39:H39" si="18">SUM(E37:E38)</f>
        <v>2042</v>
      </c>
      <c r="F39" s="212">
        <f t="shared" si="18"/>
        <v>2308</v>
      </c>
      <c r="G39" s="212">
        <f t="shared" si="18"/>
        <v>2545</v>
      </c>
      <c r="H39" s="224">
        <f t="shared" si="18"/>
        <v>2728</v>
      </c>
      <c r="I39" s="212">
        <f>I36*I55</f>
        <v>2709.5069105413181</v>
      </c>
      <c r="J39" s="212">
        <f t="shared" ref="J39:M39" si="19">J36*J55</f>
        <v>2966.8721941618332</v>
      </c>
      <c r="K39" s="212">
        <f t="shared" si="19"/>
        <v>3335.8186783428123</v>
      </c>
      <c r="L39" s="212">
        <f t="shared" si="19"/>
        <v>3599.4068954156269</v>
      </c>
      <c r="M39" s="212">
        <f t="shared" si="19"/>
        <v>3953.1100327710496</v>
      </c>
    </row>
    <row r="40" spans="1:15" x14ac:dyDescent="0.25">
      <c r="B40" s="227" t="s">
        <v>47</v>
      </c>
      <c r="C40" s="225"/>
      <c r="D40" s="225"/>
      <c r="E40" s="225">
        <f>E36-E39</f>
        <v>8471</v>
      </c>
      <c r="F40" s="225">
        <f t="shared" ref="F40:M40" si="20">F36-F39</f>
        <v>10121</v>
      </c>
      <c r="G40" s="225">
        <f t="shared" si="20"/>
        <v>12726</v>
      </c>
      <c r="H40" s="225">
        <f t="shared" si="20"/>
        <v>11665</v>
      </c>
      <c r="I40" s="225">
        <f t="shared" si="20"/>
        <v>12290.889009603663</v>
      </c>
      <c r="J40" s="225">
        <f t="shared" si="20"/>
        <v>13613.348444433055</v>
      </c>
      <c r="K40" s="225">
        <f t="shared" si="20"/>
        <v>14889.177852389605</v>
      </c>
      <c r="L40" s="225">
        <f t="shared" si="20"/>
        <v>16301.30174845175</v>
      </c>
      <c r="M40" s="225">
        <f t="shared" si="20"/>
        <v>17893.549897326891</v>
      </c>
    </row>
    <row r="41" spans="1:15" x14ac:dyDescent="0.25">
      <c r="B41" s="228" t="s">
        <v>48</v>
      </c>
      <c r="E41" s="223">
        <v>21</v>
      </c>
      <c r="F41" s="223">
        <v>33</v>
      </c>
      <c r="G41" s="223">
        <v>29</v>
      </c>
      <c r="H41" s="29">
        <v>-11</v>
      </c>
      <c r="I41" s="223">
        <v>25</v>
      </c>
      <c r="J41" s="223">
        <v>28</v>
      </c>
      <c r="K41" s="223">
        <v>30</v>
      </c>
      <c r="L41" s="223">
        <v>33</v>
      </c>
      <c r="M41" s="223">
        <v>36</v>
      </c>
    </row>
    <row r="42" spans="1:15" x14ac:dyDescent="0.25">
      <c r="B42" s="227" t="s">
        <v>49</v>
      </c>
      <c r="C42" s="227"/>
      <c r="D42" s="227"/>
      <c r="E42" s="227">
        <f>E40-E41</f>
        <v>8450</v>
      </c>
      <c r="F42" s="227">
        <f t="shared" ref="F42:M42" si="21">F40-F41</f>
        <v>10088</v>
      </c>
      <c r="G42" s="227">
        <f t="shared" si="21"/>
        <v>12697</v>
      </c>
      <c r="H42" s="227">
        <f t="shared" si="21"/>
        <v>11676</v>
      </c>
      <c r="I42" s="227">
        <f t="shared" si="21"/>
        <v>12265.889009603663</v>
      </c>
      <c r="J42" s="227">
        <f t="shared" si="21"/>
        <v>13585.348444433055</v>
      </c>
      <c r="K42" s="227">
        <f t="shared" si="21"/>
        <v>14859.177852389605</v>
      </c>
      <c r="L42" s="227">
        <f t="shared" si="21"/>
        <v>16268.30174845175</v>
      </c>
      <c r="M42" s="227">
        <f t="shared" si="21"/>
        <v>17857.549897326891</v>
      </c>
    </row>
    <row r="43" spans="1:15" x14ac:dyDescent="0.25">
      <c r="H43" s="224"/>
    </row>
    <row r="44" spans="1:15" x14ac:dyDescent="0.25">
      <c r="B44" s="212" t="s">
        <v>50</v>
      </c>
      <c r="E44" s="223">
        <v>1.95</v>
      </c>
      <c r="F44" s="223">
        <v>2.23</v>
      </c>
      <c r="G44" s="223">
        <v>2.48</v>
      </c>
      <c r="H44" s="29">
        <v>2.68</v>
      </c>
      <c r="I44" s="212">
        <f>I42/I45</f>
        <v>2.8268930651310584</v>
      </c>
      <c r="J44" s="212">
        <f t="shared" ref="J44:M44" si="22">J42/J45</f>
        <v>3.1309860438886967</v>
      </c>
      <c r="K44" s="212">
        <f t="shared" si="22"/>
        <v>3.4245627684696025</v>
      </c>
      <c r="L44" s="212">
        <f t="shared" si="22"/>
        <v>3.7493205228051969</v>
      </c>
      <c r="M44" s="212">
        <f t="shared" si="22"/>
        <v>4.1155911263717195</v>
      </c>
    </row>
    <row r="45" spans="1:15" x14ac:dyDescent="0.25">
      <c r="B45" s="212" t="s">
        <v>51</v>
      </c>
      <c r="E45" s="223">
        <v>4323</v>
      </c>
      <c r="F45" s="223">
        <v>4340</v>
      </c>
      <c r="G45" s="223">
        <v>4350</v>
      </c>
      <c r="H45" s="29">
        <v>4339</v>
      </c>
      <c r="I45" s="212">
        <f>H45</f>
        <v>4339</v>
      </c>
      <c r="J45" s="212">
        <f t="shared" ref="J45:M45" si="23">I45</f>
        <v>4339</v>
      </c>
      <c r="K45" s="212">
        <f t="shared" si="23"/>
        <v>4339</v>
      </c>
      <c r="L45" s="212">
        <f t="shared" si="23"/>
        <v>4339</v>
      </c>
      <c r="M45" s="212">
        <f t="shared" si="23"/>
        <v>4339</v>
      </c>
      <c r="N45" s="235" t="s">
        <v>69</v>
      </c>
      <c r="O45" s="235" t="s">
        <v>70</v>
      </c>
    </row>
    <row r="46" spans="1:15" x14ac:dyDescent="0.25">
      <c r="H46" s="224"/>
    </row>
    <row r="47" spans="1:15" x14ac:dyDescent="0.25">
      <c r="B47" s="228" t="s">
        <v>52</v>
      </c>
      <c r="E47" s="223">
        <v>1.64</v>
      </c>
      <c r="F47" s="223">
        <v>1.68</v>
      </c>
      <c r="G47" s="223">
        <v>1.78</v>
      </c>
      <c r="H47" s="29">
        <v>1.84</v>
      </c>
      <c r="I47" s="212">
        <f>I44*I48</f>
        <v>2.0331696472910705</v>
      </c>
      <c r="J47" s="212">
        <f t="shared" ref="J47:M47" si="24">J44*J48</f>
        <v>2.2162509471599927</v>
      </c>
      <c r="K47" s="212">
        <f t="shared" si="24"/>
        <v>2.4127593481470391</v>
      </c>
      <c r="L47" s="212">
        <f t="shared" si="24"/>
        <v>2.6640343782556259</v>
      </c>
      <c r="M47" s="212">
        <f t="shared" si="24"/>
        <v>2.9123672502741025</v>
      </c>
      <c r="N47" s="235" t="s">
        <v>72</v>
      </c>
    </row>
    <row r="48" spans="1:15" x14ac:dyDescent="0.25">
      <c r="B48" s="212" t="s">
        <v>53</v>
      </c>
      <c r="E48" s="234">
        <f>E47/E44</f>
        <v>0.84102564102564104</v>
      </c>
      <c r="F48" s="234">
        <f t="shared" ref="F48:H48" si="25">F47/F44</f>
        <v>0.75336322869955152</v>
      </c>
      <c r="G48" s="234">
        <f t="shared" si="25"/>
        <v>0.717741935483871</v>
      </c>
      <c r="H48" s="234">
        <f t="shared" si="25"/>
        <v>0.68656716417910446</v>
      </c>
      <c r="I48" s="234">
        <f>AVERAGE(F48:H48)</f>
        <v>0.7192241094541757</v>
      </c>
      <c r="J48" s="234">
        <f t="shared" ref="J48:M48" si="26">AVERAGE(G48:I48)</f>
        <v>0.70784440303905038</v>
      </c>
      <c r="K48" s="234">
        <f t="shared" si="26"/>
        <v>0.70454522555744348</v>
      </c>
      <c r="L48" s="234">
        <f t="shared" si="26"/>
        <v>0.71053791268355659</v>
      </c>
      <c r="M48" s="234">
        <f t="shared" si="26"/>
        <v>0.70764251376001674</v>
      </c>
      <c r="N48" s="235" t="s">
        <v>62</v>
      </c>
    </row>
    <row r="49" spans="2:17" x14ac:dyDescent="0.25">
      <c r="H49" s="224"/>
      <c r="N49" s="235" t="s">
        <v>69</v>
      </c>
    </row>
    <row r="50" spans="2:17" x14ac:dyDescent="0.25">
      <c r="B50" s="221" t="s">
        <v>22</v>
      </c>
      <c r="H50" s="224"/>
      <c r="N50" s="235" t="s">
        <v>71</v>
      </c>
    </row>
    <row r="51" spans="2:17" x14ac:dyDescent="0.25">
      <c r="B51" s="212" t="s">
        <v>23</v>
      </c>
      <c r="E51" s="234">
        <f t="shared" ref="E51:G51" si="27">E14/E9</f>
        <v>0.59114315139031925</v>
      </c>
      <c r="F51" s="234">
        <f t="shared" si="27"/>
        <v>0.6013761705209788</v>
      </c>
      <c r="G51" s="234">
        <f t="shared" si="27"/>
        <v>0.58841704223388935</v>
      </c>
      <c r="H51" s="234">
        <f>H14/H9</f>
        <v>0.59660505964084409</v>
      </c>
      <c r="I51" s="234">
        <f>AVERAGE(F51:H51)</f>
        <v>0.59546609079857082</v>
      </c>
      <c r="J51" s="234">
        <f t="shared" ref="J51:M51" si="28">AVERAGE(G51:I51)</f>
        <v>0.59349606422443479</v>
      </c>
      <c r="K51" s="234">
        <f t="shared" si="28"/>
        <v>0.59518907155461653</v>
      </c>
      <c r="L51" s="234">
        <f t="shared" si="28"/>
        <v>0.59471707552587405</v>
      </c>
      <c r="M51" s="234">
        <f t="shared" si="28"/>
        <v>0.59446740376830842</v>
      </c>
    </row>
    <row r="52" spans="2:17" x14ac:dyDescent="0.25">
      <c r="B52" s="212" t="s">
        <v>24</v>
      </c>
      <c r="E52" s="234">
        <f t="shared" ref="E52:G52" si="29">E16/E9</f>
        <v>0.29475374083722056</v>
      </c>
      <c r="F52" s="234">
        <f t="shared" si="29"/>
        <v>0.3141393760670495</v>
      </c>
      <c r="G52" s="234">
        <f t="shared" si="29"/>
        <v>0.29921479347674579</v>
      </c>
      <c r="H52" s="234">
        <f>H16/H9</f>
        <v>0.30523878184121989</v>
      </c>
      <c r="I52" s="234">
        <f t="shared" ref="I52:I57" si="30">AVERAGE(F52:H52)</f>
        <v>0.30619765046167174</v>
      </c>
      <c r="J52" s="234">
        <f t="shared" ref="J52:M54" si="31">AVERAGE(G52:I52)</f>
        <v>0.30355040859321242</v>
      </c>
      <c r="K52" s="234">
        <f t="shared" si="31"/>
        <v>0.30499561363203465</v>
      </c>
      <c r="L52" s="234">
        <f t="shared" si="31"/>
        <v>0.30491455756230629</v>
      </c>
      <c r="M52" s="234">
        <f t="shared" si="31"/>
        <v>0.30448685992918439</v>
      </c>
    </row>
    <row r="53" spans="2:17" x14ac:dyDescent="0.25">
      <c r="B53" s="212" t="s">
        <v>25</v>
      </c>
      <c r="E53" s="234">
        <f>E22/E9</f>
        <v>0.2963894105530987</v>
      </c>
      <c r="F53" s="234">
        <f t="shared" ref="F53:H53" si="32">F22/F9</f>
        <v>0.28736613378860781</v>
      </c>
      <c r="G53" s="234">
        <f t="shared" si="32"/>
        <v>0.28910932490823771</v>
      </c>
      <c r="H53" s="234">
        <f t="shared" si="32"/>
        <v>0.29112596670599028</v>
      </c>
      <c r="I53" s="234">
        <f t="shared" si="30"/>
        <v>0.28920047513427855</v>
      </c>
      <c r="J53" s="234">
        <f t="shared" si="31"/>
        <v>0.28981192224950214</v>
      </c>
      <c r="K53" s="234">
        <f t="shared" si="31"/>
        <v>0.29004612136325697</v>
      </c>
      <c r="L53" s="234">
        <f t="shared" si="31"/>
        <v>0.28968617291567922</v>
      </c>
      <c r="M53" s="234">
        <f t="shared" si="31"/>
        <v>0.28984807217614611</v>
      </c>
      <c r="O53" s="235" t="s">
        <v>62</v>
      </c>
    </row>
    <row r="54" spans="2:17" x14ac:dyDescent="0.25">
      <c r="B54" s="212" t="s">
        <v>26</v>
      </c>
      <c r="E54" s="234">
        <f>E22/E9</f>
        <v>0.2963894105530987</v>
      </c>
      <c r="F54" s="234">
        <f t="shared" ref="F54:H54" si="33">F22/F9</f>
        <v>0.28736613378860781</v>
      </c>
      <c r="G54" s="234">
        <f t="shared" si="33"/>
        <v>0.28910932490823771</v>
      </c>
      <c r="H54" s="234">
        <f t="shared" si="33"/>
        <v>0.29112596670599028</v>
      </c>
      <c r="I54" s="234">
        <f t="shared" si="30"/>
        <v>0.28920047513427855</v>
      </c>
      <c r="J54" s="234">
        <f t="shared" si="31"/>
        <v>0.28981192224950214</v>
      </c>
      <c r="K54" s="234">
        <f t="shared" si="31"/>
        <v>0.29004612136325697</v>
      </c>
      <c r="L54" s="234">
        <f t="shared" si="31"/>
        <v>0.28968617291567922</v>
      </c>
      <c r="M54" s="234">
        <f t="shared" si="31"/>
        <v>0.28984807217614611</v>
      </c>
    </row>
    <row r="55" spans="2:17" x14ac:dyDescent="0.25">
      <c r="B55" s="212" t="s">
        <v>27</v>
      </c>
      <c r="E55" s="234">
        <f>E39/E36</f>
        <v>0.1942357081708361</v>
      </c>
      <c r="F55" s="234">
        <f t="shared" ref="F55:H55" si="34">F39/F36</f>
        <v>0.18569474615817846</v>
      </c>
      <c r="G55" s="234">
        <f t="shared" si="34"/>
        <v>0.16665575273394015</v>
      </c>
      <c r="H55" s="234">
        <f t="shared" si="34"/>
        <v>0.18953658028208156</v>
      </c>
      <c r="I55" s="234">
        <f>AVERAGE(F55:H55)</f>
        <v>0.18062902639140008</v>
      </c>
      <c r="J55" s="234">
        <f t="shared" ref="J55:M58" si="35">AVERAGE(G55:I55)</f>
        <v>0.17894045313580728</v>
      </c>
      <c r="K55" s="234">
        <f t="shared" si="35"/>
        <v>0.18303535326976297</v>
      </c>
      <c r="L55" s="234">
        <f t="shared" si="35"/>
        <v>0.18086827759899013</v>
      </c>
      <c r="M55" s="234">
        <f t="shared" si="35"/>
        <v>0.18094802800152013</v>
      </c>
    </row>
    <row r="56" spans="2:17" x14ac:dyDescent="0.25">
      <c r="B56" s="212" t="s">
        <v>67</v>
      </c>
      <c r="E56" s="234">
        <f>E31/E9</f>
        <v>3.6166474828860484E-2</v>
      </c>
      <c r="F56" s="234">
        <f t="shared" ref="F56:H56" si="36">F31/F9</f>
        <v>3.7534274923689791E-2</v>
      </c>
      <c r="G56" s="234">
        <f t="shared" si="36"/>
        <v>3.4521209868512752E-2</v>
      </c>
      <c r="H56" s="234">
        <f t="shared" si="36"/>
        <v>4.0415956656617291E-2</v>
      </c>
      <c r="I56" s="234">
        <f t="shared" si="30"/>
        <v>3.7490480482939945E-2</v>
      </c>
      <c r="J56" s="234">
        <f t="shared" si="35"/>
        <v>3.7475882336023329E-2</v>
      </c>
      <c r="K56" s="234">
        <f t="shared" si="35"/>
        <v>3.8460773158526855E-2</v>
      </c>
      <c r="L56" s="234">
        <f t="shared" si="35"/>
        <v>3.7809045325830043E-2</v>
      </c>
      <c r="M56" s="234">
        <f t="shared" si="35"/>
        <v>3.7915233606793407E-2</v>
      </c>
    </row>
    <row r="57" spans="2:17" x14ac:dyDescent="0.25">
      <c r="B57" s="212" t="s">
        <v>68</v>
      </c>
      <c r="E57" s="234">
        <f>E40/E9</f>
        <v>0.25658811413339794</v>
      </c>
      <c r="F57" s="234">
        <f t="shared" ref="F57:H57" si="37">F40/F9</f>
        <v>0.26180868125614359</v>
      </c>
      <c r="G57" s="234">
        <f t="shared" si="37"/>
        <v>0.29563722529387165</v>
      </c>
      <c r="H57" s="234">
        <f t="shared" si="37"/>
        <v>0.25483899156726525</v>
      </c>
      <c r="I57" s="234">
        <f t="shared" si="30"/>
        <v>0.2707616327057602</v>
      </c>
      <c r="J57" s="234">
        <f t="shared" si="35"/>
        <v>0.27374594985563233</v>
      </c>
      <c r="K57" s="234">
        <f t="shared" si="35"/>
        <v>0.26644885804288593</v>
      </c>
      <c r="L57" s="234">
        <f t="shared" ref="L57:L58" si="38">AVERAGE(I57:K57)</f>
        <v>0.27031881353475945</v>
      </c>
      <c r="M57" s="234">
        <f t="shared" ref="M57:M58" si="39">AVERAGE(J57:L57)</f>
        <v>0.27017120714442594</v>
      </c>
    </row>
    <row r="58" spans="2:17" x14ac:dyDescent="0.25">
      <c r="B58" s="212" t="s">
        <v>61</v>
      </c>
      <c r="E58" s="234">
        <f t="shared" ref="E58:G58" si="40">E21/E16</f>
        <v>0</v>
      </c>
      <c r="F58" s="234">
        <f t="shared" si="40"/>
        <v>0</v>
      </c>
      <c r="G58" s="234">
        <f t="shared" si="40"/>
        <v>0</v>
      </c>
      <c r="H58" s="234">
        <f>H21/H16</f>
        <v>0</v>
      </c>
      <c r="I58" s="234">
        <f>AVERAGE(F58:H58)</f>
        <v>0</v>
      </c>
      <c r="J58" s="234">
        <f t="shared" si="35"/>
        <v>0</v>
      </c>
      <c r="K58" s="234">
        <f t="shared" si="35"/>
        <v>0</v>
      </c>
      <c r="L58" s="234">
        <f t="shared" si="38"/>
        <v>0</v>
      </c>
      <c r="M58" s="234">
        <f t="shared" si="39"/>
        <v>0</v>
      </c>
    </row>
    <row r="59" spans="2:17" x14ac:dyDescent="0.25">
      <c r="B59" s="212" t="s">
        <v>110</v>
      </c>
      <c r="E59" s="212">
        <f>E60+E22</f>
        <v>11321</v>
      </c>
      <c r="F59" s="212">
        <f>F60+F22</f>
        <v>12561</v>
      </c>
      <c r="G59" s="212">
        <f>G60+G22</f>
        <v>13705</v>
      </c>
      <c r="H59" s="212">
        <f>H60+H22</f>
        <v>14454</v>
      </c>
      <c r="I59" s="212">
        <f t="shared" ref="I59:M59" si="41">I60+I22</f>
        <v>15710.465560026525</v>
      </c>
      <c r="J59" s="212">
        <f t="shared" si="41"/>
        <v>17229.63702806766</v>
      </c>
      <c r="K59" s="212">
        <f t="shared" si="41"/>
        <v>18805.923746972334</v>
      </c>
      <c r="L59" s="212">
        <f t="shared" si="41"/>
        <v>20425.032589234896</v>
      </c>
      <c r="M59" s="212">
        <f t="shared" si="41"/>
        <v>22207.991426735411</v>
      </c>
    </row>
    <row r="60" spans="2:17" x14ac:dyDescent="0.25">
      <c r="B60" s="212" t="s">
        <v>28</v>
      </c>
      <c r="E60" s="223">
        <v>1536</v>
      </c>
      <c r="F60" s="223">
        <v>1452</v>
      </c>
      <c r="G60" s="223">
        <v>1260</v>
      </c>
      <c r="H60" s="29">
        <v>1128</v>
      </c>
      <c r="I60" s="232">
        <f>CapEx!I15</f>
        <v>1136.7508802931243</v>
      </c>
      <c r="J60" s="232">
        <f>CapEx!J15</f>
        <v>1189.2311556349412</v>
      </c>
      <c r="K60" s="232">
        <f>CapEx!K15</f>
        <v>1237.7159918680441</v>
      </c>
      <c r="L60" s="232">
        <f>CapEx!L15</f>
        <v>1298.4279361947151</v>
      </c>
      <c r="M60" s="232">
        <f>CapEx!M15</f>
        <v>1355.2283699909331</v>
      </c>
      <c r="O60" s="235" t="s">
        <v>74</v>
      </c>
      <c r="Q60" s="235" t="s">
        <v>109</v>
      </c>
    </row>
    <row r="61" spans="2:17" x14ac:dyDescent="0.25">
      <c r="B61" s="212" t="s">
        <v>29</v>
      </c>
      <c r="E61" s="234">
        <f>E59/E9</f>
        <v>0.34291512691585391</v>
      </c>
      <c r="F61" s="234">
        <f>F59/F9</f>
        <v>0.32492627657923329</v>
      </c>
      <c r="G61" s="234">
        <f>G59/G9</f>
        <v>0.31838033731357152</v>
      </c>
      <c r="H61" s="234">
        <f t="shared" ref="H61:M61" si="42">H59/H9</f>
        <v>0.31576877703499806</v>
      </c>
      <c r="I61" s="234">
        <f t="shared" si="42"/>
        <v>0.3118314012168224</v>
      </c>
      <c r="J61" s="234">
        <f t="shared" si="42"/>
        <v>0.31144214455175839</v>
      </c>
      <c r="K61" s="234">
        <f t="shared" si="42"/>
        <v>0.3106381776465908</v>
      </c>
      <c r="L61" s="234">
        <f t="shared" si="42"/>
        <v>0.30947604037538051</v>
      </c>
      <c r="M61" s="234">
        <f t="shared" si="42"/>
        <v>0.30882648088289988</v>
      </c>
    </row>
    <row r="62" spans="2:17" x14ac:dyDescent="0.25">
      <c r="B62" s="212" t="s">
        <v>30</v>
      </c>
      <c r="E62" s="212">
        <f t="shared" ref="E62:M62" si="43">E45*E47</f>
        <v>7089.7199999999993</v>
      </c>
      <c r="F62" s="212">
        <f t="shared" si="43"/>
        <v>7291.2</v>
      </c>
      <c r="G62" s="212">
        <f t="shared" si="43"/>
        <v>7743</v>
      </c>
      <c r="H62" s="212">
        <f t="shared" si="43"/>
        <v>7983.76</v>
      </c>
      <c r="I62" s="212">
        <f t="shared" si="43"/>
        <v>8821.9230995959551</v>
      </c>
      <c r="J62" s="212">
        <f t="shared" si="43"/>
        <v>9616.312859727208</v>
      </c>
      <c r="K62" s="212">
        <f t="shared" si="43"/>
        <v>10468.962811610003</v>
      </c>
      <c r="L62" s="212">
        <f t="shared" si="43"/>
        <v>11559.245167251162</v>
      </c>
      <c r="M62" s="212">
        <f t="shared" si="43"/>
        <v>12636.761498939331</v>
      </c>
    </row>
    <row r="63" spans="2:17" x14ac:dyDescent="0.25">
      <c r="B63" s="212" t="s">
        <v>73</v>
      </c>
      <c r="H63" s="224"/>
    </row>
    <row r="64" spans="2:17" x14ac:dyDescent="0.25">
      <c r="H64" s="224"/>
    </row>
    <row r="65" spans="8:8" x14ac:dyDescent="0.25">
      <c r="H65" s="224"/>
    </row>
  </sheetData>
  <mergeCells count="3">
    <mergeCell ref="E5:H5"/>
    <mergeCell ref="I5:M5"/>
    <mergeCell ref="D3:H3"/>
  </mergeCells>
  <pageMargins left="0.7" right="0.7" top="0.75" bottom="0.75" header="0.3" footer="0.3"/>
  <pageSetup orientation="portrait" horizontalDpi="4294967295" verticalDpi="4294967295" r:id="rId1"/>
  <ignoredErrors>
    <ignoredError sqref="E39:H3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576B-BBA3-4F23-8D89-4A0A5FC980B1}">
  <dimension ref="B2:V38"/>
  <sheetViews>
    <sheetView showGridLines="0" zoomScaleNormal="100" workbookViewId="0">
      <selection activeCell="N18" sqref="N1:T1048576"/>
    </sheetView>
  </sheetViews>
  <sheetFormatPr defaultRowHeight="15" x14ac:dyDescent="0.25"/>
  <cols>
    <col min="1" max="1" width="2.28515625" customWidth="1"/>
    <col min="2" max="2" width="41" bestFit="1" customWidth="1"/>
    <col min="3" max="3" width="4.28515625" customWidth="1"/>
    <col min="14" max="20" width="9.140625" style="210"/>
    <col min="21" max="22" width="9.140625" style="42"/>
  </cols>
  <sheetData>
    <row r="2" spans="2:20" ht="18.75" x14ac:dyDescent="0.3">
      <c r="D2" s="272" t="s">
        <v>326</v>
      </c>
      <c r="E2" s="273"/>
      <c r="F2" s="273"/>
      <c r="G2" s="273"/>
      <c r="H2" s="274"/>
    </row>
    <row r="4" spans="2:20" x14ac:dyDescent="0.25">
      <c r="B4" s="181"/>
      <c r="C4" s="181"/>
      <c r="D4" s="181"/>
      <c r="E4" s="265" t="s">
        <v>4</v>
      </c>
      <c r="F4" s="265"/>
      <c r="G4" s="265"/>
      <c r="H4" s="265"/>
      <c r="I4" s="271" t="s">
        <v>5</v>
      </c>
      <c r="J4" s="265"/>
      <c r="K4" s="265"/>
      <c r="L4" s="265"/>
      <c r="M4" s="265"/>
    </row>
    <row r="5" spans="2:20" x14ac:dyDescent="0.25">
      <c r="B5" s="181" t="s">
        <v>2</v>
      </c>
      <c r="C5" s="181"/>
      <c r="D5" s="181" t="s">
        <v>3</v>
      </c>
      <c r="E5" s="182">
        <v>2020</v>
      </c>
      <c r="F5" s="182">
        <f>E5+1</f>
        <v>2021</v>
      </c>
      <c r="G5" s="182">
        <f t="shared" ref="G5:M5" si="0">F5+1</f>
        <v>2022</v>
      </c>
      <c r="H5" s="182">
        <f t="shared" si="0"/>
        <v>2023</v>
      </c>
      <c r="I5" s="183">
        <f t="shared" si="0"/>
        <v>2024</v>
      </c>
      <c r="J5" s="182">
        <f t="shared" si="0"/>
        <v>2025</v>
      </c>
      <c r="K5" s="182">
        <f t="shared" si="0"/>
        <v>2026</v>
      </c>
      <c r="L5" s="182">
        <f t="shared" si="0"/>
        <v>2027</v>
      </c>
      <c r="M5" s="182">
        <f t="shared" si="0"/>
        <v>2028</v>
      </c>
    </row>
    <row r="7" spans="2:20" x14ac:dyDescent="0.25">
      <c r="B7" s="3" t="s">
        <v>75</v>
      </c>
    </row>
    <row r="8" spans="2:20" x14ac:dyDescent="0.25">
      <c r="B8" t="s">
        <v>89</v>
      </c>
      <c r="E8" s="25">
        <v>18925</v>
      </c>
      <c r="F8">
        <f t="shared" ref="F8:M8" si="1">E10</f>
        <v>19700</v>
      </c>
      <c r="G8">
        <f t="shared" si="1"/>
        <v>18862</v>
      </c>
      <c r="H8">
        <f t="shared" si="1"/>
        <v>19075</v>
      </c>
      <c r="I8">
        <f t="shared" si="1"/>
        <v>18469</v>
      </c>
      <c r="J8">
        <f t="shared" si="1"/>
        <v>19516.741658284587</v>
      </c>
      <c r="K8">
        <f t="shared" si="1"/>
        <v>20595.858755817022</v>
      </c>
      <c r="L8">
        <f t="shared" si="1"/>
        <v>21693.201035177706</v>
      </c>
      <c r="M8">
        <f t="shared" si="1"/>
        <v>22794.663608624942</v>
      </c>
    </row>
    <row r="9" spans="2:20" x14ac:dyDescent="0.25">
      <c r="B9" t="s">
        <v>76</v>
      </c>
      <c r="E9">
        <f t="shared" ref="E9:G9" si="2">E10-E8</f>
        <v>775</v>
      </c>
      <c r="F9">
        <f t="shared" si="2"/>
        <v>-838</v>
      </c>
      <c r="G9">
        <f t="shared" si="2"/>
        <v>213</v>
      </c>
      <c r="H9">
        <f>H10-H8</f>
        <v>-606</v>
      </c>
      <c r="I9">
        <f>I10-I8</f>
        <v>1047.7416582845872</v>
      </c>
      <c r="J9">
        <f t="shared" ref="J9:M9" si="3">J10-J8</f>
        <v>1079.1170975324349</v>
      </c>
      <c r="K9">
        <f t="shared" si="3"/>
        <v>1097.3422793606842</v>
      </c>
      <c r="L9">
        <f t="shared" si="3"/>
        <v>1101.4625734472356</v>
      </c>
      <c r="M9">
        <f t="shared" si="3"/>
        <v>1175.637732595631</v>
      </c>
      <c r="O9" s="210" t="s">
        <v>95</v>
      </c>
    </row>
    <row r="10" spans="2:20" x14ac:dyDescent="0.25">
      <c r="B10" t="s">
        <v>90</v>
      </c>
      <c r="C10" s="25"/>
      <c r="D10" s="25"/>
      <c r="E10">
        <v>19700</v>
      </c>
      <c r="F10">
        <v>18862</v>
      </c>
      <c r="G10">
        <v>19075</v>
      </c>
      <c r="H10">
        <v>18469</v>
      </c>
      <c r="I10">
        <f>'P&amp;L'!I9/CapEx!I17</f>
        <v>19516.741658284587</v>
      </c>
      <c r="J10">
        <f>'P&amp;L'!J9/CapEx!J17</f>
        <v>20595.858755817022</v>
      </c>
      <c r="K10">
        <f>'P&amp;L'!K9/CapEx!K17</f>
        <v>21693.201035177706</v>
      </c>
      <c r="L10">
        <f>'P&amp;L'!L9/CapEx!L17</f>
        <v>22794.663608624942</v>
      </c>
      <c r="M10">
        <f>'P&amp;L'!M9/CapEx!M17</f>
        <v>23970.301341220573</v>
      </c>
      <c r="O10" s="210" t="s">
        <v>92</v>
      </c>
    </row>
    <row r="11" spans="2:20" x14ac:dyDescent="0.25">
      <c r="B11" t="s">
        <v>78</v>
      </c>
      <c r="C11" s="25"/>
      <c r="D11" s="25"/>
      <c r="E11" s="25">
        <v>8923</v>
      </c>
      <c r="F11" s="25">
        <v>8942</v>
      </c>
      <c r="G11" s="25">
        <v>9234</v>
      </c>
      <c r="H11" s="25">
        <v>9233</v>
      </c>
      <c r="I11">
        <f>H11+I14</f>
        <v>10308.750880293124</v>
      </c>
      <c r="J11">
        <f t="shared" ref="J11:M11" si="4">I11+J14</f>
        <v>11443.982035928066</v>
      </c>
      <c r="K11">
        <f t="shared" si="4"/>
        <v>12639.69802779611</v>
      </c>
      <c r="L11">
        <f t="shared" si="4"/>
        <v>13896.125963990826</v>
      </c>
      <c r="M11">
        <f t="shared" si="4"/>
        <v>15217.354333981759</v>
      </c>
    </row>
    <row r="12" spans="2:20" x14ac:dyDescent="0.25">
      <c r="B12" s="3" t="s">
        <v>79</v>
      </c>
      <c r="C12" s="25"/>
      <c r="D12" s="25"/>
      <c r="E12">
        <f>E10-E11</f>
        <v>10777</v>
      </c>
      <c r="F12">
        <f t="shared" ref="F12:H12" si="5">F10-F11</f>
        <v>9920</v>
      </c>
      <c r="G12">
        <f t="shared" si="5"/>
        <v>9841</v>
      </c>
      <c r="H12">
        <f t="shared" si="5"/>
        <v>9236</v>
      </c>
      <c r="I12" s="32">
        <f>I10-I11</f>
        <v>9207.9907779914629</v>
      </c>
      <c r="J12" s="32">
        <f t="shared" ref="J12:M12" si="6">J10-J11</f>
        <v>9151.8767198889564</v>
      </c>
      <c r="K12" s="32">
        <f t="shared" si="6"/>
        <v>9053.503007381596</v>
      </c>
      <c r="L12" s="32">
        <f t="shared" si="6"/>
        <v>8898.5376446341161</v>
      </c>
      <c r="M12" s="32">
        <f t="shared" si="6"/>
        <v>8752.947007238814</v>
      </c>
      <c r="O12" s="210" t="s">
        <v>100</v>
      </c>
    </row>
    <row r="13" spans="2:20" x14ac:dyDescent="0.25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O13" s="210" t="s">
        <v>101</v>
      </c>
    </row>
    <row r="14" spans="2:20" x14ac:dyDescent="0.25">
      <c r="B14" t="s">
        <v>80</v>
      </c>
      <c r="C14" s="25"/>
      <c r="D14" s="25"/>
      <c r="E14" s="25">
        <v>1301</v>
      </c>
      <c r="F14" s="25">
        <v>1262</v>
      </c>
      <c r="G14" s="25">
        <v>1125</v>
      </c>
      <c r="H14" s="25">
        <v>1018</v>
      </c>
      <c r="I14" s="28">
        <f>I10*I16</f>
        <v>1075.7508802931243</v>
      </c>
      <c r="J14" s="28">
        <f t="shared" ref="J14:M14" si="7">J10*J16</f>
        <v>1135.2311556349412</v>
      </c>
      <c r="K14" s="28">
        <f t="shared" si="7"/>
        <v>1195.7159918680441</v>
      </c>
      <c r="L14" s="28">
        <f t="shared" si="7"/>
        <v>1256.4279361947151</v>
      </c>
      <c r="M14" s="28">
        <f t="shared" si="7"/>
        <v>1321.2283699909331</v>
      </c>
      <c r="O14" s="210" t="s">
        <v>96</v>
      </c>
    </row>
    <row r="15" spans="2:20" x14ac:dyDescent="0.25">
      <c r="B15" t="s">
        <v>81</v>
      </c>
      <c r="C15" s="25"/>
      <c r="D15" s="31"/>
      <c r="E15">
        <f>'P&amp;L'!E60</f>
        <v>1536</v>
      </c>
      <c r="F15">
        <f>'P&amp;L'!F60</f>
        <v>1452</v>
      </c>
      <c r="G15">
        <f>'P&amp;L'!G60</f>
        <v>1260</v>
      </c>
      <c r="H15">
        <f>'P&amp;L'!H60</f>
        <v>1128</v>
      </c>
      <c r="I15" s="37">
        <f>I14+I32</f>
        <v>1136.7508802931243</v>
      </c>
      <c r="J15" s="37">
        <f t="shared" ref="J15:M15" si="8">J14+J32</f>
        <v>1189.2311556349412</v>
      </c>
      <c r="K15" s="37">
        <f t="shared" si="8"/>
        <v>1237.7159918680441</v>
      </c>
      <c r="L15" s="37">
        <f t="shared" si="8"/>
        <v>1298.4279361947151</v>
      </c>
      <c r="M15" s="37">
        <f t="shared" si="8"/>
        <v>1355.2283699909331</v>
      </c>
      <c r="O15" s="210" t="s">
        <v>91</v>
      </c>
      <c r="T15" s="210" t="s">
        <v>37</v>
      </c>
    </row>
    <row r="16" spans="2:20" x14ac:dyDescent="0.25">
      <c r="B16" t="s">
        <v>82</v>
      </c>
      <c r="C16" s="25"/>
      <c r="D16" s="25"/>
      <c r="E16" s="8">
        <f>E14/E10</f>
        <v>6.6040609137055839E-2</v>
      </c>
      <c r="F16" s="8">
        <f t="shared" ref="F16:H16" si="9">F14/F10</f>
        <v>6.6907008800763446E-2</v>
      </c>
      <c r="G16" s="8">
        <f t="shared" si="9"/>
        <v>5.8977719528178242E-2</v>
      </c>
      <c r="H16" s="8">
        <f t="shared" si="9"/>
        <v>5.5119389246846069E-2</v>
      </c>
      <c r="I16" s="33">
        <f>H16</f>
        <v>5.5119389246846069E-2</v>
      </c>
      <c r="J16" s="33">
        <f t="shared" ref="J16:M16" si="10">I16</f>
        <v>5.5119389246846069E-2</v>
      </c>
      <c r="K16" s="33">
        <f t="shared" si="10"/>
        <v>5.5119389246846069E-2</v>
      </c>
      <c r="L16" s="33">
        <f t="shared" si="10"/>
        <v>5.5119389246846069E-2</v>
      </c>
      <c r="M16" s="33">
        <f t="shared" si="10"/>
        <v>5.5119389246846069E-2</v>
      </c>
      <c r="N16" s="236"/>
      <c r="O16" s="210" t="s">
        <v>97</v>
      </c>
      <c r="Q16" s="210" t="s">
        <v>99</v>
      </c>
    </row>
    <row r="17" spans="2:17" x14ac:dyDescent="0.25">
      <c r="B17" t="s">
        <v>83</v>
      </c>
      <c r="C17" s="25"/>
      <c r="D17" s="25"/>
      <c r="E17" s="28">
        <f>revenues!E44/CapEx!E10</f>
        <v>1.6758375634517766</v>
      </c>
      <c r="F17" s="28">
        <f>revenues!F44/CapEx!F10</f>
        <v>2.0493584985685507</v>
      </c>
      <c r="G17" s="28">
        <f>revenues!G44/CapEx!G10</f>
        <v>2.2544692005242464</v>
      </c>
      <c r="H17" s="28">
        <f>revenues!H44/CapEx!H10</f>
        <v>2.4767989604201635</v>
      </c>
      <c r="I17" s="28">
        <f>H17-($H$17-$M$17)/5</f>
        <v>2.5814391683361309</v>
      </c>
      <c r="J17" s="28">
        <f t="shared" ref="J17:L17" si="11">I17-($H$17-$M$17)/5</f>
        <v>2.6860793762520982</v>
      </c>
      <c r="K17" s="28">
        <f t="shared" si="11"/>
        <v>2.7907195841680656</v>
      </c>
      <c r="L17" s="28">
        <f t="shared" si="11"/>
        <v>2.895359792084033</v>
      </c>
      <c r="M17" s="32">
        <v>3</v>
      </c>
      <c r="N17" s="237"/>
      <c r="O17" s="210" t="s">
        <v>93</v>
      </c>
    </row>
    <row r="18" spans="2:17" x14ac:dyDescent="0.25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O18" s="210" t="s">
        <v>94</v>
      </c>
      <c r="Q18" s="210" t="s">
        <v>83</v>
      </c>
    </row>
    <row r="19" spans="2:17" x14ac:dyDescent="0.25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O19" s="210" t="s">
        <v>98</v>
      </c>
    </row>
    <row r="20" spans="2:17" x14ac:dyDescent="0.25">
      <c r="B20" s="3" t="s">
        <v>84</v>
      </c>
      <c r="C20" s="30"/>
      <c r="D20" s="30"/>
      <c r="E20" s="25"/>
      <c r="F20" s="25"/>
      <c r="G20" s="25"/>
      <c r="H20" s="25"/>
      <c r="I20" s="25"/>
      <c r="J20" s="25"/>
      <c r="K20" s="25"/>
      <c r="L20" s="25"/>
      <c r="M20" s="25"/>
    </row>
    <row r="21" spans="2:17" x14ac:dyDescent="0.25">
      <c r="B21" t="s">
        <v>85</v>
      </c>
      <c r="D21" s="25"/>
      <c r="E21" s="25">
        <v>649</v>
      </c>
      <c r="F21" s="25">
        <v>785</v>
      </c>
      <c r="G21" s="25">
        <v>635</v>
      </c>
      <c r="H21" s="25">
        <v>516</v>
      </c>
      <c r="I21" s="36">
        <f>I23+I22</f>
        <v>455</v>
      </c>
      <c r="J21" s="36">
        <f t="shared" ref="J21:M21" si="12">J23+J22</f>
        <v>401</v>
      </c>
      <c r="K21" s="36">
        <f t="shared" si="12"/>
        <v>359</v>
      </c>
      <c r="L21" s="36">
        <f t="shared" si="12"/>
        <v>317</v>
      </c>
      <c r="M21" s="36">
        <f t="shared" si="12"/>
        <v>283</v>
      </c>
      <c r="N21" s="238" t="s">
        <v>108</v>
      </c>
      <c r="O21" s="210" t="s">
        <v>102</v>
      </c>
    </row>
    <row r="22" spans="2:17" x14ac:dyDescent="0.25">
      <c r="B22" t="s">
        <v>86</v>
      </c>
      <c r="D22" s="25"/>
      <c r="E22" s="25">
        <v>225</v>
      </c>
      <c r="F22" s="25">
        <v>211</v>
      </c>
      <c r="G22" s="25">
        <v>175</v>
      </c>
      <c r="H22" s="25">
        <v>161</v>
      </c>
      <c r="I22">
        <f>H22</f>
        <v>161</v>
      </c>
      <c r="J22">
        <f t="shared" ref="J22:M22" si="13">I22</f>
        <v>161</v>
      </c>
      <c r="K22">
        <f t="shared" si="13"/>
        <v>161</v>
      </c>
      <c r="L22">
        <f t="shared" si="13"/>
        <v>161</v>
      </c>
      <c r="M22">
        <f t="shared" si="13"/>
        <v>161</v>
      </c>
      <c r="N22" s="239" t="s">
        <v>107</v>
      </c>
      <c r="O22" s="210" t="s">
        <v>103</v>
      </c>
    </row>
    <row r="23" spans="2:17" x14ac:dyDescent="0.25">
      <c r="D23" s="25"/>
      <c r="E23" s="25">
        <f>E21-E22</f>
        <v>424</v>
      </c>
      <c r="F23" s="25">
        <f t="shared" ref="F23:H23" si="14">F21-F22</f>
        <v>574</v>
      </c>
      <c r="G23" s="25">
        <f t="shared" si="14"/>
        <v>460</v>
      </c>
      <c r="H23" s="25">
        <f t="shared" si="14"/>
        <v>355</v>
      </c>
      <c r="I23" s="34">
        <f>I30</f>
        <v>294</v>
      </c>
      <c r="J23" s="34">
        <f t="shared" ref="J23:M23" si="15">J30</f>
        <v>240</v>
      </c>
      <c r="K23" s="34">
        <f t="shared" si="15"/>
        <v>198</v>
      </c>
      <c r="L23" s="34">
        <f t="shared" si="15"/>
        <v>156</v>
      </c>
      <c r="M23" s="34">
        <f t="shared" si="15"/>
        <v>122</v>
      </c>
      <c r="O23" s="210" t="s">
        <v>104</v>
      </c>
    </row>
    <row r="24" spans="2:17" x14ac:dyDescent="0.25">
      <c r="D24" s="25"/>
      <c r="E24" s="25"/>
      <c r="F24" s="25"/>
      <c r="G24" s="25"/>
      <c r="H24" s="25"/>
    </row>
    <row r="25" spans="2:17" x14ac:dyDescent="0.25">
      <c r="B25" s="3" t="s">
        <v>86</v>
      </c>
      <c r="C25" s="3"/>
      <c r="D25" s="30"/>
      <c r="E25" s="30"/>
      <c r="F25" s="30"/>
      <c r="G25" s="25"/>
      <c r="O25" s="210" t="s">
        <v>105</v>
      </c>
    </row>
    <row r="26" spans="2:17" x14ac:dyDescent="0.25">
      <c r="B26" t="s">
        <v>87</v>
      </c>
      <c r="D26" s="25"/>
      <c r="E26" s="25">
        <v>917</v>
      </c>
      <c r="F26" s="25">
        <v>772</v>
      </c>
      <c r="G26" s="25">
        <v>798</v>
      </c>
      <c r="H26">
        <v>707</v>
      </c>
      <c r="I26">
        <f>H28</f>
        <v>562</v>
      </c>
      <c r="J26">
        <f>I28</f>
        <v>562</v>
      </c>
      <c r="K26">
        <f>J28</f>
        <v>562</v>
      </c>
      <c r="L26">
        <f>K28</f>
        <v>562</v>
      </c>
      <c r="M26">
        <f>L28</f>
        <v>562</v>
      </c>
    </row>
    <row r="27" spans="2:17" x14ac:dyDescent="0.25">
      <c r="B27" t="s">
        <v>76</v>
      </c>
      <c r="D27" s="25"/>
      <c r="E27" s="25">
        <v>-145</v>
      </c>
      <c r="F27" s="25">
        <v>26</v>
      </c>
      <c r="G27" s="25">
        <v>-91</v>
      </c>
      <c r="H27">
        <v>-145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</row>
    <row r="28" spans="2:17" x14ac:dyDescent="0.25">
      <c r="B28" t="s">
        <v>77</v>
      </c>
      <c r="D28" s="25"/>
      <c r="E28">
        <v>772</v>
      </c>
      <c r="F28">
        <v>798</v>
      </c>
      <c r="G28">
        <v>207</v>
      </c>
      <c r="H28">
        <v>562</v>
      </c>
      <c r="I28">
        <f>I26-I27</f>
        <v>562</v>
      </c>
      <c r="J28">
        <f>J26-J27</f>
        <v>562</v>
      </c>
      <c r="K28">
        <f>K26-K27</f>
        <v>562</v>
      </c>
      <c r="L28">
        <f>L26-L27</f>
        <v>562</v>
      </c>
      <c r="M28">
        <f>M26-M27</f>
        <v>562</v>
      </c>
    </row>
    <row r="29" spans="2:17" x14ac:dyDescent="0.25">
      <c r="B29" t="s">
        <v>78</v>
      </c>
      <c r="D29" s="25"/>
      <c r="E29" s="25">
        <v>348</v>
      </c>
      <c r="F29" s="25">
        <v>224</v>
      </c>
      <c r="G29" s="25">
        <v>247</v>
      </c>
      <c r="H29" s="25">
        <v>207</v>
      </c>
      <c r="I29" s="25">
        <f>H29+I32</f>
        <v>268</v>
      </c>
      <c r="J29" s="25">
        <f t="shared" ref="J29:M29" si="16">I29+J32</f>
        <v>322</v>
      </c>
      <c r="K29" s="25">
        <f t="shared" si="16"/>
        <v>364</v>
      </c>
      <c r="L29" s="25">
        <f t="shared" si="16"/>
        <v>406</v>
      </c>
      <c r="M29" s="25">
        <f t="shared" si="16"/>
        <v>440</v>
      </c>
    </row>
    <row r="30" spans="2:17" x14ac:dyDescent="0.25">
      <c r="B30" s="3" t="s">
        <v>88</v>
      </c>
      <c r="D30" s="25"/>
      <c r="E30" s="25">
        <v>424</v>
      </c>
      <c r="F30" s="25">
        <v>574</v>
      </c>
      <c r="G30" s="25">
        <v>460</v>
      </c>
      <c r="H30">
        <v>355</v>
      </c>
      <c r="I30" s="34">
        <f>I28-I29</f>
        <v>294</v>
      </c>
      <c r="J30" s="34">
        <f t="shared" ref="J30:M30" si="17">J28-J29</f>
        <v>240</v>
      </c>
      <c r="K30" s="34">
        <f t="shared" si="17"/>
        <v>198</v>
      </c>
      <c r="L30" s="34">
        <f t="shared" si="17"/>
        <v>156</v>
      </c>
      <c r="M30" s="34">
        <f t="shared" si="17"/>
        <v>122</v>
      </c>
      <c r="O30" s="210" t="s">
        <v>111</v>
      </c>
    </row>
    <row r="31" spans="2:17" x14ac:dyDescent="0.25">
      <c r="D31" s="25"/>
      <c r="E31" s="25"/>
      <c r="F31" s="25"/>
      <c r="G31" s="25"/>
    </row>
    <row r="32" spans="2:17" x14ac:dyDescent="0.25">
      <c r="B32" t="s">
        <v>106</v>
      </c>
      <c r="D32" s="25"/>
      <c r="E32" s="25">
        <v>135</v>
      </c>
      <c r="F32" s="25">
        <v>190</v>
      </c>
      <c r="G32" s="25">
        <v>135</v>
      </c>
      <c r="H32" s="25">
        <v>110</v>
      </c>
      <c r="I32">
        <v>61</v>
      </c>
      <c r="J32">
        <v>54</v>
      </c>
      <c r="K32">
        <v>42</v>
      </c>
      <c r="L32">
        <v>42</v>
      </c>
      <c r="M32">
        <v>34</v>
      </c>
    </row>
    <row r="33" spans="4:7" x14ac:dyDescent="0.25">
      <c r="D33" s="25"/>
      <c r="E33" s="25"/>
      <c r="F33" s="25"/>
      <c r="G33" s="25"/>
    </row>
    <row r="34" spans="4:7" x14ac:dyDescent="0.25">
      <c r="D34" s="25"/>
      <c r="E34" s="25"/>
      <c r="F34" s="25"/>
      <c r="G34" s="25"/>
    </row>
    <row r="35" spans="4:7" x14ac:dyDescent="0.25">
      <c r="D35" s="25"/>
      <c r="E35" s="25"/>
      <c r="F35" s="25"/>
      <c r="G35" s="25"/>
    </row>
    <row r="36" spans="4:7" x14ac:dyDescent="0.25">
      <c r="D36" s="25"/>
      <c r="E36" s="25"/>
      <c r="F36" s="25"/>
      <c r="G36" s="25"/>
    </row>
    <row r="37" spans="4:7" x14ac:dyDescent="0.25">
      <c r="D37" s="25"/>
      <c r="E37" s="25"/>
      <c r="F37" s="25"/>
      <c r="G37" s="25"/>
    </row>
    <row r="38" spans="4:7" x14ac:dyDescent="0.25">
      <c r="D38" s="25"/>
      <c r="E38" s="25"/>
      <c r="F38" s="25"/>
      <c r="G38" s="25"/>
    </row>
  </sheetData>
  <mergeCells count="3">
    <mergeCell ref="E4:H4"/>
    <mergeCell ref="I4:M4"/>
    <mergeCell ref="D2:H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DDCC-3072-45C9-95DA-3EEA5BC79DF9}">
  <dimension ref="B2:AI71"/>
  <sheetViews>
    <sheetView showGridLines="0" workbookViewId="0">
      <selection activeCell="B45" sqref="B45:M45"/>
    </sheetView>
  </sheetViews>
  <sheetFormatPr defaultRowHeight="15" x14ac:dyDescent="0.25"/>
  <cols>
    <col min="1" max="1" width="2.28515625" customWidth="1"/>
    <col min="2" max="2" width="53.85546875" bestFit="1" customWidth="1"/>
    <col min="4" max="4" width="6" customWidth="1"/>
    <col min="14" max="22" width="9.140625" style="210"/>
  </cols>
  <sheetData>
    <row r="2" spans="2:15" ht="18.75" x14ac:dyDescent="0.3">
      <c r="E2" s="272" t="s">
        <v>112</v>
      </c>
      <c r="F2" s="273"/>
      <c r="G2" s="273"/>
      <c r="H2" s="273"/>
      <c r="I2" s="273"/>
      <c r="J2" s="274"/>
    </row>
    <row r="3" spans="2:15" x14ac:dyDescent="0.25">
      <c r="J3" t="s">
        <v>141</v>
      </c>
    </row>
    <row r="4" spans="2:15" x14ac:dyDescent="0.25">
      <c r="B4" s="181"/>
      <c r="C4" s="181"/>
      <c r="D4" s="181"/>
      <c r="E4" s="265" t="s">
        <v>4</v>
      </c>
      <c r="F4" s="265"/>
      <c r="G4" s="265"/>
      <c r="H4" s="265"/>
      <c r="I4" s="271" t="s">
        <v>5</v>
      </c>
      <c r="J4" s="265"/>
      <c r="K4" s="265"/>
      <c r="L4" s="265"/>
      <c r="M4" s="265"/>
    </row>
    <row r="5" spans="2:15" x14ac:dyDescent="0.25">
      <c r="B5" s="181" t="s">
        <v>2</v>
      </c>
      <c r="C5" s="181"/>
      <c r="D5" s="181" t="s">
        <v>3</v>
      </c>
      <c r="E5" s="182">
        <v>2020</v>
      </c>
      <c r="F5" s="182">
        <f>E5+1</f>
        <v>2021</v>
      </c>
      <c r="G5" s="182">
        <f t="shared" ref="G5:M5" si="0">F5+1</f>
        <v>2022</v>
      </c>
      <c r="H5" s="182">
        <f t="shared" si="0"/>
        <v>2023</v>
      </c>
      <c r="I5" s="183">
        <f t="shared" si="0"/>
        <v>2024</v>
      </c>
      <c r="J5" s="182">
        <f t="shared" si="0"/>
        <v>2025</v>
      </c>
      <c r="K5" s="182">
        <f t="shared" si="0"/>
        <v>2026</v>
      </c>
      <c r="L5" s="182">
        <f t="shared" si="0"/>
        <v>2027</v>
      </c>
      <c r="M5" s="182">
        <f t="shared" si="0"/>
        <v>2028</v>
      </c>
    </row>
    <row r="6" spans="2:15" ht="15.75" x14ac:dyDescent="0.25">
      <c r="B6" s="40" t="s">
        <v>113</v>
      </c>
      <c r="D6" s="41"/>
    </row>
    <row r="8" spans="2:15" x14ac:dyDescent="0.25">
      <c r="B8" s="38" t="s">
        <v>114</v>
      </c>
      <c r="C8" s="39"/>
      <c r="M8" t="s">
        <v>37</v>
      </c>
    </row>
    <row r="9" spans="2:15" x14ac:dyDescent="0.25">
      <c r="B9" t="s">
        <v>115</v>
      </c>
      <c r="E9" s="25">
        <v>6795</v>
      </c>
      <c r="F9" s="25">
        <v>9684</v>
      </c>
      <c r="G9" s="25">
        <v>9519</v>
      </c>
      <c r="H9" s="25">
        <v>9366</v>
      </c>
      <c r="I9" s="49">
        <f>cf!E46</f>
        <v>14290.900316864654</v>
      </c>
      <c r="J9" s="49">
        <f>cf!F46</f>
        <v>20652.918343634527</v>
      </c>
      <c r="K9" s="49">
        <f>cf!G46</f>
        <v>27256.330064724632</v>
      </c>
      <c r="L9" s="49">
        <f>cf!H46</f>
        <v>34081.769933469623</v>
      </c>
      <c r="M9" s="49">
        <f>cf!I46</f>
        <v>41483.421882032962</v>
      </c>
      <c r="N9" s="210" t="s">
        <v>142</v>
      </c>
    </row>
    <row r="10" spans="2:15" x14ac:dyDescent="0.25">
      <c r="B10" t="s">
        <v>116</v>
      </c>
      <c r="E10" s="25">
        <v>1771</v>
      </c>
      <c r="F10" s="25">
        <v>1242</v>
      </c>
      <c r="G10" s="25">
        <v>1043</v>
      </c>
      <c r="H10" s="25">
        <v>2997</v>
      </c>
      <c r="I10" s="42">
        <f>H10</f>
        <v>2997</v>
      </c>
      <c r="J10" s="42">
        <f t="shared" ref="J10:M10" si="1">I10</f>
        <v>2997</v>
      </c>
      <c r="K10" s="42">
        <f t="shared" si="1"/>
        <v>2997</v>
      </c>
      <c r="L10" s="42">
        <f t="shared" si="1"/>
        <v>2997</v>
      </c>
      <c r="M10" s="42">
        <f t="shared" si="1"/>
        <v>2997</v>
      </c>
      <c r="O10" s="210" t="s">
        <v>143</v>
      </c>
    </row>
    <row r="11" spans="2:15" x14ac:dyDescent="0.25">
      <c r="B11" s="27" t="s">
        <v>117</v>
      </c>
      <c r="C11" s="26"/>
      <c r="D11" s="26"/>
      <c r="E11" s="27">
        <f>SUM(E9:E10)</f>
        <v>8566</v>
      </c>
      <c r="F11" s="27">
        <f t="shared" ref="F11:H11" si="2">SUM(F9:F10)</f>
        <v>10926</v>
      </c>
      <c r="G11" s="27">
        <f t="shared" si="2"/>
        <v>10562</v>
      </c>
      <c r="H11" s="27">
        <f t="shared" si="2"/>
        <v>12363</v>
      </c>
      <c r="I11" s="27">
        <f t="shared" ref="I11" si="3">SUM(I9:I10)</f>
        <v>17287.900316864652</v>
      </c>
      <c r="J11" s="27">
        <f t="shared" ref="J11" si="4">SUM(J9:J10)</f>
        <v>23649.918343634527</v>
      </c>
      <c r="K11" s="27">
        <f t="shared" ref="K11" si="5">SUM(K9:K10)</f>
        <v>30253.330064724632</v>
      </c>
      <c r="L11" s="27">
        <f t="shared" ref="L11" si="6">SUM(L9:L10)</f>
        <v>37078.769933469623</v>
      </c>
      <c r="M11" s="27">
        <f t="shared" ref="M11" si="7">SUM(M9:M10)</f>
        <v>44480.421882032962</v>
      </c>
      <c r="O11" s="210" t="s">
        <v>150</v>
      </c>
    </row>
    <row r="12" spans="2:15" x14ac:dyDescent="0.25">
      <c r="E12" s="25"/>
      <c r="F12" s="25"/>
      <c r="G12" s="25"/>
      <c r="H12" s="25"/>
    </row>
    <row r="13" spans="2:15" x14ac:dyDescent="0.25">
      <c r="B13" t="s">
        <v>118</v>
      </c>
      <c r="E13" s="25">
        <v>2348</v>
      </c>
      <c r="F13" s="25">
        <v>1699</v>
      </c>
      <c r="G13" s="25">
        <v>1069</v>
      </c>
      <c r="H13" s="25">
        <v>1300</v>
      </c>
      <c r="I13" s="42">
        <f>H13</f>
        <v>1300</v>
      </c>
      <c r="J13" s="42">
        <f t="shared" ref="J13:M13" si="8">I13</f>
        <v>1300</v>
      </c>
      <c r="K13" s="42">
        <f t="shared" si="8"/>
        <v>1300</v>
      </c>
      <c r="L13" s="42">
        <f t="shared" si="8"/>
        <v>1300</v>
      </c>
      <c r="M13" s="42">
        <f t="shared" si="8"/>
        <v>1300</v>
      </c>
      <c r="O13" s="210" t="s">
        <v>143</v>
      </c>
    </row>
    <row r="14" spans="2:15" x14ac:dyDescent="0.25">
      <c r="B14" t="s">
        <v>149</v>
      </c>
      <c r="E14" s="25">
        <v>3144</v>
      </c>
      <c r="F14" s="25">
        <v>3512</v>
      </c>
      <c r="G14" s="25">
        <v>3487</v>
      </c>
      <c r="H14" s="25">
        <v>3410</v>
      </c>
      <c r="I14" s="49">
        <f>I50</f>
        <v>3499.4921117910671</v>
      </c>
      <c r="J14" s="49">
        <f t="shared" ref="J14:M14" si="9">J50</f>
        <v>3564.0656669777309</v>
      </c>
      <c r="K14" s="49">
        <f t="shared" si="9"/>
        <v>3595.3049936040234</v>
      </c>
      <c r="L14" s="49">
        <f t="shared" si="9"/>
        <v>3587.1208075544682</v>
      </c>
      <c r="M14" s="49">
        <f t="shared" si="9"/>
        <v>3546.2911573312626</v>
      </c>
      <c r="N14" s="210" t="s">
        <v>167</v>
      </c>
    </row>
    <row r="15" spans="2:15" x14ac:dyDescent="0.25">
      <c r="B15" t="s">
        <v>119</v>
      </c>
      <c r="E15" s="25">
        <v>3266</v>
      </c>
      <c r="F15" s="25">
        <v>3414</v>
      </c>
      <c r="G15" s="25">
        <v>4233</v>
      </c>
      <c r="H15" s="25">
        <v>4424</v>
      </c>
      <c r="I15" s="49">
        <f>I54</f>
        <v>4857.9218976679131</v>
      </c>
      <c r="J15" s="49">
        <f t="shared" ref="J15:M15" si="10">J54</f>
        <v>5360.3097948479272</v>
      </c>
      <c r="K15" s="49">
        <f t="shared" si="10"/>
        <v>5841.4203272965542</v>
      </c>
      <c r="L15" s="49">
        <f t="shared" si="10"/>
        <v>6375.5905903704288</v>
      </c>
      <c r="M15" s="49">
        <f t="shared" si="10"/>
        <v>6950.9938567925128</v>
      </c>
      <c r="N15" s="210" t="s">
        <v>167</v>
      </c>
    </row>
    <row r="16" spans="2:15" x14ac:dyDescent="0.25">
      <c r="B16" t="s">
        <v>120</v>
      </c>
      <c r="E16" s="25">
        <v>1916</v>
      </c>
      <c r="F16" s="25">
        <v>2994</v>
      </c>
      <c r="G16" s="25">
        <v>3240</v>
      </c>
      <c r="H16" s="25">
        <v>5235</v>
      </c>
      <c r="I16" s="49">
        <f>I58</f>
        <v>5777.0158883439808</v>
      </c>
      <c r="J16" s="49">
        <f t="shared" ref="J16:M16" si="11">J58</f>
        <v>6337.5162921372212</v>
      </c>
      <c r="K16" s="49">
        <f t="shared" si="11"/>
        <v>6932.7987207629067</v>
      </c>
      <c r="L16" s="49">
        <f t="shared" si="11"/>
        <v>7562.1207442101095</v>
      </c>
      <c r="M16" s="49">
        <f t="shared" si="11"/>
        <v>8237.4681940893661</v>
      </c>
      <c r="N16" s="210" t="s">
        <v>167</v>
      </c>
    </row>
    <row r="17" spans="2:19" x14ac:dyDescent="0.25">
      <c r="B17" s="27" t="s">
        <v>121</v>
      </c>
      <c r="C17" s="26"/>
      <c r="D17" s="26"/>
      <c r="E17" s="27">
        <f t="shared" ref="E17:G17" si="12">SUM(E11,E13:E16)</f>
        <v>19240</v>
      </c>
      <c r="F17" s="27">
        <f t="shared" si="12"/>
        <v>22545</v>
      </c>
      <c r="G17" s="27">
        <f t="shared" si="12"/>
        <v>22591</v>
      </c>
      <c r="H17" s="27">
        <f>SUM(H11,H13:H16)</f>
        <v>26732</v>
      </c>
      <c r="I17" s="27">
        <f t="shared" ref="I17:M17" si="13">SUM(I11,I13:I16)</f>
        <v>32722.330214667614</v>
      </c>
      <c r="J17" s="27">
        <f t="shared" si="13"/>
        <v>40211.810097597408</v>
      </c>
      <c r="K17" s="27">
        <f t="shared" si="13"/>
        <v>47922.854106388113</v>
      </c>
      <c r="L17" s="27">
        <f t="shared" si="13"/>
        <v>55903.602075604627</v>
      </c>
      <c r="M17" s="27">
        <f t="shared" si="13"/>
        <v>64515.175090246099</v>
      </c>
    </row>
    <row r="18" spans="2:19" x14ac:dyDescent="0.25">
      <c r="E18" s="25"/>
      <c r="F18" s="25"/>
      <c r="G18" s="25"/>
      <c r="H18" s="25"/>
    </row>
    <row r="19" spans="2:19" x14ac:dyDescent="0.25">
      <c r="B19" t="s">
        <v>122</v>
      </c>
      <c r="E19" s="25">
        <v>19273</v>
      </c>
      <c r="F19" s="25">
        <v>17598</v>
      </c>
      <c r="G19" s="25">
        <v>18264</v>
      </c>
      <c r="H19" s="25">
        <v>19671</v>
      </c>
      <c r="I19" s="42">
        <f>H19</f>
        <v>19671</v>
      </c>
      <c r="J19" s="42">
        <f t="shared" ref="J19:M19" si="14">I19</f>
        <v>19671</v>
      </c>
      <c r="K19" s="42">
        <f t="shared" si="14"/>
        <v>19671</v>
      </c>
      <c r="L19" s="42">
        <f t="shared" si="14"/>
        <v>19671</v>
      </c>
      <c r="M19" s="42">
        <f t="shared" si="14"/>
        <v>19671</v>
      </c>
    </row>
    <row r="20" spans="2:19" x14ac:dyDescent="0.25">
      <c r="B20" t="s">
        <v>123</v>
      </c>
      <c r="E20" s="25">
        <v>812</v>
      </c>
      <c r="F20" s="25">
        <v>818</v>
      </c>
      <c r="G20" s="25">
        <v>501</v>
      </c>
      <c r="H20" s="25">
        <v>118</v>
      </c>
      <c r="I20" s="42">
        <f>H20</f>
        <v>118</v>
      </c>
      <c r="J20" s="42">
        <f t="shared" ref="J20:M20" si="15">I20</f>
        <v>118</v>
      </c>
      <c r="K20" s="42">
        <f t="shared" si="15"/>
        <v>118</v>
      </c>
      <c r="L20" s="42">
        <f t="shared" si="15"/>
        <v>118</v>
      </c>
      <c r="M20" s="42">
        <f t="shared" si="15"/>
        <v>118</v>
      </c>
    </row>
    <row r="21" spans="2:19" x14ac:dyDescent="0.25">
      <c r="B21" t="s">
        <v>124</v>
      </c>
      <c r="E21" s="25">
        <v>6184</v>
      </c>
      <c r="F21" s="25">
        <v>6731</v>
      </c>
      <c r="G21" s="25">
        <v>6189</v>
      </c>
      <c r="H21" s="25">
        <v>7162</v>
      </c>
      <c r="I21">
        <f>H21</f>
        <v>7162</v>
      </c>
      <c r="J21">
        <f t="shared" ref="J21:M21" si="16">I21</f>
        <v>7162</v>
      </c>
      <c r="K21">
        <f t="shared" si="16"/>
        <v>7162</v>
      </c>
      <c r="L21">
        <f t="shared" si="16"/>
        <v>7162</v>
      </c>
      <c r="M21">
        <f t="shared" si="16"/>
        <v>7162</v>
      </c>
      <c r="O21" s="210" t="s">
        <v>145</v>
      </c>
    </row>
    <row r="22" spans="2:19" x14ac:dyDescent="0.25">
      <c r="B22" t="s">
        <v>125</v>
      </c>
      <c r="E22" s="25">
        <v>2460</v>
      </c>
      <c r="F22" s="25">
        <v>2129</v>
      </c>
      <c r="G22" s="25">
        <v>1746</v>
      </c>
      <c r="H22" s="25">
        <v>1561</v>
      </c>
      <c r="I22">
        <f>H22</f>
        <v>1561</v>
      </c>
      <c r="J22">
        <f t="shared" ref="J22:M22" si="17">I22</f>
        <v>1561</v>
      </c>
      <c r="K22">
        <f t="shared" si="17"/>
        <v>1561</v>
      </c>
      <c r="L22">
        <f t="shared" si="17"/>
        <v>1561</v>
      </c>
      <c r="M22">
        <f t="shared" si="17"/>
        <v>1561</v>
      </c>
      <c r="O22" s="210" t="s">
        <v>145</v>
      </c>
      <c r="S22" s="210" t="s">
        <v>147</v>
      </c>
    </row>
    <row r="23" spans="2:19" x14ac:dyDescent="0.25">
      <c r="B23" t="s">
        <v>126</v>
      </c>
      <c r="E23" s="25">
        <v>10777</v>
      </c>
      <c r="F23" s="25">
        <v>9920</v>
      </c>
      <c r="G23" s="25">
        <v>9841</v>
      </c>
      <c r="H23" s="25">
        <v>9236</v>
      </c>
      <c r="I23" s="43">
        <f>CapEx!I12</f>
        <v>9207.9907779914629</v>
      </c>
      <c r="J23" s="43">
        <f>CapEx!J12</f>
        <v>9151.8767198889564</v>
      </c>
      <c r="K23" s="43">
        <f>CapEx!K12</f>
        <v>9053.503007381596</v>
      </c>
      <c r="L23" s="43">
        <f>CapEx!L12</f>
        <v>8898.5376446341161</v>
      </c>
      <c r="M23" s="43">
        <f>CapEx!M12</f>
        <v>8752.947007238814</v>
      </c>
      <c r="O23" s="210" t="s">
        <v>146</v>
      </c>
    </row>
    <row r="24" spans="2:19" x14ac:dyDescent="0.25">
      <c r="B24" t="s">
        <v>127</v>
      </c>
      <c r="E24" s="25">
        <v>10395</v>
      </c>
      <c r="F24" s="25">
        <v>14465</v>
      </c>
      <c r="G24" s="25">
        <v>14214</v>
      </c>
      <c r="H24" s="25">
        <v>14349</v>
      </c>
      <c r="I24">
        <f>H24</f>
        <v>14349</v>
      </c>
      <c r="J24">
        <f t="shared" ref="J24:M24" si="18">I24</f>
        <v>14349</v>
      </c>
      <c r="K24">
        <f t="shared" si="18"/>
        <v>14349</v>
      </c>
      <c r="L24">
        <f t="shared" si="18"/>
        <v>14349</v>
      </c>
      <c r="M24">
        <f t="shared" si="18"/>
        <v>14349</v>
      </c>
      <c r="O24" s="210" t="s">
        <v>148</v>
      </c>
    </row>
    <row r="25" spans="2:19" x14ac:dyDescent="0.25">
      <c r="B25" t="s">
        <v>128</v>
      </c>
      <c r="E25" s="25">
        <v>17506</v>
      </c>
      <c r="F25" s="25">
        <v>19363</v>
      </c>
      <c r="G25" s="25">
        <v>18782</v>
      </c>
      <c r="H25" s="25">
        <v>18358</v>
      </c>
      <c r="I25" s="42">
        <f>H25</f>
        <v>18358</v>
      </c>
      <c r="J25" s="42">
        <f t="shared" ref="J25:M25" si="19">I25</f>
        <v>18358</v>
      </c>
      <c r="K25" s="42">
        <f t="shared" si="19"/>
        <v>18358</v>
      </c>
      <c r="L25" s="42">
        <f t="shared" si="19"/>
        <v>18358</v>
      </c>
      <c r="M25" s="42">
        <f t="shared" si="19"/>
        <v>18358</v>
      </c>
      <c r="O25" s="210" t="s">
        <v>144</v>
      </c>
    </row>
    <row r="26" spans="2:19" x14ac:dyDescent="0.25">
      <c r="B26" t="s">
        <v>129</v>
      </c>
      <c r="E26" s="25">
        <v>649</v>
      </c>
      <c r="F26" s="25">
        <v>785</v>
      </c>
      <c r="G26" s="25">
        <v>635</v>
      </c>
      <c r="H26" s="25">
        <v>516</v>
      </c>
      <c r="I26" s="44">
        <f>CapEx!I21</f>
        <v>455</v>
      </c>
      <c r="J26" s="44">
        <f>CapEx!J21</f>
        <v>401</v>
      </c>
      <c r="K26" s="44">
        <f>CapEx!K21</f>
        <v>359</v>
      </c>
      <c r="L26" s="44">
        <f>CapEx!L21</f>
        <v>317</v>
      </c>
      <c r="M26" s="44">
        <f>CapEx!M21</f>
        <v>283</v>
      </c>
    </row>
    <row r="27" spans="2:19" x14ac:dyDescent="0.25">
      <c r="B27" s="27" t="s">
        <v>130</v>
      </c>
      <c r="C27" s="26"/>
      <c r="D27" s="26"/>
      <c r="E27" s="27">
        <f>SUM(E9:E10,E13:E16,E19:E26)</f>
        <v>87296</v>
      </c>
      <c r="F27" s="27">
        <f t="shared" ref="F27:M27" si="20">SUM(F9:F10,F13:F16,F19:F26)</f>
        <v>94354</v>
      </c>
      <c r="G27" s="27">
        <f t="shared" si="20"/>
        <v>92763</v>
      </c>
      <c r="H27" s="27">
        <f t="shared" si="20"/>
        <v>97703</v>
      </c>
      <c r="I27" s="27">
        <f t="shared" si="20"/>
        <v>103604.32099265908</v>
      </c>
      <c r="J27" s="27">
        <f t="shared" si="20"/>
        <v>110983.68681748636</v>
      </c>
      <c r="K27" s="27">
        <f t="shared" si="20"/>
        <v>118554.35711376971</v>
      </c>
      <c r="L27" s="27">
        <f t="shared" si="20"/>
        <v>126338.13972023875</v>
      </c>
      <c r="M27" s="27">
        <f t="shared" si="20"/>
        <v>134770.12209748491</v>
      </c>
    </row>
    <row r="28" spans="2:19" x14ac:dyDescent="0.25">
      <c r="E28" s="25"/>
      <c r="F28" s="25"/>
      <c r="G28" s="25"/>
      <c r="H28" s="25"/>
    </row>
    <row r="29" spans="2:19" x14ac:dyDescent="0.25">
      <c r="B29" s="3" t="s">
        <v>131</v>
      </c>
      <c r="E29" s="25"/>
      <c r="F29" s="25"/>
      <c r="G29" s="25"/>
      <c r="H29" s="25"/>
    </row>
    <row r="30" spans="2:19" x14ac:dyDescent="0.25">
      <c r="B30" t="s">
        <v>132</v>
      </c>
      <c r="E30" s="25"/>
      <c r="F30" s="25"/>
      <c r="G30" s="25"/>
      <c r="H30" s="25"/>
    </row>
    <row r="31" spans="2:19" x14ac:dyDescent="0.25">
      <c r="B31" t="s">
        <v>133</v>
      </c>
      <c r="E31" s="25">
        <v>11145</v>
      </c>
      <c r="F31" s="25">
        <v>14619</v>
      </c>
      <c r="G31" s="25">
        <v>15749</v>
      </c>
      <c r="H31" s="25">
        <v>15485</v>
      </c>
      <c r="I31" s="36">
        <f>I62</f>
        <v>17091.730558071336</v>
      </c>
      <c r="J31" s="36">
        <f t="shared" ref="J31:M31" si="21">J62</f>
        <v>18859.29264637065</v>
      </c>
      <c r="K31" s="36">
        <f t="shared" si="21"/>
        <v>20551.994127061331</v>
      </c>
      <c r="L31" s="36">
        <f t="shared" si="21"/>
        <v>22431.376793335901</v>
      </c>
      <c r="M31" s="36">
        <f t="shared" si="21"/>
        <v>24455.830417557732</v>
      </c>
      <c r="N31" s="210" t="s">
        <v>167</v>
      </c>
    </row>
    <row r="32" spans="2:19" x14ac:dyDescent="0.25">
      <c r="B32" t="s">
        <v>134</v>
      </c>
      <c r="E32" s="25">
        <v>2183</v>
      </c>
      <c r="F32" s="25">
        <v>3307</v>
      </c>
      <c r="G32" s="25">
        <v>2373</v>
      </c>
      <c r="H32" s="25">
        <v>4557</v>
      </c>
      <c r="I32" s="49">
        <f>'debt schedule'!E24</f>
        <v>4726.0185848655565</v>
      </c>
      <c r="J32" s="49">
        <f>'debt schedule'!F24</f>
        <v>4933.9389096700179</v>
      </c>
      <c r="K32" s="49">
        <f>'debt schedule'!G24</f>
        <v>5113.466142068296</v>
      </c>
      <c r="L32" s="49">
        <f>'debt schedule'!H24</f>
        <v>5258.4434807782727</v>
      </c>
      <c r="M32" s="49">
        <f>'debt schedule'!I24</f>
        <v>5396.4229040783457</v>
      </c>
      <c r="N32" s="210" t="s">
        <v>168</v>
      </c>
    </row>
    <row r="33" spans="2:20" x14ac:dyDescent="0.25">
      <c r="B33" t="s">
        <v>135</v>
      </c>
      <c r="E33" s="25">
        <v>485</v>
      </c>
      <c r="F33" s="25">
        <v>1338</v>
      </c>
      <c r="G33" s="25">
        <v>399</v>
      </c>
      <c r="H33" s="25">
        <v>1960</v>
      </c>
      <c r="I33" s="54">
        <f>'debt schedule'!E10</f>
        <v>1960</v>
      </c>
      <c r="J33" s="54">
        <f>'debt schedule'!F10</f>
        <v>1070</v>
      </c>
      <c r="K33" s="54">
        <f>'debt schedule'!G10</f>
        <v>1810</v>
      </c>
      <c r="L33" s="54">
        <f>'debt schedule'!H10</f>
        <v>4616</v>
      </c>
      <c r="M33" s="54">
        <f>'debt schedule'!I10</f>
        <v>2770</v>
      </c>
      <c r="N33" s="210" t="s">
        <v>168</v>
      </c>
    </row>
    <row r="34" spans="2:20" x14ac:dyDescent="0.25">
      <c r="B34" t="s">
        <v>136</v>
      </c>
      <c r="E34" s="25">
        <v>788</v>
      </c>
      <c r="F34" s="25">
        <v>686</v>
      </c>
      <c r="G34" s="25">
        <v>1203</v>
      </c>
      <c r="H34" s="25">
        <v>1569</v>
      </c>
      <c r="I34" s="49">
        <f>I65</f>
        <v>1172.5129662477752</v>
      </c>
      <c r="J34" s="49">
        <f t="shared" ref="J34:M34" si="22">J65</f>
        <v>1283.8853089176089</v>
      </c>
      <c r="K34" s="49">
        <f t="shared" si="22"/>
        <v>1443.543339266497</v>
      </c>
      <c r="L34" s="49">
        <f t="shared" si="22"/>
        <v>1557.608596330655</v>
      </c>
      <c r="M34" s="49">
        <f t="shared" si="22"/>
        <v>1710.6702154534112</v>
      </c>
      <c r="N34" s="210" t="s">
        <v>169</v>
      </c>
    </row>
    <row r="35" spans="2:20" x14ac:dyDescent="0.25">
      <c r="B35" s="27" t="s">
        <v>137</v>
      </c>
      <c r="C35" s="26"/>
      <c r="D35" s="26"/>
      <c r="E35" s="27">
        <f>SUM(E31:E34)</f>
        <v>14601</v>
      </c>
      <c r="F35" s="27">
        <f t="shared" ref="F35:M35" si="23">SUM(F31:F34)</f>
        <v>19950</v>
      </c>
      <c r="G35" s="27">
        <f t="shared" si="23"/>
        <v>19724</v>
      </c>
      <c r="H35" s="27">
        <f t="shared" si="23"/>
        <v>23571</v>
      </c>
      <c r="I35" s="27">
        <f t="shared" si="23"/>
        <v>24950.262109184667</v>
      </c>
      <c r="J35" s="27">
        <f t="shared" si="23"/>
        <v>26147.116864958276</v>
      </c>
      <c r="K35" s="27">
        <f t="shared" si="23"/>
        <v>28919.003608396124</v>
      </c>
      <c r="L35" s="27">
        <f t="shared" si="23"/>
        <v>33863.428870444826</v>
      </c>
      <c r="M35" s="27">
        <f t="shared" si="23"/>
        <v>34332.923537089489</v>
      </c>
    </row>
    <row r="36" spans="2:20" x14ac:dyDescent="0.25">
      <c r="B36" t="s">
        <v>138</v>
      </c>
      <c r="E36" s="25">
        <v>40125</v>
      </c>
      <c r="F36" s="25">
        <v>38116</v>
      </c>
      <c r="G36" s="25">
        <v>36377</v>
      </c>
      <c r="H36" s="25">
        <v>35547</v>
      </c>
      <c r="I36" s="47">
        <f>'debt schedule'!E11-'debt schedule'!E10</f>
        <v>36938.130143197814</v>
      </c>
      <c r="J36" s="47">
        <f>'debt schedule'!F11-'debt schedule'!F10</f>
        <v>39539.446277154566</v>
      </c>
      <c r="K36" s="47">
        <f>'debt schedule'!G11-'debt schedule'!G10</f>
        <v>40277.069254017028</v>
      </c>
      <c r="L36" s="47">
        <f>'debt schedule'!H11-'debt schedule'!H10</f>
        <v>38664.324694656723</v>
      </c>
      <c r="M36" s="47">
        <f>'debt schedule'!I11-'debt schedule'!I10</f>
        <v>41645.982853470821</v>
      </c>
      <c r="N36" s="210" t="s">
        <v>168</v>
      </c>
      <c r="P36" s="210" t="s">
        <v>215</v>
      </c>
      <c r="R36" s="210" t="s">
        <v>216</v>
      </c>
      <c r="T36" s="210" t="s">
        <v>217</v>
      </c>
    </row>
    <row r="37" spans="2:20" x14ac:dyDescent="0.25">
      <c r="B37" t="s">
        <v>139</v>
      </c>
      <c r="E37" s="25">
        <v>9453</v>
      </c>
      <c r="F37" s="25">
        <v>8607</v>
      </c>
      <c r="G37" s="25">
        <v>7922</v>
      </c>
      <c r="H37" s="25">
        <v>8466</v>
      </c>
      <c r="I37" s="25">
        <f>H37</f>
        <v>8466</v>
      </c>
      <c r="J37" s="25">
        <f t="shared" ref="J37:M37" si="24">I37</f>
        <v>8466</v>
      </c>
      <c r="K37" s="25">
        <f t="shared" si="24"/>
        <v>8466</v>
      </c>
      <c r="L37" s="25">
        <f t="shared" si="24"/>
        <v>8466</v>
      </c>
      <c r="M37" s="25">
        <f t="shared" si="24"/>
        <v>8466</v>
      </c>
    </row>
    <row r="38" spans="2:20" x14ac:dyDescent="0.25">
      <c r="B38" t="s">
        <v>140</v>
      </c>
      <c r="E38" s="25">
        <v>1833</v>
      </c>
      <c r="F38" s="25">
        <v>2821</v>
      </c>
      <c r="G38" s="25">
        <v>2914</v>
      </c>
      <c r="H38" s="25">
        <v>2639</v>
      </c>
      <c r="I38" s="25">
        <f>H38</f>
        <v>2639</v>
      </c>
      <c r="J38" s="25">
        <f t="shared" ref="J38:M38" si="25">I38</f>
        <v>2639</v>
      </c>
      <c r="K38" s="25">
        <f t="shared" si="25"/>
        <v>2639</v>
      </c>
      <c r="L38" s="25">
        <f t="shared" si="25"/>
        <v>2639</v>
      </c>
      <c r="M38" s="25">
        <f t="shared" si="25"/>
        <v>2639</v>
      </c>
    </row>
    <row r="40" spans="2:20" x14ac:dyDescent="0.25">
      <c r="B40" t="s">
        <v>151</v>
      </c>
      <c r="E40" s="25">
        <v>19299</v>
      </c>
      <c r="F40" s="25">
        <v>22999</v>
      </c>
      <c r="G40" s="25">
        <v>24105</v>
      </c>
      <c r="H40" s="25">
        <v>25941</v>
      </c>
      <c r="I40">
        <f>H40+'P&amp;L'!I40-'P&amp;L'!I62</f>
        <v>29409.965910007708</v>
      </c>
      <c r="J40">
        <f>I40+'P&amp;L'!J40-'P&amp;L'!J62</f>
        <v>33407.001494713557</v>
      </c>
      <c r="K40">
        <f>J40+'P&amp;L'!K40-'P&amp;L'!K62</f>
        <v>37827.216535493164</v>
      </c>
      <c r="L40">
        <f>K40+'P&amp;L'!L40-'P&amp;L'!L62</f>
        <v>42569.273116693752</v>
      </c>
      <c r="M40">
        <f>L40+'P&amp;L'!M40-'P&amp;L'!M62</f>
        <v>47826.06151508131</v>
      </c>
      <c r="O40" s="210" t="s">
        <v>159</v>
      </c>
      <c r="P40" s="240" t="s">
        <v>161</v>
      </c>
      <c r="Q40" s="240"/>
    </row>
    <row r="41" spans="2:20" x14ac:dyDescent="0.25">
      <c r="B41" t="s">
        <v>152</v>
      </c>
      <c r="E41" s="25">
        <v>1985</v>
      </c>
      <c r="F41" s="25">
        <v>1861</v>
      </c>
      <c r="G41" s="25">
        <v>1721</v>
      </c>
      <c r="H41">
        <v>1539</v>
      </c>
      <c r="I41">
        <f>H41+'P&amp;L'!I41</f>
        <v>1564</v>
      </c>
      <c r="J41">
        <f>I41+'P&amp;L'!J41</f>
        <v>1592</v>
      </c>
      <c r="K41">
        <f>J41+'P&amp;L'!K41</f>
        <v>1622</v>
      </c>
      <c r="L41">
        <f>K41+'P&amp;L'!L41</f>
        <v>1655</v>
      </c>
      <c r="M41">
        <f>L41+'P&amp;L'!M41</f>
        <v>1691</v>
      </c>
      <c r="P41" s="240" t="s">
        <v>160</v>
      </c>
      <c r="Q41" s="240"/>
    </row>
    <row r="42" spans="2:20" x14ac:dyDescent="0.25">
      <c r="B42" s="27" t="s">
        <v>153</v>
      </c>
      <c r="C42" s="26"/>
      <c r="D42" s="26"/>
      <c r="E42" s="27">
        <f>SUM(E40:E41)</f>
        <v>21284</v>
      </c>
      <c r="F42" s="27">
        <f t="shared" ref="F42:H42" si="26">SUM(F40:F41)</f>
        <v>24860</v>
      </c>
      <c r="G42" s="27">
        <f t="shared" si="26"/>
        <v>25826</v>
      </c>
      <c r="H42" s="27">
        <f t="shared" si="26"/>
        <v>27480</v>
      </c>
      <c r="I42" s="27">
        <f>I40+I41</f>
        <v>30973.965910007708</v>
      </c>
      <c r="J42" s="27">
        <f t="shared" ref="J42:M42" si="27">J40+J41</f>
        <v>34999.001494713557</v>
      </c>
      <c r="K42" s="27">
        <f t="shared" si="27"/>
        <v>39449.216535493164</v>
      </c>
      <c r="L42" s="27">
        <f t="shared" si="27"/>
        <v>44224.273116693752</v>
      </c>
      <c r="M42" s="27">
        <f t="shared" si="27"/>
        <v>49517.06151508131</v>
      </c>
      <c r="P42" s="240" t="s">
        <v>162</v>
      </c>
      <c r="Q42" s="240"/>
    </row>
    <row r="43" spans="2:20" ht="15.75" thickBot="1" x14ac:dyDescent="0.3">
      <c r="B43" s="45" t="s">
        <v>154</v>
      </c>
      <c r="C43" s="46"/>
      <c r="D43" s="46"/>
      <c r="E43" s="45">
        <f>SUM(E35,E36:E38,E42)</f>
        <v>87296</v>
      </c>
      <c r="F43" s="45">
        <f t="shared" ref="F43:M43" si="28">SUM(F35,F36:F38,F42)</f>
        <v>94354</v>
      </c>
      <c r="G43" s="45">
        <f t="shared" si="28"/>
        <v>92763</v>
      </c>
      <c r="H43" s="45">
        <f t="shared" si="28"/>
        <v>97703</v>
      </c>
      <c r="I43" s="45">
        <f t="shared" si="28"/>
        <v>103967.35816239018</v>
      </c>
      <c r="J43" s="45">
        <f t="shared" si="28"/>
        <v>111790.5646368264</v>
      </c>
      <c r="K43" s="45">
        <f t="shared" si="28"/>
        <v>119750.28939790632</v>
      </c>
      <c r="L43" s="45">
        <f t="shared" si="28"/>
        <v>127857.02668179531</v>
      </c>
      <c r="M43" s="45">
        <f t="shared" si="28"/>
        <v>136600.96790564162</v>
      </c>
    </row>
    <row r="44" spans="2:20" ht="15.75" thickTop="1" x14ac:dyDescent="0.25">
      <c r="O44" s="210" t="s">
        <v>163</v>
      </c>
      <c r="P44" s="240" t="s">
        <v>164</v>
      </c>
      <c r="Q44" s="240"/>
      <c r="R44" s="240"/>
    </row>
    <row r="45" spans="2:20" x14ac:dyDescent="0.25">
      <c r="B45" s="284" t="s">
        <v>155</v>
      </c>
      <c r="C45" s="285"/>
      <c r="D45" s="285"/>
      <c r="E45" s="285">
        <f>E43-E27</f>
        <v>0</v>
      </c>
      <c r="F45" s="285">
        <f t="shared" ref="F45:M45" si="29">F43-F27</f>
        <v>0</v>
      </c>
      <c r="G45" s="285">
        <f t="shared" si="29"/>
        <v>0</v>
      </c>
      <c r="H45" s="285">
        <f t="shared" si="29"/>
        <v>0</v>
      </c>
      <c r="I45" s="285">
        <f t="shared" si="29"/>
        <v>363.03716973110568</v>
      </c>
      <c r="J45" s="285">
        <f t="shared" si="29"/>
        <v>806.87781934003578</v>
      </c>
      <c r="K45" s="285">
        <f t="shared" si="29"/>
        <v>1195.9322841366084</v>
      </c>
      <c r="L45" s="285">
        <f t="shared" si="29"/>
        <v>1518.8869615565636</v>
      </c>
      <c r="M45" s="285">
        <f t="shared" si="29"/>
        <v>1830.8458081567078</v>
      </c>
      <c r="P45" s="240" t="s">
        <v>165</v>
      </c>
      <c r="Q45" s="240"/>
      <c r="R45" s="240"/>
    </row>
    <row r="46" spans="2:20" x14ac:dyDescent="0.25">
      <c r="P46" s="240" t="s">
        <v>166</v>
      </c>
      <c r="Q46" s="240"/>
      <c r="R46" s="240"/>
    </row>
    <row r="47" spans="2:20" x14ac:dyDescent="0.25">
      <c r="E47">
        <f>'P&amp;L'!H9</f>
        <v>45774</v>
      </c>
    </row>
    <row r="48" spans="2:20" x14ac:dyDescent="0.25">
      <c r="B48" s="3" t="s">
        <v>170</v>
      </c>
    </row>
    <row r="49" spans="2:35" x14ac:dyDescent="0.25">
      <c r="B49" t="s">
        <v>171</v>
      </c>
    </row>
    <row r="50" spans="2:35" x14ac:dyDescent="0.25">
      <c r="B50" t="s">
        <v>156</v>
      </c>
      <c r="D50" t="s">
        <v>182</v>
      </c>
      <c r="E50">
        <f>BS!E14</f>
        <v>3144</v>
      </c>
      <c r="F50">
        <f>BS!F14</f>
        <v>3512</v>
      </c>
      <c r="G50">
        <f>BS!G14</f>
        <v>3487</v>
      </c>
      <c r="H50">
        <f>BS!H14</f>
        <v>3410</v>
      </c>
      <c r="I50" s="28">
        <f>'P&amp;L'!I9/I51</f>
        <v>3499.4921117910671</v>
      </c>
      <c r="J50" s="28">
        <f>'P&amp;L'!J9/J51</f>
        <v>3564.0656669777309</v>
      </c>
      <c r="K50" s="28">
        <f>'P&amp;L'!K9/K51</f>
        <v>3595.3049936040234</v>
      </c>
      <c r="L50" s="28">
        <f>'P&amp;L'!L9/L51</f>
        <v>3587.1208075544682</v>
      </c>
      <c r="M50" s="28">
        <f>'P&amp;L'!M9/M51</f>
        <v>3546.2911573312626</v>
      </c>
      <c r="P50" s="241" t="s">
        <v>180</v>
      </c>
      <c r="Q50" s="242"/>
      <c r="R50" s="242"/>
      <c r="S50" s="242" t="s">
        <v>181</v>
      </c>
      <c r="T50" s="242"/>
      <c r="U50" s="242"/>
      <c r="V50" s="242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1"/>
    </row>
    <row r="51" spans="2:35" x14ac:dyDescent="0.25">
      <c r="B51" t="s">
        <v>157</v>
      </c>
      <c r="E51" s="28">
        <f>'P&amp;L'!E9/BS!E50</f>
        <v>10.500636132315522</v>
      </c>
      <c r="F51" s="28">
        <f>'P&amp;L'!F9/BS!F14</f>
        <v>11.007403189066059</v>
      </c>
      <c r="G51" s="28">
        <f>'P&amp;L'!G9/BS!G50</f>
        <v>12.344708918841411</v>
      </c>
      <c r="H51" s="28">
        <f>'P&amp;L'!H9/BS!H50</f>
        <v>13.423460410557185</v>
      </c>
      <c r="I51" s="28">
        <f>365/I52</f>
        <v>14.396740939989646</v>
      </c>
      <c r="J51" s="28">
        <f t="shared" ref="J51:M51" si="30">365/J52</f>
        <v>15.52219195981132</v>
      </c>
      <c r="K51" s="28">
        <f t="shared" si="30"/>
        <v>16.838527212535293</v>
      </c>
      <c r="L51" s="28">
        <f t="shared" si="30"/>
        <v>18.398809526431496</v>
      </c>
      <c r="M51" s="28">
        <f t="shared" si="30"/>
        <v>20.277777777777779</v>
      </c>
      <c r="P51" s="210" t="s">
        <v>174</v>
      </c>
      <c r="T51" s="210" t="s">
        <v>178</v>
      </c>
      <c r="Y51" t="s">
        <v>179</v>
      </c>
    </row>
    <row r="52" spans="2:35" x14ac:dyDescent="0.25">
      <c r="B52" t="s">
        <v>158</v>
      </c>
      <c r="C52" t="s">
        <v>175</v>
      </c>
      <c r="E52" s="48">
        <f>365/E51</f>
        <v>34.759798873205305</v>
      </c>
      <c r="F52" s="48">
        <f t="shared" ref="F52:H52" si="31">365/F51</f>
        <v>33.159501267525478</v>
      </c>
      <c r="G52" s="48">
        <f t="shared" si="31"/>
        <v>29.567323328532268</v>
      </c>
      <c r="H52" s="48">
        <f t="shared" si="31"/>
        <v>27.191200244680385</v>
      </c>
      <c r="I52" s="48">
        <f>H52-($H$52-$M$52)/5</f>
        <v>25.352960195744309</v>
      </c>
      <c r="J52" s="48">
        <f t="shared" ref="J52:L52" si="32">I52-($H$52-$M$52)/5</f>
        <v>23.514720146808234</v>
      </c>
      <c r="K52" s="48">
        <f t="shared" si="32"/>
        <v>21.676480097872158</v>
      </c>
      <c r="L52" s="48">
        <f t="shared" si="32"/>
        <v>19.838240048936083</v>
      </c>
      <c r="M52">
        <v>18</v>
      </c>
      <c r="O52" s="210" t="s">
        <v>107</v>
      </c>
      <c r="P52" s="241" t="s">
        <v>176</v>
      </c>
      <c r="Q52" s="243"/>
    </row>
    <row r="53" spans="2:35" x14ac:dyDescent="0.25">
      <c r="P53" s="244" t="s">
        <v>177</v>
      </c>
    </row>
    <row r="54" spans="2:35" x14ac:dyDescent="0.25">
      <c r="B54" t="s">
        <v>14</v>
      </c>
      <c r="E54">
        <v>3266</v>
      </c>
      <c r="F54">
        <v>3414</v>
      </c>
      <c r="G54">
        <v>4233</v>
      </c>
      <c r="H54">
        <v>4424</v>
      </c>
      <c r="I54" s="28">
        <f>'P&amp;L'!I13/BS!I55</f>
        <v>4857.9218976679131</v>
      </c>
      <c r="J54" s="28">
        <f>'P&amp;L'!J13/BS!J55</f>
        <v>5360.3097948479272</v>
      </c>
      <c r="K54" s="28">
        <f>'P&amp;L'!K13/BS!K55</f>
        <v>5841.4203272965542</v>
      </c>
      <c r="L54" s="28">
        <f>'P&amp;L'!L13/BS!L55</f>
        <v>6375.5905903704288</v>
      </c>
      <c r="M54" s="28">
        <f>'P&amp;L'!M13/BS!M55</f>
        <v>6950.9938567925128</v>
      </c>
    </row>
    <row r="55" spans="2:35" x14ac:dyDescent="0.25">
      <c r="B55" t="s">
        <v>172</v>
      </c>
      <c r="C55" t="s">
        <v>37</v>
      </c>
      <c r="E55">
        <v>411</v>
      </c>
      <c r="F55">
        <v>4.5</v>
      </c>
      <c r="G55">
        <v>4.25</v>
      </c>
      <c r="H55">
        <v>4.1900000000000004</v>
      </c>
      <c r="I55" s="28">
        <f>365/I56</f>
        <v>4.195402298850575</v>
      </c>
      <c r="J55" s="28">
        <f t="shared" ref="J55:M55" si="33">365/J56</f>
        <v>4.195402298850575</v>
      </c>
      <c r="K55" s="28">
        <f t="shared" si="33"/>
        <v>4.195402298850575</v>
      </c>
      <c r="L55" s="28">
        <f t="shared" si="33"/>
        <v>4.195402298850575</v>
      </c>
      <c r="M55" s="28">
        <f t="shared" si="33"/>
        <v>4.195402298850575</v>
      </c>
      <c r="P55" s="210" t="s">
        <v>183</v>
      </c>
    </row>
    <row r="56" spans="2:35" x14ac:dyDescent="0.25">
      <c r="B56" t="s">
        <v>173</v>
      </c>
      <c r="E56">
        <v>89</v>
      </c>
      <c r="F56">
        <v>81</v>
      </c>
      <c r="G56">
        <v>86</v>
      </c>
      <c r="H56">
        <v>87</v>
      </c>
      <c r="I56">
        <f>H56</f>
        <v>87</v>
      </c>
      <c r="J56">
        <f t="shared" ref="J56:M56" si="34">I56</f>
        <v>87</v>
      </c>
      <c r="K56">
        <f t="shared" si="34"/>
        <v>87</v>
      </c>
      <c r="L56">
        <f t="shared" si="34"/>
        <v>87</v>
      </c>
      <c r="M56">
        <f t="shared" si="34"/>
        <v>87</v>
      </c>
    </row>
    <row r="57" spans="2:35" x14ac:dyDescent="0.25">
      <c r="E57">
        <f>E16</f>
        <v>1916</v>
      </c>
      <c r="F57">
        <f t="shared" ref="F57:H57" si="35">F16</f>
        <v>2994</v>
      </c>
      <c r="G57">
        <f t="shared" si="35"/>
        <v>3240</v>
      </c>
      <c r="H57">
        <f t="shared" si="35"/>
        <v>5235</v>
      </c>
    </row>
    <row r="58" spans="2:35" x14ac:dyDescent="0.25">
      <c r="B58" t="s">
        <v>184</v>
      </c>
      <c r="E58">
        <f>E16</f>
        <v>1916</v>
      </c>
      <c r="F58">
        <f t="shared" ref="F58:H58" si="36">F16</f>
        <v>2994</v>
      </c>
      <c r="G58">
        <f t="shared" si="36"/>
        <v>3240</v>
      </c>
      <c r="H58">
        <f t="shared" si="36"/>
        <v>5235</v>
      </c>
      <c r="I58" s="28">
        <f>I59*SUM('P&amp;L'!I13,'P&amp;L'!I18)</f>
        <v>5777.0158883439808</v>
      </c>
      <c r="J58" s="28">
        <f>J59*SUM('P&amp;L'!J13,'P&amp;L'!J18)</f>
        <v>6337.5162921372212</v>
      </c>
      <c r="K58" s="28">
        <f>K59*SUM('P&amp;L'!K13,'P&amp;L'!K18)</f>
        <v>6932.7987207629067</v>
      </c>
      <c r="L58" s="28">
        <f>L59*SUM('P&amp;L'!L13,'P&amp;L'!L18)</f>
        <v>7562.1207442101095</v>
      </c>
      <c r="M58" s="28">
        <f>M59*SUM('P&amp;L'!M13,'P&amp;L'!M18)</f>
        <v>8237.4681940893661</v>
      </c>
      <c r="P58" s="210" t="s">
        <v>191</v>
      </c>
    </row>
    <row r="59" spans="2:35" x14ac:dyDescent="0.25">
      <c r="B59" t="s">
        <v>187</v>
      </c>
      <c r="E59" s="8">
        <f>E58/SUM('P&amp;L'!E13,'P&amp;L'!E18)</f>
        <v>8.2483103017779502E-2</v>
      </c>
      <c r="F59" s="8">
        <f>F58/SUM('P&amp;L'!F13,'P&amp;L'!F18)</f>
        <v>0.10867908091037787</v>
      </c>
      <c r="G59" s="8">
        <f>G58/SUM('P&amp;L'!G13,'P&amp;L'!G18)</f>
        <v>0.105878892846639</v>
      </c>
      <c r="H59" s="8">
        <f>H58/SUM('P&amp;L'!H13,'P&amp;L'!H18)</f>
        <v>0.16133505917159763</v>
      </c>
      <c r="I59" s="33">
        <f>H59</f>
        <v>0.16133505917159763</v>
      </c>
      <c r="J59" s="33">
        <f t="shared" ref="J59:M59" si="37">I59</f>
        <v>0.16133505917159763</v>
      </c>
      <c r="K59" s="33">
        <f t="shared" si="37"/>
        <v>0.16133505917159763</v>
      </c>
      <c r="L59" s="33">
        <f t="shared" si="37"/>
        <v>0.16133505917159763</v>
      </c>
      <c r="M59" s="33">
        <f t="shared" si="37"/>
        <v>0.16133505917159763</v>
      </c>
      <c r="O59" s="210" t="s">
        <v>190</v>
      </c>
    </row>
    <row r="61" spans="2:35" x14ac:dyDescent="0.25">
      <c r="B61" t="s">
        <v>185</v>
      </c>
    </row>
    <row r="62" spans="2:35" x14ac:dyDescent="0.25">
      <c r="B62" t="s">
        <v>133</v>
      </c>
      <c r="E62">
        <f>E31</f>
        <v>11145</v>
      </c>
      <c r="F62">
        <f t="shared" ref="F62:H62" si="38">F31</f>
        <v>14619</v>
      </c>
      <c r="G62">
        <f t="shared" si="38"/>
        <v>15749</v>
      </c>
      <c r="H62">
        <f t="shared" si="38"/>
        <v>15485</v>
      </c>
      <c r="I62">
        <f>I63*'P&amp;L'!I13</f>
        <v>17091.730558071336</v>
      </c>
      <c r="J62">
        <f>J63*'P&amp;L'!J13</f>
        <v>18859.29264637065</v>
      </c>
      <c r="K62">
        <f>K63*'P&amp;L'!K13</f>
        <v>20551.994127061331</v>
      </c>
      <c r="L62">
        <f>L63*'P&amp;L'!L13</f>
        <v>22431.376793335901</v>
      </c>
      <c r="M62">
        <f>M63*'P&amp;L'!M13</f>
        <v>24455.830417557732</v>
      </c>
    </row>
    <row r="63" spans="2:35" x14ac:dyDescent="0.25">
      <c r="B63" t="s">
        <v>186</v>
      </c>
      <c r="E63" s="52">
        <f>E62/'P&amp;L'!E13</f>
        <v>0.82567787820417837</v>
      </c>
      <c r="F63" s="52">
        <f>F62/'P&amp;L'!F13</f>
        <v>0.94866969500324461</v>
      </c>
      <c r="G63" s="52">
        <f>G62/'P&amp;L'!G13</f>
        <v>0.8889202460913247</v>
      </c>
      <c r="H63" s="52">
        <f>H62/'P&amp;L'!H13</f>
        <v>0.83861359328459251</v>
      </c>
      <c r="I63" s="19">
        <f>H63</f>
        <v>0.83861359328459251</v>
      </c>
      <c r="J63" s="19">
        <f t="shared" ref="J63:M63" si="39">I63</f>
        <v>0.83861359328459251</v>
      </c>
      <c r="K63" s="19">
        <f t="shared" si="39"/>
        <v>0.83861359328459251</v>
      </c>
      <c r="L63" s="19">
        <f t="shared" si="39"/>
        <v>0.83861359328459251</v>
      </c>
      <c r="M63" s="19">
        <f t="shared" si="39"/>
        <v>0.83861359328459251</v>
      </c>
    </row>
    <row r="64" spans="2:35" x14ac:dyDescent="0.25">
      <c r="P64" s="210" t="s">
        <v>192</v>
      </c>
    </row>
    <row r="65" spans="2:16" x14ac:dyDescent="0.25">
      <c r="B65" t="s">
        <v>188</v>
      </c>
      <c r="E65">
        <f>E34</f>
        <v>788</v>
      </c>
      <c r="F65">
        <f t="shared" ref="F65:H65" si="40">F34</f>
        <v>686</v>
      </c>
      <c r="G65">
        <f t="shared" si="40"/>
        <v>1203</v>
      </c>
      <c r="H65">
        <f t="shared" si="40"/>
        <v>1569</v>
      </c>
      <c r="I65" s="28">
        <f>I66*'P&amp;L'!I39</f>
        <v>1172.5129662477752</v>
      </c>
      <c r="J65" s="28">
        <f>J66*'P&amp;L'!J39</f>
        <v>1283.8853089176089</v>
      </c>
      <c r="K65" s="28">
        <f>K66*'P&amp;L'!K39</f>
        <v>1443.543339266497</v>
      </c>
      <c r="L65" s="28">
        <f>L66*'P&amp;L'!L39</f>
        <v>1557.608596330655</v>
      </c>
      <c r="M65" s="28">
        <f>M66*'P&amp;L'!M39</f>
        <v>1710.6702154534112</v>
      </c>
    </row>
    <row r="66" spans="2:16" x14ac:dyDescent="0.25">
      <c r="B66" t="s">
        <v>189</v>
      </c>
      <c r="E66" s="9">
        <f>E65/'P&amp;L'!E39</f>
        <v>0.385896180215475</v>
      </c>
      <c r="F66" s="9">
        <f>F65/'P&amp;L'!F39</f>
        <v>0.2972270363951473</v>
      </c>
      <c r="G66" s="9">
        <f>G65/'P&amp;L'!G39</f>
        <v>0.47269155206286839</v>
      </c>
      <c r="H66" s="9">
        <f>H65/'P&amp;L'!H39</f>
        <v>0.57514662756598245</v>
      </c>
      <c r="I66" s="20">
        <f>AVERAGE($E$66:$H$66)</f>
        <v>0.43274034905986825</v>
      </c>
      <c r="J66" s="20">
        <f t="shared" ref="J66:M66" si="41">AVERAGE($E$66:$H$66)</f>
        <v>0.43274034905986825</v>
      </c>
      <c r="K66" s="20">
        <f t="shared" si="41"/>
        <v>0.43274034905986825</v>
      </c>
      <c r="L66" s="20">
        <f t="shared" si="41"/>
        <v>0.43274034905986825</v>
      </c>
      <c r="M66" s="20">
        <f t="shared" si="41"/>
        <v>0.43274034905986825</v>
      </c>
      <c r="P66" s="210" t="s">
        <v>193</v>
      </c>
    </row>
    <row r="67" spans="2:16" x14ac:dyDescent="0.25">
      <c r="P67" s="210" t="s">
        <v>194</v>
      </c>
    </row>
    <row r="69" spans="2:16" x14ac:dyDescent="0.25">
      <c r="B69" t="s">
        <v>209</v>
      </c>
      <c r="E69" s="28">
        <f>SUM(E36,E33)/'P&amp;L'!E59</f>
        <v>3.5871389453228515</v>
      </c>
      <c r="F69" s="28">
        <f>SUM(F36,F33)/'P&amp;L'!F59</f>
        <v>3.1409919592389142</v>
      </c>
      <c r="G69" s="28">
        <f>SUM(G36,G33)/'P&amp;L'!G59</f>
        <v>2.6834002188982122</v>
      </c>
      <c r="H69" s="28">
        <f>SUM(H36,H33)/'P&amp;L'!H59</f>
        <v>2.5949218209492182</v>
      </c>
      <c r="I69" s="28">
        <f>H69-($H$69-$M$69)/5</f>
        <v>2.4759374567593744</v>
      </c>
      <c r="J69" s="28">
        <f t="shared" ref="J69:L69" si="42">I69-($H$69-$M$69)/5</f>
        <v>2.3569530925695306</v>
      </c>
      <c r="K69" s="28">
        <f t="shared" si="42"/>
        <v>2.2379687283796867</v>
      </c>
      <c r="L69" s="28">
        <f t="shared" si="42"/>
        <v>2.1189843641898429</v>
      </c>
      <c r="M69" s="28">
        <v>2</v>
      </c>
      <c r="P69" s="210" t="s">
        <v>210</v>
      </c>
    </row>
    <row r="70" spans="2:16" x14ac:dyDescent="0.25">
      <c r="P70" s="210" t="s">
        <v>211</v>
      </c>
    </row>
    <row r="71" spans="2:16" x14ac:dyDescent="0.25">
      <c r="B71" t="s">
        <v>221</v>
      </c>
      <c r="E71" s="9">
        <f>E32/SUM(E33,E36)</f>
        <v>5.3755232701305097E-2</v>
      </c>
      <c r="F71" s="9">
        <f t="shared" ref="F71:H71" si="43">F32/SUM(F33,F36)</f>
        <v>8.3819131140061842E-2</v>
      </c>
      <c r="G71" s="9">
        <f t="shared" si="43"/>
        <v>6.4525777681096366E-2</v>
      </c>
      <c r="H71" s="9">
        <f t="shared" si="43"/>
        <v>0.1214973205001733</v>
      </c>
      <c r="I71" s="20">
        <f>H71</f>
        <v>0.1214973205001733</v>
      </c>
      <c r="J71" s="20">
        <f t="shared" ref="J71:M71" si="44">I71</f>
        <v>0.1214973205001733</v>
      </c>
      <c r="K71" s="20">
        <f t="shared" si="44"/>
        <v>0.1214973205001733</v>
      </c>
      <c r="L71" s="20">
        <f t="shared" si="44"/>
        <v>0.1214973205001733</v>
      </c>
      <c r="M71" s="20">
        <f t="shared" si="44"/>
        <v>0.1214973205001733</v>
      </c>
    </row>
  </sheetData>
  <mergeCells count="3">
    <mergeCell ref="E4:H4"/>
    <mergeCell ref="I4:M4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EFDB-28ED-4FAB-94E3-7885244FC7EE}">
  <dimension ref="B2:S28"/>
  <sheetViews>
    <sheetView showGridLines="0" tabSelected="1" topLeftCell="A6" zoomScale="95" zoomScaleNormal="95" workbookViewId="0">
      <selection activeCell="J1" sqref="J1:S1048576"/>
    </sheetView>
  </sheetViews>
  <sheetFormatPr defaultRowHeight="15" x14ac:dyDescent="0.25"/>
  <cols>
    <col min="1" max="1" width="2.28515625" customWidth="1"/>
    <col min="2" max="2" width="25.5703125" bestFit="1" customWidth="1"/>
    <col min="3" max="3" width="6" bestFit="1" customWidth="1"/>
    <col min="4" max="4" width="4.7109375" bestFit="1" customWidth="1"/>
    <col min="5" max="8" width="12.5703125" bestFit="1" customWidth="1"/>
    <col min="9" max="9" width="13.28515625" style="5" bestFit="1" customWidth="1"/>
    <col min="10" max="10" width="16.28515625" style="210" bestFit="1" customWidth="1"/>
    <col min="11" max="11" width="45" style="210" bestFit="1" customWidth="1"/>
    <col min="12" max="12" width="59.7109375" style="210" bestFit="1" customWidth="1"/>
    <col min="13" max="13" width="23.42578125" style="210" bestFit="1" customWidth="1"/>
    <col min="14" max="14" width="15.5703125" style="210" bestFit="1" customWidth="1"/>
    <col min="15" max="16" width="9.140625" style="210"/>
    <col min="17" max="17" width="24.5703125" style="210" bestFit="1" customWidth="1"/>
    <col min="18" max="19" width="9.140625" style="210"/>
  </cols>
  <sheetData>
    <row r="2" spans="2:17" ht="18.75" x14ac:dyDescent="0.3">
      <c r="D2" s="272" t="s">
        <v>230</v>
      </c>
      <c r="E2" s="273"/>
      <c r="F2" s="273"/>
      <c r="G2" s="274"/>
    </row>
    <row r="4" spans="2:17" ht="15.75" x14ac:dyDescent="0.25">
      <c r="B4" s="178"/>
      <c r="C4" s="178"/>
      <c r="D4" s="178"/>
      <c r="E4" s="275" t="s">
        <v>5</v>
      </c>
      <c r="F4" s="275"/>
      <c r="G4" s="275"/>
      <c r="H4" s="275"/>
      <c r="I4" s="179"/>
      <c r="J4" s="211"/>
      <c r="K4" s="211"/>
      <c r="L4" s="211"/>
      <c r="M4" s="211"/>
    </row>
    <row r="5" spans="2:17" ht="15.75" x14ac:dyDescent="0.25">
      <c r="B5" s="178" t="s">
        <v>2</v>
      </c>
      <c r="C5" s="178"/>
      <c r="D5" s="178" t="s">
        <v>3</v>
      </c>
      <c r="E5" s="179">
        <f>'P&amp;L'!I6</f>
        <v>2024</v>
      </c>
      <c r="F5" s="179">
        <f>E5+1</f>
        <v>2025</v>
      </c>
      <c r="G5" s="179">
        <f t="shared" ref="G5:I5" si="0">F5+1</f>
        <v>2026</v>
      </c>
      <c r="H5" s="180">
        <f t="shared" si="0"/>
        <v>2027</v>
      </c>
      <c r="I5" s="179">
        <f t="shared" si="0"/>
        <v>2028</v>
      </c>
      <c r="J5" s="211"/>
      <c r="K5" s="211"/>
      <c r="L5" s="211"/>
      <c r="M5" s="211"/>
      <c r="Q5" s="210" t="s">
        <v>195</v>
      </c>
    </row>
    <row r="6" spans="2:17" x14ac:dyDescent="0.25">
      <c r="D6" t="s">
        <v>182</v>
      </c>
    </row>
    <row r="7" spans="2:17" ht="15.75" x14ac:dyDescent="0.25">
      <c r="B7" s="58" t="s">
        <v>196</v>
      </c>
      <c r="C7" s="3"/>
    </row>
    <row r="8" spans="2:17" x14ac:dyDescent="0.25">
      <c r="B8" t="s">
        <v>87</v>
      </c>
      <c r="E8">
        <f>37507</f>
        <v>37507</v>
      </c>
      <c r="F8" s="28">
        <f>E11</f>
        <v>38898.130143197814</v>
      </c>
      <c r="G8" s="28">
        <f t="shared" ref="G8:I8" si="1">F11</f>
        <v>40609.446277154566</v>
      </c>
      <c r="H8" s="28">
        <f t="shared" si="1"/>
        <v>42087.069254017028</v>
      </c>
      <c r="I8" s="28">
        <f t="shared" si="1"/>
        <v>43280.324694656723</v>
      </c>
    </row>
    <row r="9" spans="2:17" x14ac:dyDescent="0.25">
      <c r="B9" t="s">
        <v>265</v>
      </c>
      <c r="E9" s="28">
        <f>E11+E10-E8</f>
        <v>3351.1301431978136</v>
      </c>
      <c r="F9" s="28">
        <f t="shared" ref="F9:I9" si="2">F11+F10-F8</f>
        <v>2781.3161339567523</v>
      </c>
      <c r="G9" s="28">
        <f t="shared" si="2"/>
        <v>3287.6229768624617</v>
      </c>
      <c r="H9" s="28">
        <f t="shared" si="2"/>
        <v>5809.2554406396957</v>
      </c>
      <c r="I9" s="28">
        <f t="shared" si="2"/>
        <v>3905.658158814098</v>
      </c>
    </row>
    <row r="10" spans="2:17" x14ac:dyDescent="0.25">
      <c r="B10" t="s">
        <v>204</v>
      </c>
      <c r="E10">
        <v>1960</v>
      </c>
      <c r="F10">
        <v>1070</v>
      </c>
      <c r="G10">
        <v>1810</v>
      </c>
      <c r="H10">
        <v>4616</v>
      </c>
      <c r="I10">
        <v>2770</v>
      </c>
      <c r="J10" s="239" t="s">
        <v>214</v>
      </c>
      <c r="K10" s="210" t="s">
        <v>205</v>
      </c>
      <c r="M10" s="210" t="s">
        <v>214</v>
      </c>
    </row>
    <row r="11" spans="2:17" x14ac:dyDescent="0.25">
      <c r="B11" s="27" t="s">
        <v>197</v>
      </c>
      <c r="C11" s="27"/>
      <c r="D11" s="27"/>
      <c r="E11" s="27">
        <f>E17*'P&amp;L'!I59</f>
        <v>38898.130143197814</v>
      </c>
      <c r="F11" s="27">
        <f>F17*'P&amp;L'!J59</f>
        <v>40609.446277154566</v>
      </c>
      <c r="G11" s="27">
        <f>G17*'P&amp;L'!K59</f>
        <v>42087.069254017028</v>
      </c>
      <c r="H11" s="27">
        <f>H17*'P&amp;L'!L59</f>
        <v>43280.324694656723</v>
      </c>
      <c r="I11" s="27">
        <f>I17*'P&amp;L'!M59</f>
        <v>44415.982853470821</v>
      </c>
      <c r="J11" s="239" t="s">
        <v>214</v>
      </c>
      <c r="K11" s="210" t="s">
        <v>212</v>
      </c>
      <c r="M11" s="210" t="s">
        <v>213</v>
      </c>
    </row>
    <row r="12" spans="2:17" x14ac:dyDescent="0.25">
      <c r="B12" t="s">
        <v>37</v>
      </c>
      <c r="K12" s="210" t="s">
        <v>218</v>
      </c>
      <c r="L12" s="210" t="s">
        <v>219</v>
      </c>
      <c r="M12" s="210" t="s">
        <v>220</v>
      </c>
    </row>
    <row r="13" spans="2:17" x14ac:dyDescent="0.25">
      <c r="B13" t="s">
        <v>198</v>
      </c>
      <c r="E13" s="8">
        <f>3.4%</f>
        <v>3.4000000000000002E-2</v>
      </c>
      <c r="F13" s="8">
        <f t="shared" ref="F13:I13" si="3">3.4%</f>
        <v>3.4000000000000002E-2</v>
      </c>
      <c r="G13" s="8">
        <f t="shared" si="3"/>
        <v>3.4000000000000002E-2</v>
      </c>
      <c r="H13" s="8">
        <f t="shared" si="3"/>
        <v>3.4000000000000002E-2</v>
      </c>
      <c r="I13" s="8">
        <f t="shared" si="3"/>
        <v>3.4000000000000002E-2</v>
      </c>
      <c r="K13" s="210" t="s">
        <v>206</v>
      </c>
    </row>
    <row r="15" spans="2:17" x14ac:dyDescent="0.25">
      <c r="B15" t="s">
        <v>199</v>
      </c>
      <c r="E15" s="28">
        <f>AVERAGE(E8,E11)*E13</f>
        <v>1298.8872124343627</v>
      </c>
      <c r="F15" s="28">
        <f t="shared" ref="F15:I15" si="4">AVERAGE(F8,F11)*F13</f>
        <v>1351.6287991459906</v>
      </c>
      <c r="G15" s="28">
        <f t="shared" si="4"/>
        <v>1405.8407640299172</v>
      </c>
      <c r="H15" s="28">
        <f t="shared" si="4"/>
        <v>1451.2456971274539</v>
      </c>
      <c r="I15" s="28">
        <f t="shared" si="4"/>
        <v>1490.8372283181684</v>
      </c>
      <c r="L15" s="210" t="s">
        <v>203</v>
      </c>
    </row>
    <row r="16" spans="2:17" x14ac:dyDescent="0.25">
      <c r="E16" s="28"/>
      <c r="F16" s="28"/>
      <c r="G16" s="28"/>
      <c r="H16" s="28"/>
      <c r="I16" s="28"/>
    </row>
    <row r="17" spans="2:14" x14ac:dyDescent="0.25">
      <c r="B17" t="s">
        <v>207</v>
      </c>
      <c r="E17" s="53">
        <f>BS!I69</f>
        <v>2.4759374567593744</v>
      </c>
      <c r="F17" s="53">
        <f>BS!J69</f>
        <v>2.3569530925695306</v>
      </c>
      <c r="G17" s="53">
        <f>BS!K69</f>
        <v>2.2379687283796867</v>
      </c>
      <c r="H17" s="53">
        <f>BS!L69</f>
        <v>2.1189843641898429</v>
      </c>
      <c r="I17" s="53">
        <f>BS!M69</f>
        <v>2</v>
      </c>
    </row>
    <row r="18" spans="2:14" x14ac:dyDescent="0.25">
      <c r="E18" s="28"/>
      <c r="F18" s="28"/>
      <c r="G18" s="28"/>
      <c r="H18" s="28"/>
      <c r="I18" s="28"/>
      <c r="L18" s="210" t="s">
        <v>208</v>
      </c>
    </row>
    <row r="19" spans="2:14" ht="15.75" x14ac:dyDescent="0.25">
      <c r="B19" s="58" t="s">
        <v>200</v>
      </c>
      <c r="C19" s="3"/>
      <c r="D19" s="3"/>
    </row>
    <row r="20" spans="2:14" x14ac:dyDescent="0.25">
      <c r="B20" t="s">
        <v>87</v>
      </c>
      <c r="E20">
        <f>BS!H32</f>
        <v>4557</v>
      </c>
      <c r="F20" s="28">
        <f>E24</f>
        <v>4726.0185848655565</v>
      </c>
      <c r="G20" s="28">
        <f t="shared" ref="G20:I20" si="5">F24</f>
        <v>4933.9389096700179</v>
      </c>
      <c r="H20" s="28">
        <f t="shared" si="5"/>
        <v>5113.466142068296</v>
      </c>
      <c r="I20" s="28">
        <f t="shared" si="5"/>
        <v>5258.4434807782727</v>
      </c>
      <c r="J20" s="245" t="s">
        <v>226</v>
      </c>
      <c r="L20" s="210" t="s">
        <v>222</v>
      </c>
    </row>
    <row r="21" spans="2:14" x14ac:dyDescent="0.25">
      <c r="B21" t="s">
        <v>265</v>
      </c>
      <c r="E21" s="28">
        <f>IF(E24&gt;E20,E24-E20,0)</f>
        <v>169.01858486555648</v>
      </c>
      <c r="F21" s="28">
        <f t="shared" ref="F21:I21" si="6">IF(F24&gt;F20,F24-F20,0)</f>
        <v>207.92032480446142</v>
      </c>
      <c r="G21" s="28">
        <f t="shared" si="6"/>
        <v>179.5272323982781</v>
      </c>
      <c r="H21" s="28">
        <f t="shared" si="6"/>
        <v>144.97733870997672</v>
      </c>
      <c r="I21" s="28">
        <f t="shared" si="6"/>
        <v>137.97942330007299</v>
      </c>
      <c r="J21" s="245" t="s">
        <v>227</v>
      </c>
    </row>
    <row r="22" spans="2:14" x14ac:dyDescent="0.25">
      <c r="B22" t="s">
        <v>201</v>
      </c>
      <c r="E22">
        <f>IF(E24&lt;E20,E20-E24,0)</f>
        <v>0</v>
      </c>
      <c r="F22">
        <f t="shared" ref="F22:I22" si="7">IF(F24&lt;F20,F20-F24,0)</f>
        <v>0</v>
      </c>
      <c r="G22">
        <f t="shared" si="7"/>
        <v>0</v>
      </c>
      <c r="H22">
        <f t="shared" si="7"/>
        <v>0</v>
      </c>
      <c r="I22">
        <f t="shared" si="7"/>
        <v>0</v>
      </c>
      <c r="J22" s="245"/>
    </row>
    <row r="23" spans="2:14" x14ac:dyDescent="0.25">
      <c r="J23" s="245"/>
    </row>
    <row r="24" spans="2:14" x14ac:dyDescent="0.25">
      <c r="B24" s="27" t="s">
        <v>200</v>
      </c>
      <c r="C24" s="27"/>
      <c r="D24" s="27"/>
      <c r="E24" s="55">
        <f>E11*BS!I71</f>
        <v>4726.0185848655565</v>
      </c>
      <c r="F24" s="55">
        <f>F11*BS!J71</f>
        <v>4933.9389096700179</v>
      </c>
      <c r="G24" s="55">
        <f>G11*BS!K71</f>
        <v>5113.466142068296</v>
      </c>
      <c r="H24" s="55">
        <f>H11*BS!L71</f>
        <v>5258.4434807782727</v>
      </c>
      <c r="I24" s="55">
        <f>I11*BS!M71</f>
        <v>5396.4229040783457</v>
      </c>
      <c r="J24" s="245" t="s">
        <v>225</v>
      </c>
      <c r="L24" s="210" t="s">
        <v>223</v>
      </c>
      <c r="N24" s="210" t="s">
        <v>224</v>
      </c>
    </row>
    <row r="26" spans="2:14" x14ac:dyDescent="0.25">
      <c r="B26" t="s">
        <v>202</v>
      </c>
      <c r="E26" s="8">
        <f>5.3%</f>
        <v>5.2999999999999999E-2</v>
      </c>
      <c r="F26" s="8">
        <f t="shared" ref="F26:I26" si="8">5.3%</f>
        <v>5.2999999999999999E-2</v>
      </c>
      <c r="G26" s="8">
        <f t="shared" si="8"/>
        <v>5.2999999999999999E-2</v>
      </c>
      <c r="H26" s="8">
        <f t="shared" si="8"/>
        <v>5.2999999999999999E-2</v>
      </c>
      <c r="I26" s="8">
        <f t="shared" si="8"/>
        <v>5.2999999999999999E-2</v>
      </c>
      <c r="L26" s="210" t="s">
        <v>228</v>
      </c>
    </row>
    <row r="27" spans="2:14" x14ac:dyDescent="0.25">
      <c r="M27" s="210" t="s">
        <v>229</v>
      </c>
    </row>
    <row r="28" spans="2:14" x14ac:dyDescent="0.25">
      <c r="B28" t="s">
        <v>43</v>
      </c>
      <c r="E28" s="28">
        <f>E26*AVERAGE(E24,E20)</f>
        <v>245.99999249893725</v>
      </c>
      <c r="F28" s="28">
        <f t="shared" ref="F28:I28" si="9">F26*AVERAGE(F24,F20)</f>
        <v>255.98887360519271</v>
      </c>
      <c r="G28" s="28">
        <f t="shared" si="9"/>
        <v>266.25623387106532</v>
      </c>
      <c r="H28" s="28">
        <f t="shared" si="9"/>
        <v>274.85560500543403</v>
      </c>
      <c r="I28" s="28">
        <f t="shared" si="9"/>
        <v>282.35395919870035</v>
      </c>
    </row>
  </sheetData>
  <mergeCells count="2">
    <mergeCell ref="E4:H4"/>
    <mergeCell ref="D2:G2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A03-A7DA-497C-8B33-581FB7C52F74}">
  <dimension ref="B2:U62"/>
  <sheetViews>
    <sheetView showGridLines="0" topLeftCell="C1" workbookViewId="0">
      <selection activeCell="J1" sqref="J1:U1048576"/>
    </sheetView>
  </sheetViews>
  <sheetFormatPr defaultRowHeight="15" x14ac:dyDescent="0.25"/>
  <cols>
    <col min="1" max="1" width="2.28515625" style="59" customWidth="1"/>
    <col min="2" max="2" width="27.5703125" style="59" bestFit="1" customWidth="1"/>
    <col min="3" max="3" width="9.140625" style="59"/>
    <col min="4" max="4" width="9.5703125" style="59" bestFit="1" customWidth="1"/>
    <col min="5" max="5" width="8.5703125" style="59" bestFit="1" customWidth="1"/>
    <col min="6" max="6" width="10.5703125" style="59" bestFit="1" customWidth="1"/>
    <col min="7" max="8" width="10.7109375" style="59" bestFit="1" customWidth="1"/>
    <col min="9" max="9" width="10.85546875" style="59" bestFit="1" customWidth="1"/>
    <col min="10" max="10" width="9.5703125" style="61" bestFit="1" customWidth="1"/>
    <col min="11" max="11" width="7.85546875" style="61" customWidth="1"/>
    <col min="12" max="12" width="10.5703125" style="61" bestFit="1" customWidth="1"/>
    <col min="13" max="13" width="11.42578125" style="61" customWidth="1"/>
    <col min="14" max="15" width="9.5703125" style="61" bestFit="1" customWidth="1"/>
    <col min="16" max="21" width="9.140625" style="61"/>
    <col min="22" max="16384" width="9.140625" style="59"/>
  </cols>
  <sheetData>
    <row r="2" spans="2:21" ht="18.75" x14ac:dyDescent="0.3">
      <c r="C2" s="276" t="s">
        <v>277</v>
      </c>
      <c r="D2" s="276"/>
      <c r="E2" s="276"/>
      <c r="F2" s="276"/>
      <c r="G2" s="276"/>
    </row>
    <row r="3" spans="2:21" x14ac:dyDescent="0.25">
      <c r="E3" s="59">
        <v>1</v>
      </c>
      <c r="F3" s="59">
        <f>E3+1</f>
        <v>2</v>
      </c>
      <c r="G3" s="59">
        <f t="shared" ref="G3:I3" si="0">F3+1</f>
        <v>3</v>
      </c>
      <c r="H3" s="59">
        <f t="shared" si="0"/>
        <v>4</v>
      </c>
      <c r="I3" s="59">
        <f t="shared" si="0"/>
        <v>5</v>
      </c>
    </row>
    <row r="4" spans="2:21" ht="15.75" x14ac:dyDescent="0.25">
      <c r="B4" s="178"/>
      <c r="C4" s="178"/>
      <c r="D4" s="178"/>
      <c r="E4" s="275" t="s">
        <v>5</v>
      </c>
      <c r="F4" s="275"/>
      <c r="G4" s="275"/>
      <c r="H4" s="275"/>
      <c r="I4" s="179"/>
    </row>
    <row r="5" spans="2:21" ht="15.75" x14ac:dyDescent="0.25">
      <c r="B5" s="178" t="s">
        <v>2</v>
      </c>
      <c r="C5" s="178"/>
      <c r="D5" s="178" t="s">
        <v>3</v>
      </c>
      <c r="E5" s="179">
        <f>cf!E6</f>
        <v>2024</v>
      </c>
      <c r="F5" s="179">
        <f>E5+1</f>
        <v>2025</v>
      </c>
      <c r="G5" s="179">
        <f t="shared" ref="G5:I5" si="1">F5+1</f>
        <v>2026</v>
      </c>
      <c r="H5" s="180">
        <f t="shared" si="1"/>
        <v>2027</v>
      </c>
      <c r="I5" s="179">
        <f t="shared" si="1"/>
        <v>2028</v>
      </c>
    </row>
    <row r="6" spans="2:21" s="64" customFormat="1" x14ac:dyDescent="0.25">
      <c r="B6" s="61"/>
      <c r="C6" s="61"/>
      <c r="D6" s="61"/>
      <c r="E6" s="61"/>
      <c r="F6" s="61"/>
      <c r="G6" s="62"/>
      <c r="H6" s="63"/>
      <c r="I6" s="63"/>
      <c r="J6" s="63"/>
      <c r="K6" s="63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2:21" x14ac:dyDescent="0.25">
      <c r="D7" s="69" t="s">
        <v>182</v>
      </c>
    </row>
    <row r="8" spans="2:21" x14ac:dyDescent="0.25">
      <c r="B8" s="67" t="s">
        <v>270</v>
      </c>
      <c r="E8" s="65">
        <f>'P&amp;L'!I22</f>
        <v>14573.714679733401</v>
      </c>
      <c r="F8" s="65">
        <f>'P&amp;L'!J22</f>
        <v>16040.405872432719</v>
      </c>
      <c r="G8" s="65">
        <f>'P&amp;L'!K22</f>
        <v>17568.207755104289</v>
      </c>
      <c r="H8" s="65">
        <f>'P&amp;L'!L22</f>
        <v>19126.60465304018</v>
      </c>
      <c r="I8" s="65">
        <f>'P&amp;L'!M22</f>
        <v>20852.763056744476</v>
      </c>
    </row>
    <row r="9" spans="2:21" x14ac:dyDescent="0.25">
      <c r="B9" s="59" t="s">
        <v>275</v>
      </c>
      <c r="E9" s="60">
        <f>'P&amp;L'!I55</f>
        <v>0.18062902639140008</v>
      </c>
      <c r="F9" s="60">
        <f>E9-($E$9-$I$9)/4</f>
        <v>0.20297176979355006</v>
      </c>
      <c r="G9" s="60">
        <f t="shared" ref="G9:H9" si="2">F9-($E$9-$I$9)/5</f>
        <v>0.22084596451527005</v>
      </c>
      <c r="H9" s="60">
        <f t="shared" si="2"/>
        <v>0.23872015923699005</v>
      </c>
      <c r="I9" s="60">
        <v>0.27</v>
      </c>
      <c r="J9" s="246"/>
      <c r="K9" s="246" t="s">
        <v>276</v>
      </c>
    </row>
    <row r="10" spans="2:21" x14ac:dyDescent="0.25">
      <c r="B10" s="59" t="s">
        <v>278</v>
      </c>
      <c r="E10" s="65">
        <f>E8*E9</f>
        <v>2632.4358935062992</v>
      </c>
      <c r="F10" s="65">
        <f>F8*F9</f>
        <v>3255.7495681345222</v>
      </c>
      <c r="G10" s="65">
        <f>G8*G9</f>
        <v>3879.8677864806541</v>
      </c>
      <c r="H10" s="65">
        <f>H8*H9</f>
        <v>4565.9061084367067</v>
      </c>
      <c r="I10" s="65">
        <f>I8*I9</f>
        <v>5630.2460253210093</v>
      </c>
    </row>
    <row r="11" spans="2:21" x14ac:dyDescent="0.25">
      <c r="B11" s="67" t="s">
        <v>279</v>
      </c>
      <c r="E11" s="65">
        <f>E8-E10</f>
        <v>11941.278786227102</v>
      </c>
      <c r="F11" s="65">
        <f>F8-F10</f>
        <v>12784.656304298196</v>
      </c>
      <c r="G11" s="65">
        <f>G8-G10</f>
        <v>13688.339968623635</v>
      </c>
      <c r="H11" s="65">
        <f>H8-H10</f>
        <v>14560.698544603474</v>
      </c>
      <c r="I11" s="65">
        <f>I8-I10</f>
        <v>15222.517031423467</v>
      </c>
    </row>
    <row r="12" spans="2:21" x14ac:dyDescent="0.25">
      <c r="B12" s="59" t="s">
        <v>280</v>
      </c>
      <c r="E12" s="65">
        <f>'P&amp;L'!I60</f>
        <v>1136.7508802931243</v>
      </c>
      <c r="F12" s="65">
        <f>'P&amp;L'!J60</f>
        <v>1189.2311556349412</v>
      </c>
      <c r="G12" s="65">
        <f>'P&amp;L'!K60</f>
        <v>1237.7159918680441</v>
      </c>
      <c r="H12" s="65">
        <f>'P&amp;L'!L60</f>
        <v>1298.4279361947151</v>
      </c>
      <c r="I12" s="65">
        <f>'P&amp;L'!M60</f>
        <v>1355.2283699909331</v>
      </c>
    </row>
    <row r="13" spans="2:21" x14ac:dyDescent="0.25">
      <c r="B13" s="59" t="s">
        <v>246</v>
      </c>
      <c r="E13" s="65">
        <f>SUM(cf!E19:E23)</f>
        <v>144.81362651615063</v>
      </c>
      <c r="F13" s="65">
        <f>SUM(cf!F19:F23)</f>
        <v>751.47257480922895</v>
      </c>
      <c r="G13" s="65">
        <f>SUM(cf!G19:G23)</f>
        <v>744.727223338964</v>
      </c>
      <c r="H13" s="65">
        <f>SUM(cf!H19:H23)</f>
        <v>838.13982286720625</v>
      </c>
      <c r="I13" s="65">
        <f>SUM(cf!I19:I23)</f>
        <v>967.59417726645211</v>
      </c>
    </row>
    <row r="14" spans="2:21" x14ac:dyDescent="0.25">
      <c r="B14" s="59" t="s">
        <v>281</v>
      </c>
      <c r="E14" s="65">
        <f>cf!E28</f>
        <v>-1047.7416582845872</v>
      </c>
      <c r="F14" s="65">
        <f>cf!F28</f>
        <v>-1079.1170975324349</v>
      </c>
      <c r="G14" s="65">
        <f>cf!G28</f>
        <v>-1097.3422793606842</v>
      </c>
      <c r="H14" s="65">
        <f>cf!H28</f>
        <v>-1101.4625734472356</v>
      </c>
      <c r="I14" s="65">
        <f>cf!I28</f>
        <v>-1175.637732595631</v>
      </c>
    </row>
    <row r="15" spans="2:21" x14ac:dyDescent="0.25">
      <c r="B15" s="67" t="s">
        <v>272</v>
      </c>
      <c r="E15" s="68">
        <f>SUM(E11:E14)</f>
        <v>12175.101634751789</v>
      </c>
      <c r="F15" s="68">
        <f t="shared" ref="F15:I15" si="3">SUM(F11:F14)</f>
        <v>13646.242937209932</v>
      </c>
      <c r="G15" s="68">
        <f t="shared" si="3"/>
        <v>14573.440904469961</v>
      </c>
      <c r="H15" s="68">
        <f t="shared" si="3"/>
        <v>15595.803730218162</v>
      </c>
      <c r="I15" s="68">
        <f t="shared" si="3"/>
        <v>16369.701846085223</v>
      </c>
      <c r="J15" s="247"/>
      <c r="K15" s="247"/>
      <c r="L15" s="247"/>
    </row>
    <row r="16" spans="2:21" x14ac:dyDescent="0.25">
      <c r="F16" s="66">
        <f>F15/E15-1</f>
        <v>0.12083195250370782</v>
      </c>
      <c r="G16" s="66">
        <f t="shared" ref="G16:I16" si="4">G15/F15-1</f>
        <v>6.7945292453484685E-2</v>
      </c>
      <c r="H16" s="66">
        <f t="shared" si="4"/>
        <v>7.015246656228058E-2</v>
      </c>
      <c r="I16" s="66">
        <f t="shared" si="4"/>
        <v>4.9622201539223587E-2</v>
      </c>
    </row>
    <row r="17" spans="2:15" x14ac:dyDescent="0.25">
      <c r="B17" s="59" t="s">
        <v>282</v>
      </c>
      <c r="I17" s="59">
        <f>I15*(1+D23)/(D22-D23)</f>
        <v>520088.95662558998</v>
      </c>
    </row>
    <row r="18" spans="2:15" x14ac:dyDescent="0.25">
      <c r="B18" s="59" t="s">
        <v>283</v>
      </c>
      <c r="E18" s="65">
        <f>SUM(E15:E17)</f>
        <v>12175.101634751789</v>
      </c>
      <c r="F18" s="65">
        <f t="shared" ref="F18:I18" si="5">SUM(F15:F17)</f>
        <v>13646.363769162435</v>
      </c>
      <c r="G18" s="65">
        <f t="shared" si="5"/>
        <v>14573.508849762415</v>
      </c>
      <c r="H18" s="65">
        <f t="shared" si="5"/>
        <v>15595.873882684724</v>
      </c>
      <c r="I18" s="65">
        <f t="shared" si="5"/>
        <v>536458.70809387672</v>
      </c>
      <c r="J18" s="61" t="s">
        <v>37</v>
      </c>
      <c r="K18" s="61" t="s">
        <v>286</v>
      </c>
    </row>
    <row r="19" spans="2:15" x14ac:dyDescent="0.25">
      <c r="B19" s="59" t="s">
        <v>284</v>
      </c>
      <c r="E19" s="65">
        <f>E18/(1+$D$22)^E3</f>
        <v>11482.08754014013</v>
      </c>
      <c r="F19" s="65">
        <f t="shared" ref="F19:I19" si="6">F18/(1+$D$22)^F3</f>
        <v>12137.058933021099</v>
      </c>
      <c r="G19" s="65">
        <f t="shared" si="6"/>
        <v>12223.875108639864</v>
      </c>
      <c r="H19" s="65">
        <f t="shared" si="6"/>
        <v>12336.806357446627</v>
      </c>
      <c r="I19" s="65">
        <f t="shared" si="6"/>
        <v>400200.46703746053</v>
      </c>
    </row>
    <row r="20" spans="2:15" x14ac:dyDescent="0.25">
      <c r="E20" s="65"/>
      <c r="G20" s="59" t="s">
        <v>37</v>
      </c>
    </row>
    <row r="21" spans="2:15" x14ac:dyDescent="0.25">
      <c r="G21" s="169"/>
      <c r="H21" s="170"/>
      <c r="I21" s="169"/>
      <c r="J21" s="277" t="s">
        <v>406</v>
      </c>
      <c r="K21" s="277"/>
      <c r="L21" s="277"/>
      <c r="M21" s="277"/>
    </row>
    <row r="22" spans="2:15" x14ac:dyDescent="0.25">
      <c r="B22" s="59" t="s">
        <v>273</v>
      </c>
      <c r="D22" s="60">
        <f>'Wacc (2)'!L43</f>
        <v>6.0356106168756932E-2</v>
      </c>
      <c r="G22" s="169"/>
      <c r="H22" s="166">
        <f>D30</f>
        <v>101.35245332489242</v>
      </c>
      <c r="I22" s="171">
        <f>J22-0.5%</f>
        <v>4.5356106168756939E-2</v>
      </c>
      <c r="J22" s="248">
        <f>K22-0.5%</f>
        <v>5.0356106168756937E-2</v>
      </c>
      <c r="K22" s="248">
        <f>L22-0.5%</f>
        <v>5.5356106168756934E-2</v>
      </c>
      <c r="L22" s="249">
        <f>D22</f>
        <v>6.0356106168756932E-2</v>
      </c>
      <c r="M22" s="248">
        <f>L22+0.5%</f>
        <v>6.5356106168756936E-2</v>
      </c>
      <c r="N22" s="248">
        <f t="shared" ref="N22:O22" si="7">M22+0.5%</f>
        <v>7.0356106168756941E-2</v>
      </c>
      <c r="O22" s="248">
        <f t="shared" si="7"/>
        <v>7.5356106168756945E-2</v>
      </c>
    </row>
    <row r="23" spans="2:15" x14ac:dyDescent="0.25">
      <c r="B23" s="59" t="s">
        <v>393</v>
      </c>
      <c r="D23" s="60">
        <v>2.8000000000000001E-2</v>
      </c>
      <c r="G23" s="172" t="s">
        <v>400</v>
      </c>
      <c r="H23" s="173">
        <f>H24-0.5%</f>
        <v>1.2999999999999998E-2</v>
      </c>
      <c r="I23" s="170">
        <f t="dataTable" ref="I23:O30" dt2D="1" dtr="1" r1="D22" r2="D23" ca="1"/>
        <v>107.16996576165289</v>
      </c>
      <c r="J23" s="250">
        <v>156.67094053896258</v>
      </c>
      <c r="K23" s="250">
        <v>202.82384911624501</v>
      </c>
      <c r="L23" s="250">
        <v>202.82384911624501</v>
      </c>
      <c r="M23" s="250">
        <v>156.67094053896258</v>
      </c>
      <c r="N23" s="250">
        <v>107.16996576165289</v>
      </c>
      <c r="O23" s="250">
        <v>72.137636050592207</v>
      </c>
    </row>
    <row r="24" spans="2:15" x14ac:dyDescent="0.25">
      <c r="B24" s="59" t="s">
        <v>285</v>
      </c>
      <c r="D24" s="65">
        <f>SUM(E19:I19)</f>
        <v>448380.29497670825</v>
      </c>
      <c r="G24" s="172" t="s">
        <v>401</v>
      </c>
      <c r="H24" s="173">
        <f>H25-0.5%</f>
        <v>1.7999999999999999E-2</v>
      </c>
      <c r="I24" s="170">
        <v>84.11726581117253</v>
      </c>
      <c r="J24" s="250">
        <v>111.28308045610754</v>
      </c>
      <c r="K24" s="250">
        <v>132.32287075848595</v>
      </c>
      <c r="L24" s="250">
        <v>132.32287075848595</v>
      </c>
      <c r="M24" s="250">
        <v>111.28308045610754</v>
      </c>
      <c r="N24" s="250">
        <v>84.11726581117253</v>
      </c>
      <c r="O24" s="250">
        <v>61.150398683085264</v>
      </c>
    </row>
    <row r="25" spans="2:15" x14ac:dyDescent="0.25">
      <c r="B25" s="59" t="s">
        <v>394</v>
      </c>
      <c r="D25" s="59">
        <f>SUM(BS!H32:H33,BS!H36)</f>
        <v>42064</v>
      </c>
      <c r="G25" s="172" t="s">
        <v>402</v>
      </c>
      <c r="H25" s="173">
        <f>H26-0.5%</f>
        <v>2.3E-2</v>
      </c>
      <c r="I25" s="170">
        <v>76.241875841226658</v>
      </c>
      <c r="J25" s="250">
        <v>97.701688779455239</v>
      </c>
      <c r="K25" s="250">
        <v>113.41419152810269</v>
      </c>
      <c r="L25" s="250">
        <v>113.41419152810269</v>
      </c>
      <c r="M25" s="250">
        <v>97.701688779455239</v>
      </c>
      <c r="N25" s="250">
        <v>76.241875841226658</v>
      </c>
      <c r="O25" s="250">
        <v>56.978290999927118</v>
      </c>
    </row>
    <row r="26" spans="2:15" x14ac:dyDescent="0.25">
      <c r="B26" s="59" t="s">
        <v>395</v>
      </c>
      <c r="D26" s="59">
        <f>BS!H11</f>
        <v>12363</v>
      </c>
      <c r="G26" s="172" t="s">
        <v>403</v>
      </c>
      <c r="H26" s="167">
        <f>D23</f>
        <v>2.8000000000000001E-2</v>
      </c>
      <c r="I26" s="170">
        <v>76.241875841226658</v>
      </c>
      <c r="J26" s="250">
        <v>97.701688779455239</v>
      </c>
      <c r="K26" s="250">
        <v>113.41419152810269</v>
      </c>
      <c r="L26" s="250">
        <v>113.41419152810269</v>
      </c>
      <c r="M26" s="250">
        <v>97.701688779455239</v>
      </c>
      <c r="N26" s="250">
        <v>76.241875841226658</v>
      </c>
      <c r="O26" s="250">
        <v>56.978290999927118</v>
      </c>
    </row>
    <row r="27" spans="2:15" x14ac:dyDescent="0.25">
      <c r="B27" s="59" t="s">
        <v>396</v>
      </c>
      <c r="D27" s="59">
        <f>SUM(BS!H19,BS!H20,BS!H13)</f>
        <v>21089</v>
      </c>
      <c r="G27" s="172" t="s">
        <v>404</v>
      </c>
      <c r="H27" s="173">
        <f>H26+0.5%</f>
        <v>3.3000000000000002E-2</v>
      </c>
      <c r="I27" s="170">
        <v>84.11726581117253</v>
      </c>
      <c r="J27" s="250">
        <v>111.28308045610754</v>
      </c>
      <c r="K27" s="250">
        <v>132.32287075848595</v>
      </c>
      <c r="L27" s="250">
        <v>132.32287075848595</v>
      </c>
      <c r="M27" s="250">
        <v>111.28308045610754</v>
      </c>
      <c r="N27" s="250">
        <v>84.11726581117253</v>
      </c>
      <c r="O27" s="250">
        <v>61.150398683085264</v>
      </c>
    </row>
    <row r="28" spans="2:15" x14ac:dyDescent="0.25">
      <c r="B28" s="67" t="s">
        <v>397</v>
      </c>
      <c r="D28" s="65">
        <f>D24-D25+D26+D27</f>
        <v>439768.29497670825</v>
      </c>
      <c r="G28" s="172" t="s">
        <v>405</v>
      </c>
      <c r="H28" s="173">
        <f t="shared" ref="H28:H29" si="8">H27+0.5%</f>
        <v>3.7999999999999999E-2</v>
      </c>
      <c r="I28" s="170">
        <v>107.16996576165289</v>
      </c>
      <c r="J28" s="250">
        <v>156.67094053896258</v>
      </c>
      <c r="K28" s="250">
        <v>202.82384911624501</v>
      </c>
      <c r="L28" s="250">
        <v>202.82384911624501</v>
      </c>
      <c r="M28" s="250">
        <v>156.67094053896258</v>
      </c>
      <c r="N28" s="250">
        <v>107.16996576165289</v>
      </c>
      <c r="O28" s="250">
        <v>72.137636050592207</v>
      </c>
    </row>
    <row r="29" spans="2:15" x14ac:dyDescent="0.25">
      <c r="B29" s="67" t="s">
        <v>398</v>
      </c>
      <c r="D29" s="65">
        <f>'P&amp;L'!H45</f>
        <v>4339</v>
      </c>
      <c r="G29" s="169"/>
      <c r="H29" s="173">
        <f t="shared" si="8"/>
        <v>4.2999999999999997E-2</v>
      </c>
      <c r="I29" s="168">
        <v>191.55720651874634</v>
      </c>
      <c r="J29" s="250">
        <v>456.1312227703923</v>
      </c>
      <c r="K29" s="250">
        <v>1430.6752981706095</v>
      </c>
      <c r="L29" s="250">
        <v>1430.6752981706095</v>
      </c>
      <c r="M29" s="250">
        <v>456.1312227703923</v>
      </c>
      <c r="N29" s="250">
        <v>191.55720651874634</v>
      </c>
      <c r="O29" s="250">
        <v>101.35245332489242</v>
      </c>
    </row>
    <row r="30" spans="2:15" x14ac:dyDescent="0.25">
      <c r="B30" s="67" t="s">
        <v>399</v>
      </c>
      <c r="D30" s="65">
        <f>D28/D29</f>
        <v>101.35245332489242</v>
      </c>
      <c r="G30" s="169"/>
      <c r="H30" s="173"/>
      <c r="I30" s="170">
        <v>79.183670292860313</v>
      </c>
      <c r="J30" s="250">
        <v>102.6732877322557</v>
      </c>
      <c r="K30" s="250">
        <v>120.23018872697554</v>
      </c>
      <c r="L30" s="250">
        <v>120.23018872697554</v>
      </c>
      <c r="M30" s="250">
        <v>102.6732877322557</v>
      </c>
      <c r="N30" s="250">
        <v>79.183670292860313</v>
      </c>
      <c r="O30" s="250">
        <v>58.564184235343127</v>
      </c>
    </row>
    <row r="31" spans="2:15" x14ac:dyDescent="0.25">
      <c r="B31" s="67"/>
      <c r="D31" s="65"/>
    </row>
    <row r="32" spans="2:15" x14ac:dyDescent="0.25">
      <c r="B32" s="64"/>
      <c r="C32" s="64"/>
      <c r="D32" s="64"/>
      <c r="E32" s="64"/>
    </row>
    <row r="33" spans="2:11" x14ac:dyDescent="0.25">
      <c r="B33" s="61"/>
      <c r="C33" s="61"/>
      <c r="D33" s="61"/>
      <c r="E33" s="61"/>
      <c r="F33" s="61"/>
      <c r="G33" s="62">
        <f>'[1]intrinsic Growth'!E24</f>
        <v>-13779</v>
      </c>
      <c r="H33" s="63">
        <f>G33+366</f>
        <v>-13413</v>
      </c>
      <c r="I33" s="63">
        <f t="shared" ref="I33:K33" si="9">H33+365</f>
        <v>-13048</v>
      </c>
      <c r="J33" s="63">
        <f t="shared" si="9"/>
        <v>-12683</v>
      </c>
      <c r="K33" s="63">
        <f t="shared" si="9"/>
        <v>-12318</v>
      </c>
    </row>
    <row r="34" spans="2:11" x14ac:dyDescent="0.25">
      <c r="B34" s="64"/>
      <c r="C34" s="64"/>
      <c r="D34" s="64"/>
      <c r="E34" s="64"/>
    </row>
    <row r="35" spans="2:11" x14ac:dyDescent="0.25">
      <c r="B35" s="64"/>
      <c r="C35" s="64"/>
      <c r="D35" s="64"/>
      <c r="E35" s="64"/>
    </row>
    <row r="36" spans="2:11" x14ac:dyDescent="0.25">
      <c r="B36" s="64"/>
      <c r="C36" s="64"/>
      <c r="D36" s="64"/>
      <c r="E36" s="64"/>
    </row>
    <row r="37" spans="2:11" x14ac:dyDescent="0.25">
      <c r="B37" s="64"/>
      <c r="C37" s="64"/>
      <c r="D37" s="64"/>
      <c r="E37" s="64"/>
    </row>
    <row r="38" spans="2:11" x14ac:dyDescent="0.25">
      <c r="B38" s="64"/>
      <c r="C38" s="64"/>
      <c r="D38" s="64"/>
      <c r="E38" s="64"/>
    </row>
    <row r="39" spans="2:11" x14ac:dyDescent="0.25">
      <c r="B39" s="64"/>
      <c r="C39" s="64"/>
      <c r="D39" s="64"/>
      <c r="E39" s="64"/>
    </row>
    <row r="40" spans="2:11" x14ac:dyDescent="0.25">
      <c r="B40" s="64"/>
      <c r="C40" s="64"/>
      <c r="D40" s="64"/>
      <c r="E40" s="64"/>
    </row>
    <row r="41" spans="2:11" x14ac:dyDescent="0.25">
      <c r="B41" s="61"/>
      <c r="C41" s="61"/>
      <c r="D41" s="61"/>
      <c r="E41" s="61"/>
    </row>
    <row r="42" spans="2:11" x14ac:dyDescent="0.25">
      <c r="B42" s="64"/>
      <c r="C42" s="64"/>
      <c r="D42" s="64"/>
      <c r="E42" s="64"/>
    </row>
    <row r="43" spans="2:11" x14ac:dyDescent="0.25">
      <c r="B43" s="64"/>
      <c r="C43" s="64"/>
      <c r="D43" s="64"/>
      <c r="E43" s="64"/>
    </row>
    <row r="44" spans="2:11" x14ac:dyDescent="0.25">
      <c r="B44" s="64"/>
      <c r="C44" s="64"/>
      <c r="D44" s="64"/>
      <c r="E44" s="64"/>
    </row>
    <row r="45" spans="2:11" x14ac:dyDescent="0.25">
      <c r="B45" s="64"/>
      <c r="C45" s="64"/>
      <c r="D45" s="64"/>
      <c r="E45" s="64"/>
    </row>
    <row r="46" spans="2:11" x14ac:dyDescent="0.25">
      <c r="B46" s="64"/>
      <c r="C46" s="64"/>
      <c r="D46" s="64"/>
      <c r="E46" s="64"/>
    </row>
    <row r="47" spans="2:11" x14ac:dyDescent="0.25">
      <c r="B47" s="64"/>
      <c r="C47" s="64"/>
      <c r="D47" s="64"/>
      <c r="E47" s="64"/>
    </row>
    <row r="48" spans="2:11" x14ac:dyDescent="0.25">
      <c r="B48" s="174"/>
      <c r="C48" s="64"/>
      <c r="D48" s="64"/>
      <c r="E48" s="64"/>
    </row>
    <row r="49" spans="2:5" x14ac:dyDescent="0.25">
      <c r="B49" s="64"/>
      <c r="C49" s="64"/>
      <c r="D49" s="64"/>
      <c r="E49" s="64"/>
    </row>
    <row r="50" spans="2:5" x14ac:dyDescent="0.25">
      <c r="B50" s="174"/>
      <c r="C50" s="64"/>
      <c r="D50" s="64"/>
      <c r="E50" s="64"/>
    </row>
    <row r="51" spans="2:5" x14ac:dyDescent="0.25">
      <c r="B51" s="64"/>
      <c r="C51" s="64"/>
      <c r="D51" s="64"/>
      <c r="E51" s="64"/>
    </row>
    <row r="52" spans="2:5" x14ac:dyDescent="0.25">
      <c r="B52" s="64"/>
      <c r="C52" s="64"/>
      <c r="D52" s="64"/>
      <c r="E52" s="64"/>
    </row>
    <row r="53" spans="2:5" x14ac:dyDescent="0.25">
      <c r="B53" s="64"/>
      <c r="C53" s="64"/>
      <c r="D53" s="64"/>
      <c r="E53" s="64"/>
    </row>
    <row r="54" spans="2:5" x14ac:dyDescent="0.25">
      <c r="B54" s="64"/>
      <c r="C54" s="64"/>
      <c r="D54" s="64"/>
      <c r="E54" s="64"/>
    </row>
    <row r="55" spans="2:5" x14ac:dyDescent="0.25">
      <c r="B55" s="64"/>
      <c r="C55" s="64"/>
      <c r="D55" s="64"/>
      <c r="E55" s="64"/>
    </row>
    <row r="56" spans="2:5" x14ac:dyDescent="0.25">
      <c r="B56" s="64"/>
      <c r="C56" s="64"/>
      <c r="D56" s="64"/>
      <c r="E56" s="64"/>
    </row>
    <row r="57" spans="2:5" x14ac:dyDescent="0.25">
      <c r="B57" s="64"/>
      <c r="C57" s="64"/>
      <c r="D57" s="64"/>
      <c r="E57" s="64"/>
    </row>
    <row r="58" spans="2:5" x14ac:dyDescent="0.25">
      <c r="B58" s="64"/>
      <c r="C58" s="64"/>
      <c r="D58" s="64"/>
      <c r="E58" s="64"/>
    </row>
    <row r="59" spans="2:5" x14ac:dyDescent="0.25">
      <c r="B59" s="64"/>
      <c r="C59" s="64"/>
      <c r="D59" s="64"/>
      <c r="E59" s="64"/>
    </row>
    <row r="60" spans="2:5" x14ac:dyDescent="0.25">
      <c r="B60" s="64"/>
      <c r="C60" s="64"/>
      <c r="D60" s="64"/>
      <c r="E60" s="64"/>
    </row>
    <row r="61" spans="2:5" x14ac:dyDescent="0.25">
      <c r="B61" s="64"/>
      <c r="C61" s="64"/>
      <c r="D61" s="64"/>
      <c r="E61" s="64"/>
    </row>
    <row r="62" spans="2:5" x14ac:dyDescent="0.25">
      <c r="B62" s="64"/>
      <c r="C62" s="64"/>
      <c r="D62" s="64"/>
      <c r="E62" s="64"/>
    </row>
  </sheetData>
  <mergeCells count="3">
    <mergeCell ref="E4:H4"/>
    <mergeCell ref="C2:G2"/>
    <mergeCell ref="J21:M21"/>
  </mergeCells>
  <pageMargins left="0.7" right="0.7" top="0.75" bottom="0.75" header="0.3" footer="0.3"/>
  <ignoredErrors>
    <ignoredError sqref="D2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C823-8319-4FC7-981D-D54E62755E08}">
  <dimension ref="B2:W43"/>
  <sheetViews>
    <sheetView showGridLines="0" topLeftCell="A2" zoomScaleNormal="100" workbookViewId="0">
      <selection activeCell="K3" sqref="K3"/>
    </sheetView>
  </sheetViews>
  <sheetFormatPr defaultRowHeight="15" x14ac:dyDescent="0.25"/>
  <cols>
    <col min="1" max="1" width="2.28515625" style="59" customWidth="1"/>
    <col min="2" max="2" width="18.42578125" style="59" customWidth="1"/>
    <col min="3" max="3" width="4.28515625" style="59" customWidth="1"/>
    <col min="4" max="4" width="9.140625" style="59" bestFit="1" customWidth="1"/>
    <col min="5" max="5" width="20.42578125" style="59" bestFit="1" customWidth="1"/>
    <col min="6" max="6" width="13.7109375" style="59" bestFit="1" customWidth="1"/>
    <col min="7" max="7" width="13.5703125" style="59" bestFit="1" customWidth="1"/>
    <col min="8" max="8" width="12.140625" style="59" bestFit="1" customWidth="1"/>
    <col min="9" max="9" width="7.5703125" style="59" bestFit="1" customWidth="1"/>
    <col min="10" max="10" width="7.7109375" style="59" bestFit="1" customWidth="1"/>
    <col min="11" max="11" width="14.42578125" style="59" bestFit="1" customWidth="1"/>
    <col min="12" max="12" width="16.7109375" style="59" bestFit="1" customWidth="1"/>
    <col min="13" max="13" width="2" style="64" customWidth="1"/>
    <col min="14" max="23" width="9.140625" style="61"/>
    <col min="24" max="16384" width="9.140625" style="59"/>
  </cols>
  <sheetData>
    <row r="2" spans="2:16" ht="18.75" x14ac:dyDescent="0.3">
      <c r="E2" s="278" t="s">
        <v>333</v>
      </c>
      <c r="F2" s="279"/>
      <c r="G2" s="280"/>
    </row>
    <row r="3" spans="2:16" x14ac:dyDescent="0.25">
      <c r="B3" s="70" t="s">
        <v>287</v>
      </c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2:16" x14ac:dyDescent="0.25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</row>
    <row r="5" spans="2:16" x14ac:dyDescent="0.25">
      <c r="B5" s="71" t="s">
        <v>288</v>
      </c>
      <c r="C5" s="70"/>
      <c r="D5" s="70"/>
      <c r="E5" s="70"/>
      <c r="F5" s="70"/>
      <c r="G5" s="70"/>
      <c r="H5" s="70"/>
      <c r="I5" s="70"/>
      <c r="J5" s="70"/>
      <c r="K5" s="70"/>
      <c r="L5" s="70"/>
    </row>
    <row r="6" spans="2:16" ht="15.75" x14ac:dyDescent="0.25"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</row>
    <row r="7" spans="2:16" ht="15.75" x14ac:dyDescent="0.25">
      <c r="B7" s="176"/>
      <c r="C7" s="176"/>
      <c r="D7" s="176"/>
      <c r="E7" s="176"/>
      <c r="F7" s="176"/>
      <c r="G7" s="176"/>
      <c r="H7" s="176"/>
      <c r="I7" s="176" t="s">
        <v>289</v>
      </c>
      <c r="J7" s="176" t="s">
        <v>289</v>
      </c>
      <c r="K7" s="176"/>
      <c r="L7" s="176"/>
      <c r="M7" s="72"/>
    </row>
    <row r="8" spans="2:16" ht="18" x14ac:dyDescent="0.25">
      <c r="B8" s="177" t="s">
        <v>290</v>
      </c>
      <c r="C8" s="177"/>
      <c r="D8" s="177"/>
      <c r="E8" s="177" t="s">
        <v>291</v>
      </c>
      <c r="F8" s="177" t="s">
        <v>292</v>
      </c>
      <c r="G8" s="177" t="s">
        <v>293</v>
      </c>
      <c r="H8" s="177" t="s">
        <v>407</v>
      </c>
      <c r="I8" s="177" t="s">
        <v>151</v>
      </c>
      <c r="J8" s="177" t="s">
        <v>294</v>
      </c>
      <c r="K8" s="177" t="s">
        <v>295</v>
      </c>
      <c r="L8" s="177" t="s">
        <v>296</v>
      </c>
      <c r="M8" s="72"/>
    </row>
    <row r="9" spans="2:16" x14ac:dyDescent="0.25"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2:16" x14ac:dyDescent="0.25">
      <c r="B10" s="73" t="s">
        <v>350</v>
      </c>
      <c r="C10" s="74"/>
      <c r="D10" s="74"/>
      <c r="E10" s="75" t="s">
        <v>378</v>
      </c>
      <c r="F10" s="79">
        <f>AVERAGE(25040,28401,27515)</f>
        <v>26985.333333333332</v>
      </c>
      <c r="G10" s="137">
        <f>AVERAGE(308156,254779,275082)</f>
        <v>279339</v>
      </c>
      <c r="H10" s="76">
        <v>0.3</v>
      </c>
      <c r="I10" s="77">
        <f>F10/G10</f>
        <v>9.6604245498599667E-2</v>
      </c>
      <c r="J10" s="77">
        <f>F10/SUM(F10+G10)</f>
        <v>8.8093991880066114E-2</v>
      </c>
      <c r="K10" s="145">
        <f>'Regression Beta'!F5</f>
        <v>0.64071654104061804</v>
      </c>
      <c r="L10" s="78">
        <f>K10/(1+(1-H10)*I10)</f>
        <v>0.60013371567957075</v>
      </c>
    </row>
    <row r="11" spans="2:16" x14ac:dyDescent="0.25">
      <c r="B11" s="73" t="s">
        <v>356</v>
      </c>
      <c r="C11" s="74"/>
      <c r="D11" s="74"/>
      <c r="E11" s="75" t="s">
        <v>378</v>
      </c>
      <c r="F11" s="79">
        <f>AVERAGE(25040,28401,27515)</f>
        <v>26985.333333333332</v>
      </c>
      <c r="G11" s="137">
        <f>AVERAGE(50565,46593,49321)</f>
        <v>48826.333333333336</v>
      </c>
      <c r="H11" s="76">
        <v>0.3</v>
      </c>
      <c r="I11" s="77">
        <f>F11/G11</f>
        <v>0.55267990633469644</v>
      </c>
      <c r="J11" s="77">
        <f t="shared" ref="J11:J13" si="0">F11/SUM(F11+G11)</f>
        <v>0.35595225009343323</v>
      </c>
      <c r="K11" s="145">
        <f>'Regression Beta'!I6</f>
        <v>0.54000481753089091</v>
      </c>
      <c r="L11" s="78">
        <f t="shared" ref="L11:L13" si="1">K11/(1+(1-H11)*I11)</f>
        <v>0.38936778995387289</v>
      </c>
    </row>
    <row r="12" spans="2:16" x14ac:dyDescent="0.25">
      <c r="B12" s="73" t="s">
        <v>357</v>
      </c>
      <c r="C12" s="74"/>
      <c r="D12" s="74"/>
      <c r="E12" s="75" t="s">
        <v>378</v>
      </c>
      <c r="F12" s="79">
        <f>AVERAGE(34346,33723,34302)</f>
        <v>34123.666666666664</v>
      </c>
      <c r="G12" s="79">
        <f>AVERAGE(24252,251832,236278)</f>
        <v>170787.33333333334</v>
      </c>
      <c r="H12" s="76">
        <v>0.3</v>
      </c>
      <c r="I12" s="77">
        <f t="shared" ref="I12:I13" si="2">F12/G12</f>
        <v>0.19980209305139723</v>
      </c>
      <c r="J12" s="77">
        <f t="shared" si="0"/>
        <v>0.16652920861577303</v>
      </c>
      <c r="K12" s="145">
        <f>'Regression Beta'!I6</f>
        <v>0.54000481753089091</v>
      </c>
      <c r="L12" s="78">
        <f t="shared" si="1"/>
        <v>0.4737460069031037</v>
      </c>
    </row>
    <row r="13" spans="2:16" x14ac:dyDescent="0.25">
      <c r="B13" s="73" t="s">
        <v>358</v>
      </c>
      <c r="C13" s="74"/>
      <c r="D13" s="74"/>
      <c r="E13" s="75" t="s">
        <v>378</v>
      </c>
      <c r="F13" s="79">
        <v>0</v>
      </c>
      <c r="G13" s="79">
        <f>AVERAGE(50819,53011,59940)</f>
        <v>54590</v>
      </c>
      <c r="H13" s="76">
        <v>0.3</v>
      </c>
      <c r="I13" s="77">
        <f t="shared" si="2"/>
        <v>0</v>
      </c>
      <c r="J13" s="77">
        <f t="shared" si="0"/>
        <v>0</v>
      </c>
      <c r="K13" s="145">
        <f>'Regression Beta'!L6</f>
        <v>0.71351743474013329</v>
      </c>
      <c r="L13" s="78">
        <f t="shared" si="1"/>
        <v>0.71351743474013329</v>
      </c>
    </row>
    <row r="14" spans="2:16" x14ac:dyDescent="0.25">
      <c r="B14" s="73"/>
      <c r="C14" s="74"/>
      <c r="D14" s="74"/>
      <c r="E14" s="75"/>
      <c r="F14" s="74"/>
      <c r="G14" s="74"/>
      <c r="H14" s="76"/>
      <c r="I14" s="77"/>
      <c r="J14" s="77"/>
      <c r="K14" s="145"/>
      <c r="L14" s="78"/>
      <c r="P14" s="251"/>
    </row>
    <row r="15" spans="2:16" x14ac:dyDescent="0.25">
      <c r="B15" s="73"/>
      <c r="C15" s="70"/>
      <c r="D15" s="70"/>
      <c r="E15" s="70"/>
      <c r="F15" s="74"/>
      <c r="G15" s="74"/>
      <c r="H15" s="74"/>
      <c r="I15" s="79"/>
      <c r="J15" s="79"/>
      <c r="K15" s="70"/>
      <c r="L15" s="70"/>
    </row>
    <row r="16" spans="2:16" x14ac:dyDescent="0.25">
      <c r="G16" s="80" t="s">
        <v>297</v>
      </c>
      <c r="H16" s="80"/>
      <c r="I16" s="81">
        <f>AVERAGE(I10:I14)</f>
        <v>0.21227156122117335</v>
      </c>
      <c r="J16" s="81">
        <f t="shared" ref="J16:L16" si="3">AVERAGE(J10:J14)</f>
        <v>0.15264386264731811</v>
      </c>
      <c r="K16" s="82">
        <f t="shared" si="3"/>
        <v>0.60856090271063334</v>
      </c>
      <c r="L16" s="82">
        <f t="shared" si="3"/>
        <v>0.54419123681917014</v>
      </c>
    </row>
    <row r="17" spans="2:14" x14ac:dyDescent="0.25">
      <c r="G17" s="83" t="s">
        <v>298</v>
      </c>
      <c r="H17" s="83"/>
      <c r="I17" s="84">
        <f>MEDIAN(I10:I14)</f>
        <v>0.14820316927499844</v>
      </c>
      <c r="J17" s="84">
        <f t="shared" ref="J17:L17" si="4">MEDIAN(J10:J14)</f>
        <v>0.12731160024791957</v>
      </c>
      <c r="K17" s="85">
        <f t="shared" si="4"/>
        <v>0.59036067928575453</v>
      </c>
      <c r="L17" s="85">
        <f t="shared" si="4"/>
        <v>0.53693986129133719</v>
      </c>
    </row>
    <row r="19" spans="2:14" x14ac:dyDescent="0.25">
      <c r="D19" s="59" t="s">
        <v>37</v>
      </c>
    </row>
    <row r="21" spans="2:14" x14ac:dyDescent="0.25">
      <c r="B21" s="86" t="s">
        <v>299</v>
      </c>
      <c r="C21" s="83"/>
      <c r="D21" s="83"/>
      <c r="E21" s="83"/>
      <c r="F21" s="83"/>
      <c r="H21" s="86" t="s">
        <v>300</v>
      </c>
      <c r="I21" s="83"/>
      <c r="J21" s="83"/>
      <c r="K21" s="83"/>
      <c r="L21" s="83"/>
      <c r="M21" s="87"/>
    </row>
    <row r="22" spans="2:14" x14ac:dyDescent="0.25">
      <c r="H22" s="59" t="s">
        <v>301</v>
      </c>
      <c r="L22" s="65">
        <f>L33</f>
        <v>0.60464740429093222</v>
      </c>
    </row>
    <row r="23" spans="2:14" x14ac:dyDescent="0.25">
      <c r="B23" s="88" t="s">
        <v>302</v>
      </c>
      <c r="C23" s="89"/>
      <c r="D23" s="89"/>
      <c r="F23" s="60">
        <f>'Cost of Debt'!D15</f>
        <v>5.6275945255483198E-2</v>
      </c>
      <c r="H23" s="59" t="s">
        <v>303</v>
      </c>
      <c r="L23" s="60">
        <f>RM!F6</f>
        <v>4.2750000000000003E-2</v>
      </c>
    </row>
    <row r="24" spans="2:14" x14ac:dyDescent="0.25">
      <c r="B24" s="59" t="s">
        <v>304</v>
      </c>
      <c r="F24" s="90">
        <f>RM!Q24</f>
        <v>0</v>
      </c>
      <c r="H24" s="59" t="s">
        <v>305</v>
      </c>
      <c r="L24" s="60">
        <f>RM!F9</f>
        <v>3.0333565739857189E-2</v>
      </c>
    </row>
    <row r="25" spans="2:14" x14ac:dyDescent="0.25">
      <c r="B25" s="91" t="s">
        <v>299</v>
      </c>
      <c r="C25" s="80"/>
      <c r="D25" s="80"/>
      <c r="E25" s="80"/>
      <c r="F25" s="81">
        <f>F23*(1-F24)</f>
        <v>5.6275945255483198E-2</v>
      </c>
      <c r="H25" s="91" t="s">
        <v>300</v>
      </c>
      <c r="I25" s="80"/>
      <c r="J25" s="80"/>
      <c r="K25" s="80"/>
      <c r="L25" s="92">
        <f>L23+(L24)*L22</f>
        <v>6.1091111787493005E-2</v>
      </c>
      <c r="M25" s="93"/>
    </row>
    <row r="26" spans="2:14" x14ac:dyDescent="0.25">
      <c r="B26" s="67"/>
      <c r="H26" s="67"/>
    </row>
    <row r="28" spans="2:14" x14ac:dyDescent="0.25">
      <c r="B28" s="86" t="s">
        <v>306</v>
      </c>
      <c r="C28" s="83"/>
      <c r="D28" s="83"/>
      <c r="E28" s="83"/>
      <c r="F28" s="83"/>
      <c r="H28" s="86" t="s">
        <v>307</v>
      </c>
      <c r="I28" s="83"/>
      <c r="J28" s="83"/>
      <c r="K28" s="83"/>
      <c r="L28" s="83"/>
      <c r="M28" s="87"/>
      <c r="N28" s="252"/>
    </row>
    <row r="29" spans="2:14" x14ac:dyDescent="0.25">
      <c r="B29" s="80"/>
      <c r="C29" s="80"/>
      <c r="D29" s="80"/>
      <c r="E29" s="91" t="s">
        <v>308</v>
      </c>
      <c r="F29" s="94" t="s">
        <v>309</v>
      </c>
    </row>
    <row r="30" spans="2:14" x14ac:dyDescent="0.25">
      <c r="B30" s="59" t="s">
        <v>292</v>
      </c>
      <c r="D30" s="74">
        <f>F10</f>
        <v>26985.333333333332</v>
      </c>
      <c r="E30" s="95">
        <f>D30/D32</f>
        <v>8.8093991880066114E-2</v>
      </c>
      <c r="F30" s="96">
        <f>J16</f>
        <v>0.15264386264731811</v>
      </c>
      <c r="H30" s="59" t="s">
        <v>310</v>
      </c>
      <c r="L30" s="97">
        <f>L17</f>
        <v>0.53693986129133719</v>
      </c>
    </row>
    <row r="31" spans="2:14" x14ac:dyDescent="0.25">
      <c r="B31" s="59" t="s">
        <v>311</v>
      </c>
      <c r="D31" s="74">
        <f>G10</f>
        <v>279339</v>
      </c>
      <c r="E31" s="98">
        <f>D31/D32</f>
        <v>0.91190600811993394</v>
      </c>
      <c r="F31" s="98">
        <f>F32-F30</f>
        <v>0.84735613735268189</v>
      </c>
      <c r="H31" s="59" t="s">
        <v>312</v>
      </c>
      <c r="L31" s="60">
        <f>F34</f>
        <v>0.18014133127566587</v>
      </c>
    </row>
    <row r="32" spans="2:14" x14ac:dyDescent="0.25">
      <c r="B32" s="91" t="s">
        <v>313</v>
      </c>
      <c r="C32" s="80"/>
      <c r="D32" s="99">
        <f>SUM(D30:D31)</f>
        <v>306324.33333333331</v>
      </c>
      <c r="E32" s="92">
        <f>SUM(E30:E31)</f>
        <v>1</v>
      </c>
      <c r="F32" s="100">
        <f>E32</f>
        <v>1</v>
      </c>
      <c r="H32" s="59" t="s">
        <v>271</v>
      </c>
      <c r="L32" s="60">
        <f>H10</f>
        <v>0.3</v>
      </c>
      <c r="M32" s="101"/>
    </row>
    <row r="33" spans="2:13" x14ac:dyDescent="0.25">
      <c r="H33" s="91" t="s">
        <v>314</v>
      </c>
      <c r="I33" s="80"/>
      <c r="J33" s="80"/>
      <c r="K33" s="80"/>
      <c r="L33" s="102">
        <f>L30*(1+(1-L32)*L31)</f>
        <v>0.60464740429093222</v>
      </c>
      <c r="M33" s="103"/>
    </row>
    <row r="34" spans="2:13" x14ac:dyDescent="0.25">
      <c r="B34" s="59" t="s">
        <v>315</v>
      </c>
      <c r="E34" s="104">
        <f>E30/E31</f>
        <v>9.6604245498599667E-2</v>
      </c>
      <c r="F34" s="105">
        <f>F30/F31</f>
        <v>0.18014133127566587</v>
      </c>
    </row>
    <row r="36" spans="2:13" x14ac:dyDescent="0.25">
      <c r="B36" s="106"/>
      <c r="H36" s="86" t="s">
        <v>316</v>
      </c>
      <c r="I36" s="83"/>
      <c r="J36" s="83"/>
      <c r="K36" s="83"/>
      <c r="L36" s="83"/>
      <c r="M36" s="87"/>
    </row>
    <row r="37" spans="2:13" x14ac:dyDescent="0.25">
      <c r="B37" s="107" t="s">
        <v>317</v>
      </c>
    </row>
    <row r="38" spans="2:13" x14ac:dyDescent="0.25">
      <c r="H38" s="59" t="s">
        <v>318</v>
      </c>
      <c r="L38" s="60">
        <f>L25</f>
        <v>6.1091111787493005E-2</v>
      </c>
    </row>
    <row r="39" spans="2:13" x14ac:dyDescent="0.25">
      <c r="H39" s="59" t="s">
        <v>319</v>
      </c>
      <c r="L39" s="60">
        <f>F31</f>
        <v>0.84735613735268189</v>
      </c>
    </row>
    <row r="41" spans="2:13" x14ac:dyDescent="0.25">
      <c r="H41" s="59" t="s">
        <v>320</v>
      </c>
      <c r="L41" s="60">
        <f>F25</f>
        <v>5.6275945255483198E-2</v>
      </c>
    </row>
    <row r="42" spans="2:13" x14ac:dyDescent="0.25">
      <c r="H42" s="59" t="s">
        <v>321</v>
      </c>
      <c r="L42" s="60">
        <f>F30</f>
        <v>0.15264386264731811</v>
      </c>
    </row>
    <row r="43" spans="2:13" x14ac:dyDescent="0.25">
      <c r="H43" s="80" t="s">
        <v>273</v>
      </c>
      <c r="I43" s="80"/>
      <c r="J43" s="80"/>
      <c r="K43" s="80"/>
      <c r="L43" s="92">
        <f>(L38*L39)+(L41*L42)</f>
        <v>6.0356106168756932E-2</v>
      </c>
      <c r="M43" s="93"/>
    </row>
  </sheetData>
  <mergeCells count="1">
    <mergeCell ref="E2:G2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0BB3-0EB6-44CA-A45F-2E602AFAB373}">
  <dimension ref="B3:N46"/>
  <sheetViews>
    <sheetView showGridLines="0" workbookViewId="0">
      <selection activeCell="J12" sqref="J1:N1048576"/>
    </sheetView>
  </sheetViews>
  <sheetFormatPr defaultRowHeight="15" x14ac:dyDescent="0.25"/>
  <cols>
    <col min="1" max="1" width="2.28515625" customWidth="1"/>
    <col min="2" max="2" width="52.7109375" bestFit="1" customWidth="1"/>
    <col min="4" max="4" width="4.5703125" bestFit="1" customWidth="1"/>
    <col min="5" max="9" width="12.7109375" bestFit="1" customWidth="1"/>
    <col min="10" max="10" width="9.140625" style="210"/>
    <col min="11" max="11" width="34.28515625" style="210" bestFit="1" customWidth="1"/>
    <col min="12" max="12" width="17.5703125" style="210" bestFit="1" customWidth="1"/>
    <col min="13" max="13" width="9.140625" style="210"/>
    <col min="14" max="14" width="1.7109375" style="210" bestFit="1" customWidth="1"/>
  </cols>
  <sheetData>
    <row r="3" spans="2:11" ht="18.75" x14ac:dyDescent="0.3">
      <c r="C3" s="261" t="s">
        <v>262</v>
      </c>
      <c r="D3" s="261"/>
      <c r="E3" s="261"/>
    </row>
    <row r="5" spans="2:11" ht="15.75" x14ac:dyDescent="0.25">
      <c r="B5" s="178"/>
      <c r="C5" s="178"/>
      <c r="D5" s="178"/>
      <c r="E5" s="275" t="s">
        <v>5</v>
      </c>
      <c r="F5" s="275"/>
      <c r="G5" s="275"/>
      <c r="H5" s="275"/>
      <c r="I5" s="179"/>
    </row>
    <row r="6" spans="2:11" ht="15.75" x14ac:dyDescent="0.25">
      <c r="B6" s="178" t="s">
        <v>2</v>
      </c>
      <c r="C6" s="178"/>
      <c r="D6" s="178" t="s">
        <v>3</v>
      </c>
      <c r="E6" s="179">
        <f>'debt schedule'!E5</f>
        <v>2024</v>
      </c>
      <c r="F6" s="179">
        <f>E6+1</f>
        <v>2025</v>
      </c>
      <c r="G6" s="179">
        <f t="shared" ref="G6:I6" si="0">F6+1</f>
        <v>2026</v>
      </c>
      <c r="H6" s="180">
        <f t="shared" si="0"/>
        <v>2027</v>
      </c>
      <c r="I6" s="179">
        <f t="shared" si="0"/>
        <v>2028</v>
      </c>
    </row>
    <row r="8" spans="2:11" ht="15.75" x14ac:dyDescent="0.25">
      <c r="B8" s="40" t="s">
        <v>231</v>
      </c>
    </row>
    <row r="9" spans="2:11" x14ac:dyDescent="0.25">
      <c r="B9" t="s">
        <v>232</v>
      </c>
      <c r="E9">
        <f>'P&amp;L'!I40</f>
        <v>12290.889009603663</v>
      </c>
      <c r="F9">
        <f>'P&amp;L'!J40</f>
        <v>13613.348444433055</v>
      </c>
      <c r="G9">
        <f>'P&amp;L'!K40</f>
        <v>14889.177852389605</v>
      </c>
      <c r="H9">
        <f>'P&amp;L'!L40</f>
        <v>16301.30174845175</v>
      </c>
      <c r="I9">
        <f>'P&amp;L'!M40</f>
        <v>17893.549897326891</v>
      </c>
      <c r="K9" s="210" t="s">
        <v>244</v>
      </c>
    </row>
    <row r="10" spans="2:11" x14ac:dyDescent="0.25">
      <c r="B10" t="s">
        <v>233</v>
      </c>
    </row>
    <row r="11" spans="2:11" x14ac:dyDescent="0.25">
      <c r="B11" t="s">
        <v>234</v>
      </c>
      <c r="E11" s="28">
        <f>'P&amp;L'!I60</f>
        <v>1136.7508802931243</v>
      </c>
      <c r="F11" s="28">
        <f>'P&amp;L'!J60</f>
        <v>1189.2311556349412</v>
      </c>
      <c r="G11" s="28">
        <f>'P&amp;L'!K60</f>
        <v>1237.7159918680441</v>
      </c>
      <c r="H11" s="28">
        <f>'P&amp;L'!L60</f>
        <v>1298.4279361947151</v>
      </c>
      <c r="I11" s="28">
        <f>'P&amp;L'!M60</f>
        <v>1355.2283699909331</v>
      </c>
      <c r="K11" s="210" t="s">
        <v>245</v>
      </c>
    </row>
    <row r="12" spans="2:11" x14ac:dyDescent="0.25">
      <c r="B12" t="s">
        <v>43</v>
      </c>
      <c r="E12" s="28">
        <f>'P&amp;L'!I28</f>
        <v>1544.8872049332999</v>
      </c>
      <c r="F12" s="28">
        <f>'P&amp;L'!J28</f>
        <v>1607.6176727511834</v>
      </c>
      <c r="G12" s="28">
        <f>'P&amp;L'!K28</f>
        <v>1672.0969979009824</v>
      </c>
      <c r="H12" s="28">
        <f>'P&amp;L'!L28</f>
        <v>1726.1013021328879</v>
      </c>
      <c r="I12" s="28">
        <f>'P&amp;L'!M28</f>
        <v>1773.1911875168687</v>
      </c>
    </row>
    <row r="13" spans="2:11" x14ac:dyDescent="0.25">
      <c r="B13" t="s">
        <v>54</v>
      </c>
      <c r="E13">
        <f>-'P&amp;L'!I25</f>
        <v>0</v>
      </c>
      <c r="F13">
        <f>-'P&amp;L'!J25</f>
        <v>0</v>
      </c>
      <c r="G13">
        <f>-'P&amp;L'!K25</f>
        <v>0</v>
      </c>
      <c r="H13">
        <f>-'P&amp;L'!L25</f>
        <v>0</v>
      </c>
      <c r="I13">
        <f>-'P&amp;L'!M25</f>
        <v>0</v>
      </c>
      <c r="K13" s="210" t="s">
        <v>63</v>
      </c>
    </row>
    <row r="14" spans="2:11" x14ac:dyDescent="0.25">
      <c r="B14" t="s">
        <v>235</v>
      </c>
      <c r="E14" s="233">
        <f>-'P&amp;L'!I31</f>
        <v>-1888.8184453448819</v>
      </c>
      <c r="F14" s="233">
        <f>-'P&amp;L'!J31</f>
        <v>-2073.2449389133544</v>
      </c>
      <c r="G14" s="233">
        <f>-'P&amp;L'!K31</f>
        <v>-2328.4013985291108</v>
      </c>
      <c r="H14" s="233">
        <f>-'P&amp;L'!L31</f>
        <v>-2495.3498242100818</v>
      </c>
      <c r="I14" s="233">
        <f>-'P&amp;L'!M31</f>
        <v>-2726.5187249328337</v>
      </c>
      <c r="K14" s="210" t="s">
        <v>63</v>
      </c>
    </row>
    <row r="15" spans="2:11" x14ac:dyDescent="0.25">
      <c r="B15" t="s">
        <v>236</v>
      </c>
      <c r="E15" s="233">
        <f>-'P&amp;L'!I34</f>
        <v>-82.75</v>
      </c>
      <c r="F15" s="233">
        <f>-'P&amp;L'!J34</f>
        <v>-74.1875</v>
      </c>
      <c r="G15" s="233">
        <f>-'P&amp;L'!K34</f>
        <v>-0.484375</v>
      </c>
      <c r="H15" s="233">
        <f>-'P&amp;L'!L34</f>
        <v>-4.85546875</v>
      </c>
      <c r="I15" s="233">
        <f>-'P&amp;L'!M34</f>
        <v>-40.5693359375</v>
      </c>
      <c r="K15" s="210" t="s">
        <v>63</v>
      </c>
    </row>
    <row r="16" spans="2:11" x14ac:dyDescent="0.25">
      <c r="B16" s="27" t="s">
        <v>237</v>
      </c>
      <c r="C16" s="27"/>
      <c r="D16" s="27"/>
      <c r="E16" s="55">
        <f>SUM(E9:E15)</f>
        <v>13000.958649485206</v>
      </c>
      <c r="F16" s="55">
        <f t="shared" ref="F16:I16" si="1">SUM(F9:F15)</f>
        <v>14262.764833905825</v>
      </c>
      <c r="G16" s="55">
        <f t="shared" si="1"/>
        <v>15470.105068629518</v>
      </c>
      <c r="H16" s="55">
        <f t="shared" si="1"/>
        <v>16825.625693819267</v>
      </c>
      <c r="I16" s="55">
        <f t="shared" si="1"/>
        <v>18254.881393964359</v>
      </c>
    </row>
    <row r="17" spans="2:14" x14ac:dyDescent="0.25">
      <c r="B17" s="3"/>
      <c r="C17" s="3"/>
      <c r="D17" s="3"/>
      <c r="E17" s="3"/>
      <c r="F17" s="3"/>
      <c r="G17" s="3"/>
      <c r="H17" s="3"/>
      <c r="I17" s="3"/>
    </row>
    <row r="18" spans="2:14" ht="15.75" x14ac:dyDescent="0.25">
      <c r="B18" s="40" t="s">
        <v>246</v>
      </c>
      <c r="C18" s="3"/>
      <c r="D18" s="3"/>
      <c r="E18" s="3"/>
      <c r="F18" s="3"/>
      <c r="G18" s="3"/>
      <c r="H18" s="3"/>
      <c r="I18" s="3"/>
    </row>
    <row r="19" spans="2:14" x14ac:dyDescent="0.25">
      <c r="B19" t="s">
        <v>238</v>
      </c>
      <c r="E19" s="233">
        <f>-(BS!I14-BS!H14)</f>
        <v>-89.492111791067146</v>
      </c>
      <c r="F19" s="233">
        <f>-(BS!J14-BS!I14)</f>
        <v>-64.573555186663725</v>
      </c>
      <c r="G19" s="233">
        <f>-(BS!K14-BS!J14)</f>
        <v>-31.239326626292495</v>
      </c>
      <c r="H19" s="233">
        <f>-(BS!L14-BS!K14)</f>
        <v>8.1841860495551373</v>
      </c>
      <c r="I19" s="233">
        <f>-(BS!M14-BS!L14)</f>
        <v>40.82965022320559</v>
      </c>
      <c r="K19" s="210" t="s">
        <v>214</v>
      </c>
      <c r="L19" s="210" t="s">
        <v>247</v>
      </c>
      <c r="N19" s="210" t="s">
        <v>63</v>
      </c>
    </row>
    <row r="20" spans="2:14" x14ac:dyDescent="0.25">
      <c r="B20" t="s">
        <v>239</v>
      </c>
      <c r="E20" s="233">
        <f>-(BS!I15-BS!H15)</f>
        <v>-433.92189766791307</v>
      </c>
      <c r="F20" s="233">
        <f>-(BS!J15-BS!I15)</f>
        <v>-502.38789718001408</v>
      </c>
      <c r="G20" s="233">
        <f>-(BS!K15-BS!J15)</f>
        <v>-481.11053244862705</v>
      </c>
      <c r="H20" s="233">
        <f>-(BS!L15-BS!K15)</f>
        <v>-534.17026307387459</v>
      </c>
      <c r="I20" s="233">
        <f>-(BS!M15-BS!L15)</f>
        <v>-575.40326642208402</v>
      </c>
      <c r="K20" s="210" t="s">
        <v>248</v>
      </c>
    </row>
    <row r="21" spans="2:14" x14ac:dyDescent="0.25">
      <c r="B21" t="s">
        <v>249</v>
      </c>
      <c r="E21" s="233">
        <f>-(BS!I16-BS!H16)</f>
        <v>-542.01588834398081</v>
      </c>
      <c r="F21" s="233">
        <f>-(BS!J16-BS!I16)</f>
        <v>-560.50040379324037</v>
      </c>
      <c r="G21" s="233">
        <f>-(BS!K16-BS!J16)</f>
        <v>-595.2824286256855</v>
      </c>
      <c r="H21" s="233">
        <f>-(BS!L16-BS!K16)</f>
        <v>-629.32202344720281</v>
      </c>
      <c r="I21" s="233">
        <f>-(BS!M16-BS!L16)</f>
        <v>-675.3474498792566</v>
      </c>
    </row>
    <row r="22" spans="2:14" x14ac:dyDescent="0.25">
      <c r="B22" t="s">
        <v>240</v>
      </c>
      <c r="E22" s="233">
        <f>BS!I31-BS!H31</f>
        <v>1606.7305580713364</v>
      </c>
      <c r="F22" s="233">
        <f>BS!J31-BS!I31</f>
        <v>1767.5620882993135</v>
      </c>
      <c r="G22" s="233">
        <f>BS!K31-BS!J31</f>
        <v>1692.7014806906809</v>
      </c>
      <c r="H22" s="233">
        <f>BS!L31-BS!K31</f>
        <v>1879.3826662745705</v>
      </c>
      <c r="I22" s="233">
        <f>BS!M31-BS!L31</f>
        <v>2024.453624221831</v>
      </c>
      <c r="K22" s="210" t="s">
        <v>250</v>
      </c>
    </row>
    <row r="23" spans="2:14" x14ac:dyDescent="0.25">
      <c r="B23" t="s">
        <v>241</v>
      </c>
      <c r="E23" s="233">
        <f>BS!I34-BS!H34</f>
        <v>-396.48703375222476</v>
      </c>
      <c r="F23" s="233">
        <f>BS!J34-BS!I34</f>
        <v>111.37234266983364</v>
      </c>
      <c r="G23" s="233">
        <f>BS!K34-BS!J34</f>
        <v>159.65803034888813</v>
      </c>
      <c r="H23" s="233">
        <f>BS!L34-BS!K34</f>
        <v>114.065257064158</v>
      </c>
      <c r="I23" s="233">
        <f>BS!M34-BS!L34</f>
        <v>153.06161912275616</v>
      </c>
      <c r="K23" s="210" t="s">
        <v>250</v>
      </c>
    </row>
    <row r="24" spans="2:14" x14ac:dyDescent="0.25">
      <c r="B24" s="27" t="s">
        <v>242</v>
      </c>
      <c r="C24" s="26"/>
      <c r="D24" s="26"/>
      <c r="E24" s="55">
        <f>SUM(E16:E23)</f>
        <v>13145.772276001358</v>
      </c>
      <c r="F24" s="55">
        <f t="shared" ref="F24:I24" si="2">SUM(F16:F23)</f>
        <v>15014.237408715053</v>
      </c>
      <c r="G24" s="55">
        <f t="shared" si="2"/>
        <v>16214.832291968482</v>
      </c>
      <c r="H24" s="55">
        <f t="shared" si="2"/>
        <v>17663.765516686475</v>
      </c>
      <c r="I24" s="55">
        <f t="shared" si="2"/>
        <v>19222.475571230811</v>
      </c>
    </row>
    <row r="25" spans="2:14" x14ac:dyDescent="0.25">
      <c r="B25" s="3"/>
      <c r="E25" s="56"/>
      <c r="F25" s="56"/>
      <c r="G25" s="56"/>
      <c r="H25" s="56"/>
      <c r="I25" s="56"/>
    </row>
    <row r="26" spans="2:14" ht="15.75" x14ac:dyDescent="0.25">
      <c r="B26" s="40" t="s">
        <v>15</v>
      </c>
    </row>
    <row r="28" spans="2:14" x14ac:dyDescent="0.25">
      <c r="B28" t="s">
        <v>251</v>
      </c>
      <c r="E28" s="233">
        <f>-CapEx!I9</f>
        <v>-1047.7416582845872</v>
      </c>
      <c r="F28" s="233">
        <f>-CapEx!J9</f>
        <v>-1079.1170975324349</v>
      </c>
      <c r="G28" s="233">
        <f>-CapEx!K9</f>
        <v>-1097.3422793606842</v>
      </c>
      <c r="H28" s="233">
        <f>-CapEx!L9</f>
        <v>-1101.4625734472356</v>
      </c>
      <c r="I28" s="233">
        <f>-CapEx!M9</f>
        <v>-1175.637732595631</v>
      </c>
      <c r="K28" s="210" t="s">
        <v>253</v>
      </c>
      <c r="L28" s="210" t="s">
        <v>254</v>
      </c>
    </row>
    <row r="29" spans="2:14" x14ac:dyDescent="0.25">
      <c r="B29" t="s">
        <v>252</v>
      </c>
      <c r="E29">
        <f>CapEx!I27</f>
        <v>0</v>
      </c>
      <c r="F29">
        <f>CapEx!J27</f>
        <v>0</v>
      </c>
      <c r="G29">
        <f>CapEx!K27</f>
        <v>0</v>
      </c>
      <c r="H29">
        <f>CapEx!L27</f>
        <v>0</v>
      </c>
      <c r="I29">
        <f>CapEx!M27</f>
        <v>0</v>
      </c>
    </row>
    <row r="30" spans="2:14" x14ac:dyDescent="0.25">
      <c r="B30" t="s">
        <v>243</v>
      </c>
      <c r="E30">
        <f>E13</f>
        <v>0</v>
      </c>
      <c r="F30">
        <f t="shared" ref="F30:I30" si="3">-F13</f>
        <v>0</v>
      </c>
      <c r="G30">
        <f t="shared" si="3"/>
        <v>0</v>
      </c>
      <c r="H30">
        <f t="shared" si="3"/>
        <v>0</v>
      </c>
      <c r="I30">
        <f t="shared" si="3"/>
        <v>0</v>
      </c>
    </row>
    <row r="31" spans="2:14" x14ac:dyDescent="0.25">
      <c r="B31" t="s">
        <v>235</v>
      </c>
      <c r="E31" s="28">
        <f>-E14</f>
        <v>1888.8184453448819</v>
      </c>
      <c r="F31" s="28">
        <f t="shared" ref="F31:I31" si="4">-F14</f>
        <v>2073.2449389133544</v>
      </c>
      <c r="G31" s="28">
        <f t="shared" si="4"/>
        <v>2328.4013985291108</v>
      </c>
      <c r="H31" s="28">
        <f t="shared" si="4"/>
        <v>2495.3498242100818</v>
      </c>
      <c r="I31" s="28">
        <f t="shared" si="4"/>
        <v>2726.5187249328337</v>
      </c>
      <c r="K31" s="210" t="s">
        <v>255</v>
      </c>
    </row>
    <row r="32" spans="2:14" x14ac:dyDescent="0.25">
      <c r="B32" t="s">
        <v>236</v>
      </c>
      <c r="E32" s="57">
        <f>-E15</f>
        <v>82.75</v>
      </c>
      <c r="F32" s="57">
        <f t="shared" ref="F32:I32" si="5">-F15</f>
        <v>74.1875</v>
      </c>
      <c r="G32" s="57">
        <f t="shared" si="5"/>
        <v>0.484375</v>
      </c>
      <c r="H32" s="57">
        <f t="shared" si="5"/>
        <v>4.85546875</v>
      </c>
      <c r="I32" s="57">
        <f t="shared" si="5"/>
        <v>40.5693359375</v>
      </c>
    </row>
    <row r="33" spans="2:11" x14ac:dyDescent="0.25">
      <c r="B33" s="27" t="s">
        <v>256</v>
      </c>
      <c r="C33" s="27"/>
      <c r="D33" s="27"/>
      <c r="E33" s="55">
        <f>SUM(E28:E32)</f>
        <v>923.82678706029469</v>
      </c>
      <c r="F33" s="55">
        <f t="shared" ref="F33:I33" si="6">SUM(F28:F32)</f>
        <v>1068.3153413809196</v>
      </c>
      <c r="G33" s="55">
        <f t="shared" si="6"/>
        <v>1231.5434941684266</v>
      </c>
      <c r="H33" s="55">
        <f t="shared" si="6"/>
        <v>1398.7427195128462</v>
      </c>
      <c r="I33" s="55">
        <f t="shared" si="6"/>
        <v>1591.4503282747028</v>
      </c>
    </row>
    <row r="35" spans="2:11" ht="15.75" x14ac:dyDescent="0.25">
      <c r="B35" s="40" t="s">
        <v>257</v>
      </c>
    </row>
    <row r="36" spans="2:11" x14ac:dyDescent="0.25">
      <c r="E36" s="233"/>
      <c r="F36" s="233"/>
      <c r="G36" s="233"/>
      <c r="H36" s="233"/>
      <c r="I36" s="233"/>
    </row>
    <row r="37" spans="2:11" x14ac:dyDescent="0.25">
      <c r="B37" t="s">
        <v>258</v>
      </c>
      <c r="E37" s="233">
        <f>('debt schedule'!E9-'debt schedule'!E21)</f>
        <v>3182.1115583322571</v>
      </c>
      <c r="F37" s="233">
        <f>('debt schedule'!F9-'debt schedule'!F21)</f>
        <v>2573.3958091522909</v>
      </c>
      <c r="G37" s="233">
        <f>('debt schedule'!G9-'debt schedule'!G21)</f>
        <v>3108.0957444641836</v>
      </c>
      <c r="H37" s="233">
        <f>('debt schedule'!H9-'debt schedule'!H21)</f>
        <v>5664.278101929719</v>
      </c>
      <c r="I37" s="233">
        <f>('debt schedule'!I9-'debt schedule'!I21)</f>
        <v>3767.678735514025</v>
      </c>
    </row>
    <row r="38" spans="2:11" x14ac:dyDescent="0.25">
      <c r="B38" t="s">
        <v>259</v>
      </c>
      <c r="E38" s="233">
        <f>(-'debt schedule'!E10-'debt schedule'!E22)</f>
        <v>-1960</v>
      </c>
      <c r="F38" s="233">
        <f>(-'debt schedule'!F10-'debt schedule'!F22)</f>
        <v>-1070</v>
      </c>
      <c r="G38" s="233">
        <f>(-'debt schedule'!G10-'debt schedule'!G22)</f>
        <v>-1810</v>
      </c>
      <c r="H38" s="233">
        <f>(-'debt schedule'!H10-'debt schedule'!H22)</f>
        <v>-4616</v>
      </c>
      <c r="I38" s="233">
        <f>(-'debt schedule'!I10-'debt schedule'!I22)</f>
        <v>-2770</v>
      </c>
    </row>
    <row r="39" spans="2:11" x14ac:dyDescent="0.25">
      <c r="B39" t="s">
        <v>260</v>
      </c>
      <c r="E39" s="233">
        <f>-E12</f>
        <v>-1544.8872049332999</v>
      </c>
      <c r="F39" s="233">
        <f t="shared" ref="F39:I39" si="7">-F12</f>
        <v>-1607.6176727511834</v>
      </c>
      <c r="G39" s="233">
        <f t="shared" si="7"/>
        <v>-1672.0969979009824</v>
      </c>
      <c r="H39" s="233">
        <f t="shared" si="7"/>
        <v>-1726.1013021328879</v>
      </c>
      <c r="I39" s="233">
        <f t="shared" si="7"/>
        <v>-1773.1911875168687</v>
      </c>
      <c r="K39" s="210" t="s">
        <v>253</v>
      </c>
    </row>
    <row r="40" spans="2:11" x14ac:dyDescent="0.25">
      <c r="B40" t="s">
        <v>261</v>
      </c>
      <c r="E40" s="233">
        <f>-'P&amp;L'!I62</f>
        <v>-8821.9230995959551</v>
      </c>
      <c r="F40" s="233">
        <f>-'P&amp;L'!J62</f>
        <v>-9616.312859727208</v>
      </c>
      <c r="G40" s="233">
        <f>-'P&amp;L'!K62</f>
        <v>-10468.962811610003</v>
      </c>
      <c r="H40" s="233">
        <f>-'P&amp;L'!L62</f>
        <v>-11559.245167251162</v>
      </c>
      <c r="I40" s="233">
        <f>-'P&amp;L'!M62</f>
        <v>-12636.761498939331</v>
      </c>
      <c r="K40" s="210" t="s">
        <v>253</v>
      </c>
    </row>
    <row r="41" spans="2:11" x14ac:dyDescent="0.25">
      <c r="B41" s="27" t="s">
        <v>264</v>
      </c>
      <c r="C41" s="27"/>
      <c r="D41" s="27"/>
      <c r="E41" s="55">
        <f>SUM(E37:E40)</f>
        <v>-9144.6987461969984</v>
      </c>
      <c r="F41" s="55">
        <f t="shared" ref="F41:I41" si="8">SUM(F37:F40)</f>
        <v>-9720.5347233261</v>
      </c>
      <c r="G41" s="55">
        <f t="shared" si="8"/>
        <v>-10842.964065046803</v>
      </c>
      <c r="H41" s="55">
        <f t="shared" si="8"/>
        <v>-12237.068367454331</v>
      </c>
      <c r="I41" s="55">
        <f t="shared" si="8"/>
        <v>-13412.273950942175</v>
      </c>
    </row>
    <row r="43" spans="2:11" x14ac:dyDescent="0.25">
      <c r="B43" t="s">
        <v>266</v>
      </c>
      <c r="E43" s="28">
        <f>SUM(E41,E33,E24)</f>
        <v>4924.9003168646541</v>
      </c>
      <c r="F43" s="28">
        <f t="shared" ref="F43:I43" si="9">SUM(F41,F33,F24)</f>
        <v>6362.0180267698724</v>
      </c>
      <c r="G43" s="28">
        <f t="shared" si="9"/>
        <v>6603.4117210901059</v>
      </c>
      <c r="H43" s="28">
        <f t="shared" si="9"/>
        <v>6825.4398687449902</v>
      </c>
      <c r="I43" s="28">
        <f t="shared" si="9"/>
        <v>7401.651948563338</v>
      </c>
    </row>
    <row r="44" spans="2:11" x14ac:dyDescent="0.25">
      <c r="B44" s="3"/>
    </row>
    <row r="45" spans="2:11" x14ac:dyDescent="0.25">
      <c r="B45" t="s">
        <v>267</v>
      </c>
      <c r="E45">
        <f>BS!H9</f>
        <v>9366</v>
      </c>
      <c r="F45" s="28">
        <f>E46</f>
        <v>14290.900316864654</v>
      </c>
      <c r="G45" s="28">
        <f t="shared" ref="G45:I45" si="10">F46</f>
        <v>20652.918343634527</v>
      </c>
      <c r="H45" s="28">
        <f t="shared" si="10"/>
        <v>27256.330064724632</v>
      </c>
      <c r="I45" s="28">
        <f t="shared" si="10"/>
        <v>34081.769933469623</v>
      </c>
      <c r="K45" s="210" t="s">
        <v>269</v>
      </c>
    </row>
    <row r="46" spans="2:11" x14ac:dyDescent="0.25">
      <c r="B46" s="3" t="s">
        <v>268</v>
      </c>
      <c r="E46" s="56">
        <f>SUM(E43:E45)</f>
        <v>14290.900316864654</v>
      </c>
      <c r="F46" s="56">
        <f t="shared" ref="F46:I46" si="11">SUM(F43:F45)</f>
        <v>20652.918343634527</v>
      </c>
      <c r="G46" s="56">
        <f t="shared" si="11"/>
        <v>27256.330064724632</v>
      </c>
      <c r="H46" s="56">
        <f t="shared" si="11"/>
        <v>34081.769933469623</v>
      </c>
      <c r="I46" s="56">
        <f t="shared" si="11"/>
        <v>41483.421882032962</v>
      </c>
    </row>
  </sheetData>
  <mergeCells count="2">
    <mergeCell ref="E5:H5"/>
    <mergeCell ref="C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EBE2-82C4-40D1-ABE8-D7AF317E7B0D}">
  <dimension ref="B2:AG504"/>
  <sheetViews>
    <sheetView showGridLines="0" zoomScale="115" zoomScaleNormal="115" workbookViewId="0">
      <selection activeCell="F7" sqref="F7"/>
    </sheetView>
  </sheetViews>
  <sheetFormatPr defaultRowHeight="15" x14ac:dyDescent="0.25"/>
  <cols>
    <col min="1" max="1" width="2.28515625" style="59" customWidth="1"/>
    <col min="2" max="2" width="10.7109375" style="59" bestFit="1" customWidth="1"/>
    <col min="3" max="3" width="13.42578125" style="59" bestFit="1" customWidth="1"/>
    <col min="4" max="4" width="15.140625" style="59" bestFit="1" customWidth="1"/>
    <col min="5" max="5" width="2.7109375" style="64" customWidth="1"/>
    <col min="6" max="6" width="13.42578125" style="59" bestFit="1" customWidth="1"/>
    <col min="7" max="7" width="15.85546875" style="59" bestFit="1" customWidth="1"/>
    <col min="8" max="8" width="2.85546875" style="59" customWidth="1"/>
    <col min="9" max="9" width="14" style="59" bestFit="1" customWidth="1"/>
    <col min="10" max="10" width="15.85546875" style="59" bestFit="1" customWidth="1"/>
    <col min="11" max="11" width="2.7109375" style="59" customWidth="1"/>
    <col min="12" max="12" width="9.28515625" style="59" bestFit="1" customWidth="1"/>
    <col min="13" max="13" width="15.85546875" style="59" bestFit="1" customWidth="1"/>
    <col min="14" max="14" width="2.5703125" style="59" customWidth="1"/>
    <col min="15" max="15" width="13.42578125" style="59" customWidth="1"/>
    <col min="16" max="16" width="12.5703125" style="59" customWidth="1"/>
    <col min="17" max="17" width="12" style="59" bestFit="1" customWidth="1"/>
    <col min="18" max="21" width="12" style="59" customWidth="1"/>
    <col min="22" max="22" width="7.7109375" style="59" bestFit="1" customWidth="1"/>
    <col min="23" max="23" width="3.5703125" style="59" bestFit="1" customWidth="1"/>
    <col min="24" max="24" width="3.85546875" style="59" bestFit="1" customWidth="1"/>
    <col min="25" max="25" width="4.7109375" style="59" bestFit="1" customWidth="1"/>
    <col min="26" max="26" width="13.42578125" style="59" bestFit="1" customWidth="1"/>
    <col min="27" max="27" width="14" style="59" bestFit="1" customWidth="1"/>
    <col min="28" max="28" width="13.42578125" style="59" bestFit="1" customWidth="1"/>
    <col min="29" max="29" width="14" style="59" bestFit="1" customWidth="1"/>
    <col min="30" max="30" width="13.42578125" style="59" bestFit="1" customWidth="1"/>
    <col min="31" max="16384" width="9.140625" style="59"/>
  </cols>
  <sheetData>
    <row r="2" spans="2:26" ht="18.75" x14ac:dyDescent="0.3">
      <c r="B2" s="281" t="s">
        <v>408</v>
      </c>
      <c r="C2" s="281"/>
      <c r="D2" s="281"/>
      <c r="E2" s="281"/>
      <c r="F2" s="281"/>
      <c r="G2" s="108"/>
      <c r="H2" s="108"/>
      <c r="I2" s="108"/>
      <c r="J2" s="108"/>
      <c r="K2" s="108"/>
      <c r="L2" s="108"/>
      <c r="M2" s="108"/>
    </row>
    <row r="3" spans="2:26" ht="15.75" x14ac:dyDescent="0.25">
      <c r="B3" s="108"/>
      <c r="C3" s="108"/>
      <c r="D3" s="108"/>
      <c r="E3" s="117"/>
      <c r="F3" s="108"/>
      <c r="G3" s="108"/>
      <c r="H3" s="108"/>
      <c r="I3" s="108"/>
      <c r="J3" s="108"/>
      <c r="K3" s="108"/>
      <c r="L3" s="108"/>
      <c r="M3" s="108"/>
    </row>
    <row r="4" spans="2:26" ht="15.75" x14ac:dyDescent="0.25">
      <c r="B4" s="193" t="s">
        <v>376</v>
      </c>
      <c r="C4" s="108"/>
      <c r="D4" s="108"/>
      <c r="E4" s="117"/>
      <c r="F4" s="131">
        <f>SLOPE($D$16:$D$75,G16:G75)</f>
        <v>0.64071654104061748</v>
      </c>
      <c r="G4" s="134"/>
      <c r="H4" s="108"/>
      <c r="I4" s="131">
        <f>SLOPE($D$16:$D$75,J16:J75)</f>
        <v>0.54000481753089058</v>
      </c>
      <c r="J4" s="134"/>
      <c r="K4" s="108"/>
      <c r="L4" s="131">
        <f>SLOPE($D$16:$D$75,M16:M75)</f>
        <v>0.71351743474013318</v>
      </c>
      <c r="M4" s="134"/>
      <c r="O4" s="133">
        <f>SLOPE($D$16:$D$75,P16:P75)</f>
        <v>0.45369998648248833</v>
      </c>
      <c r="P4" s="134"/>
    </row>
    <row r="5" spans="2:26" ht="15.75" x14ac:dyDescent="0.25">
      <c r="B5" s="193" t="s">
        <v>375</v>
      </c>
      <c r="C5" s="108"/>
      <c r="D5" s="108"/>
      <c r="E5" s="117"/>
      <c r="F5" s="131">
        <f>C95</f>
        <v>0.64071654104061804</v>
      </c>
      <c r="G5" s="134"/>
      <c r="H5" s="108"/>
      <c r="I5" s="131"/>
      <c r="J5" s="134"/>
      <c r="K5" s="108"/>
      <c r="L5" s="132"/>
      <c r="M5" s="108"/>
      <c r="O5" s="135"/>
    </row>
    <row r="6" spans="2:26" ht="15.75" x14ac:dyDescent="0.25">
      <c r="B6" s="193" t="s">
        <v>377</v>
      </c>
      <c r="C6" s="108"/>
      <c r="D6" s="130"/>
      <c r="E6" s="117"/>
      <c r="F6" s="131">
        <f>_xlfn.COVARIANCE.S($D$16:$D$75,G16:G75)/_xlfn.VAR.S(G16:G75)</f>
        <v>0.6407165410406177</v>
      </c>
      <c r="G6" s="134"/>
      <c r="H6" s="108"/>
      <c r="I6" s="131">
        <f>_xlfn.COVARIANCE.S($D$16:$D$75,J16:J75)/_xlfn.VAR.S(J16:J75)</f>
        <v>0.54000481753089091</v>
      </c>
      <c r="J6" s="134"/>
      <c r="K6" s="108"/>
      <c r="L6" s="131">
        <f>_xlfn.COVARIANCE.S($D$16:$D$75,M16:M75)/_xlfn.VAR.S(M16:M75)</f>
        <v>0.71351743474013329</v>
      </c>
      <c r="M6" s="134"/>
      <c r="O6" s="133">
        <f>_xlfn.COVARIANCE.S($D$16:$D$75,P16:P75)/_xlfn.VAR.S(P16:P75)</f>
        <v>0.45369998648248827</v>
      </c>
      <c r="P6" s="134"/>
    </row>
    <row r="7" spans="2:26" ht="15.75" x14ac:dyDescent="0.25">
      <c r="B7" s="108"/>
      <c r="C7" s="108"/>
      <c r="D7" s="108"/>
      <c r="E7" s="117"/>
      <c r="F7" s="108"/>
      <c r="G7" s="117"/>
      <c r="H7" s="108"/>
      <c r="I7" s="108"/>
      <c r="J7" s="108"/>
      <c r="K7" s="108"/>
      <c r="L7" s="108"/>
      <c r="M7" s="108"/>
    </row>
    <row r="8" spans="2:26" ht="15.75" x14ac:dyDescent="0.25">
      <c r="B8" s="108"/>
      <c r="C8" s="108"/>
      <c r="D8" s="108"/>
      <c r="E8" s="117"/>
      <c r="F8" s="108"/>
      <c r="G8" s="108"/>
      <c r="H8" s="108"/>
      <c r="I8" s="108"/>
      <c r="J8" s="108"/>
      <c r="K8" s="108"/>
      <c r="L8" s="108"/>
      <c r="M8" s="108"/>
    </row>
    <row r="11" spans="2:26" ht="18.75" x14ac:dyDescent="0.3">
      <c r="B11" s="281" t="s">
        <v>349</v>
      </c>
      <c r="C11" s="281"/>
      <c r="D11" s="281"/>
      <c r="E11" s="118"/>
      <c r="F11" s="281" t="s">
        <v>350</v>
      </c>
      <c r="G11" s="281"/>
      <c r="H11" s="118"/>
      <c r="I11" s="281" t="s">
        <v>359</v>
      </c>
      <c r="J11" s="281"/>
      <c r="K11" s="118"/>
      <c r="L11" s="281" t="s">
        <v>360</v>
      </c>
      <c r="M11" s="281"/>
      <c r="O11" s="123" t="s">
        <v>358</v>
      </c>
      <c r="P11" s="123"/>
      <c r="Q11" s="282"/>
      <c r="R11" s="282"/>
      <c r="S11" s="282"/>
      <c r="T11" s="282"/>
      <c r="U11" s="282"/>
      <c r="V11" s="282"/>
    </row>
    <row r="12" spans="2:26" ht="18.75" x14ac:dyDescent="0.3">
      <c r="B12" s="283"/>
      <c r="C12" s="283"/>
      <c r="D12" s="283"/>
      <c r="E12" s="119"/>
      <c r="F12" s="109"/>
      <c r="G12" s="109"/>
      <c r="H12" s="119"/>
      <c r="I12" s="109"/>
      <c r="J12" s="109"/>
      <c r="K12" s="119"/>
      <c r="L12" s="109"/>
      <c r="M12" s="109"/>
      <c r="O12" s="109"/>
      <c r="P12" s="109"/>
      <c r="Q12" s="110"/>
      <c r="R12" s="110"/>
      <c r="S12" s="110"/>
      <c r="T12" s="110"/>
      <c r="U12" s="110"/>
      <c r="V12" s="110"/>
    </row>
    <row r="13" spans="2:26" x14ac:dyDescent="0.25">
      <c r="B13" s="111" t="s">
        <v>334</v>
      </c>
      <c r="C13" s="111" t="s">
        <v>335</v>
      </c>
      <c r="D13" s="111" t="s">
        <v>336</v>
      </c>
      <c r="E13" s="61"/>
      <c r="F13" s="111" t="s">
        <v>335</v>
      </c>
      <c r="G13" s="111" t="s">
        <v>337</v>
      </c>
      <c r="H13" s="61"/>
      <c r="I13" s="111" t="s">
        <v>335</v>
      </c>
      <c r="J13" s="111" t="s">
        <v>337</v>
      </c>
      <c r="K13" s="61"/>
      <c r="L13" s="111" t="s">
        <v>335</v>
      </c>
      <c r="M13" s="111" t="s">
        <v>337</v>
      </c>
      <c r="N13" s="61"/>
      <c r="O13" s="111" t="s">
        <v>335</v>
      </c>
      <c r="P13" s="111" t="s">
        <v>337</v>
      </c>
      <c r="Q13" s="61"/>
      <c r="R13" s="61"/>
      <c r="S13" s="61"/>
      <c r="T13" s="61"/>
      <c r="U13" s="61"/>
      <c r="V13" s="61"/>
    </row>
    <row r="14" spans="2:26" x14ac:dyDescent="0.25">
      <c r="B14" s="112"/>
      <c r="F14" s="64"/>
      <c r="G14" s="64"/>
      <c r="H14" s="64"/>
      <c r="I14" s="64"/>
      <c r="J14" s="64"/>
      <c r="K14" s="64"/>
      <c r="L14" s="64"/>
      <c r="M14" s="64"/>
      <c r="P14" s="105"/>
      <c r="V14" s="98"/>
    </row>
    <row r="15" spans="2:26" x14ac:dyDescent="0.25">
      <c r="B15" s="122">
        <v>43709</v>
      </c>
      <c r="C15" s="28">
        <v>13004.740234000001</v>
      </c>
      <c r="D15"/>
      <c r="E15" s="120"/>
      <c r="F15" s="28">
        <v>46.607922000000002</v>
      </c>
      <c r="G15"/>
      <c r="H15" s="105"/>
      <c r="I15" s="28">
        <v>24.400078000000001</v>
      </c>
      <c r="J15"/>
      <c r="K15" s="105"/>
      <c r="L15" s="28">
        <v>119.00412</v>
      </c>
      <c r="M15"/>
      <c r="O15" s="28">
        <v>29.030000999999999</v>
      </c>
      <c r="P15"/>
      <c r="V15" s="98"/>
      <c r="Y15" s="67"/>
      <c r="Z15" s="116"/>
    </row>
    <row r="16" spans="2:26" x14ac:dyDescent="0.25">
      <c r="B16" s="122">
        <v>43739</v>
      </c>
      <c r="C16" s="28">
        <v>13171.809569999999</v>
      </c>
      <c r="D16" s="9">
        <f>C16/C15-1</f>
        <v>1.2846803011351771E-2</v>
      </c>
      <c r="E16" s="120"/>
      <c r="F16" s="28">
        <v>46.940075</v>
      </c>
      <c r="G16" s="9">
        <f t="shared" ref="G16:G75" si="0">F16/F15-1</f>
        <v>7.1265352701199713E-3</v>
      </c>
      <c r="H16" s="105"/>
      <c r="I16" s="28">
        <v>25.150304999999999</v>
      </c>
      <c r="J16" s="9">
        <f t="shared" ref="J16:J74" si="1">I16/I15-1</f>
        <v>3.0746909907419129E-2</v>
      </c>
      <c r="K16" s="105"/>
      <c r="L16" s="28">
        <v>119.887642</v>
      </c>
      <c r="M16" s="9">
        <f t="shared" ref="M16:M75" si="2">L16/L15-1</f>
        <v>7.4242975789409194E-3</v>
      </c>
      <c r="O16" s="28">
        <v>28.065000999999999</v>
      </c>
      <c r="P16" s="9">
        <f t="shared" ref="P16:P75" si="3">O16/O15-1</f>
        <v>-3.3241473191819693E-2</v>
      </c>
      <c r="V16" s="98"/>
      <c r="Z16" s="64"/>
    </row>
    <row r="17" spans="2:27" x14ac:dyDescent="0.25">
      <c r="B17" s="122">
        <v>43770</v>
      </c>
      <c r="C17" s="28">
        <v>13545.209961</v>
      </c>
      <c r="D17" s="9">
        <f t="shared" ref="D17:D75" si="4">C17/C16-1</f>
        <v>2.8348450455164098E-2</v>
      </c>
      <c r="E17" s="120"/>
      <c r="F17" s="28">
        <v>46.051811000000001</v>
      </c>
      <c r="G17" s="9">
        <f t="shared" si="0"/>
        <v>-1.8923361328246679E-2</v>
      </c>
      <c r="H17" s="105"/>
      <c r="I17" s="28">
        <v>27.788076</v>
      </c>
      <c r="J17" s="9">
        <f t="shared" si="1"/>
        <v>0.10488027878787154</v>
      </c>
      <c r="K17" s="105"/>
      <c r="L17" s="28">
        <v>118.716537</v>
      </c>
      <c r="M17" s="9">
        <f t="shared" si="2"/>
        <v>-9.768354606557339E-3</v>
      </c>
      <c r="O17" s="28">
        <v>29.91</v>
      </c>
      <c r="P17" s="9">
        <f t="shared" si="3"/>
        <v>6.5740207883833834E-2</v>
      </c>
      <c r="V17" s="98"/>
      <c r="Y17" s="67"/>
      <c r="Z17" s="116"/>
    </row>
    <row r="18" spans="2:27" x14ac:dyDescent="0.25">
      <c r="B18" s="122">
        <v>43800</v>
      </c>
      <c r="C18" s="28">
        <v>13913.030273</v>
      </c>
      <c r="D18" s="9">
        <f t="shared" si="4"/>
        <v>2.7155010004204172E-2</v>
      </c>
      <c r="E18" s="120"/>
      <c r="F18" s="28">
        <v>48.090031000000003</v>
      </c>
      <c r="G18" s="9">
        <f t="shared" si="0"/>
        <v>4.4259280053069006E-2</v>
      </c>
      <c r="H18" s="105"/>
      <c r="I18" s="28">
        <v>26.000796999999999</v>
      </c>
      <c r="J18" s="9">
        <f t="shared" si="1"/>
        <v>-6.431819892820223E-2</v>
      </c>
      <c r="K18" s="105"/>
      <c r="L18" s="28">
        <v>119.450676</v>
      </c>
      <c r="M18" s="9">
        <f t="shared" si="2"/>
        <v>6.1839657603894871E-3</v>
      </c>
      <c r="O18" s="28">
        <v>31.774999999999999</v>
      </c>
      <c r="P18" s="9">
        <f t="shared" si="3"/>
        <v>6.2353727850217311E-2</v>
      </c>
      <c r="V18" s="98"/>
      <c r="Z18" s="64"/>
    </row>
    <row r="19" spans="2:27" x14ac:dyDescent="0.25">
      <c r="B19" s="122">
        <v>43831</v>
      </c>
      <c r="C19" s="28">
        <v>13614.099609000001</v>
      </c>
      <c r="D19" s="9">
        <f t="shared" si="4"/>
        <v>-2.1485661867645889E-2</v>
      </c>
      <c r="E19" s="120"/>
      <c r="F19" s="28">
        <v>50.739978999999998</v>
      </c>
      <c r="G19" s="9">
        <f t="shared" si="0"/>
        <v>5.5103894609674908E-2</v>
      </c>
      <c r="H19" s="105"/>
      <c r="I19" s="28">
        <v>25.62359</v>
      </c>
      <c r="J19" s="9">
        <f t="shared" si="1"/>
        <v>-1.4507516827272582E-2</v>
      </c>
      <c r="K19" s="105"/>
      <c r="L19" s="28">
        <v>124.996025</v>
      </c>
      <c r="M19" s="9">
        <f t="shared" si="2"/>
        <v>4.6423755693103086E-2</v>
      </c>
      <c r="O19" s="28">
        <v>33.299999</v>
      </c>
      <c r="P19" s="9">
        <f t="shared" si="3"/>
        <v>4.7993674272226672E-2</v>
      </c>
      <c r="V19" s="98"/>
      <c r="Y19" s="67"/>
      <c r="Z19" s="116"/>
    </row>
    <row r="20" spans="2:27" x14ac:dyDescent="0.25">
      <c r="B20" s="122">
        <v>43862</v>
      </c>
      <c r="C20" s="28">
        <v>12380.969727</v>
      </c>
      <c r="D20" s="9">
        <f t="shared" si="4"/>
        <v>-9.0577409995208469E-2</v>
      </c>
      <c r="E20" s="120"/>
      <c r="F20" s="28">
        <v>46.473995000000002</v>
      </c>
      <c r="G20" s="9">
        <f t="shared" si="0"/>
        <v>-8.4075399400539652E-2</v>
      </c>
      <c r="H20" s="105"/>
      <c r="I20" s="28">
        <v>25.170217999999998</v>
      </c>
      <c r="J20" s="9">
        <f t="shared" si="1"/>
        <v>-1.7693539429876948E-2</v>
      </c>
      <c r="K20" s="105"/>
      <c r="L20" s="28">
        <v>116.20352200000001</v>
      </c>
      <c r="M20" s="9">
        <f t="shared" si="2"/>
        <v>-7.0342260883896057E-2</v>
      </c>
      <c r="O20" s="28">
        <v>31.204999999999998</v>
      </c>
      <c r="P20" s="9">
        <f t="shared" si="3"/>
        <v>-6.2912884772158728E-2</v>
      </c>
      <c r="V20" s="98"/>
      <c r="Z20" s="64"/>
    </row>
    <row r="21" spans="2:27" x14ac:dyDescent="0.25">
      <c r="B21" s="122">
        <v>43891</v>
      </c>
      <c r="C21" s="28">
        <v>10301.870117</v>
      </c>
      <c r="D21" s="9">
        <f t="shared" si="4"/>
        <v>-0.16792704092200217</v>
      </c>
      <c r="E21" s="120"/>
      <c r="F21" s="28">
        <v>38.445953000000003</v>
      </c>
      <c r="G21" s="9">
        <f t="shared" si="0"/>
        <v>-0.17274267039018265</v>
      </c>
      <c r="H21" s="105"/>
      <c r="I21" s="28">
        <v>21.911090999999999</v>
      </c>
      <c r="J21" s="9">
        <f t="shared" si="1"/>
        <v>-0.12948346335339644</v>
      </c>
      <c r="K21" s="105"/>
      <c r="L21" s="28">
        <v>105.703598</v>
      </c>
      <c r="M21" s="9">
        <f t="shared" si="2"/>
        <v>-9.0358053002903005E-2</v>
      </c>
      <c r="O21" s="28">
        <v>28.129999000000002</v>
      </c>
      <c r="P21" s="9">
        <f t="shared" si="3"/>
        <v>-9.854193238263087E-2</v>
      </c>
      <c r="V21" s="98"/>
    </row>
    <row r="22" spans="2:27" x14ac:dyDescent="0.25">
      <c r="B22" s="122">
        <v>43922</v>
      </c>
      <c r="C22" s="28">
        <v>11372.339844</v>
      </c>
      <c r="D22" s="9">
        <f t="shared" si="4"/>
        <v>0.10391023327245463</v>
      </c>
      <c r="E22" s="120"/>
      <c r="F22" s="28">
        <v>40.22052</v>
      </c>
      <c r="G22" s="9">
        <f t="shared" si="0"/>
        <v>4.6157446012587977E-2</v>
      </c>
      <c r="H22" s="105"/>
      <c r="I22" s="28">
        <v>23.888231000000001</v>
      </c>
      <c r="J22" s="9">
        <f t="shared" si="1"/>
        <v>9.0234667000379076E-2</v>
      </c>
      <c r="K22" s="105"/>
      <c r="L22" s="28">
        <v>117.218559</v>
      </c>
      <c r="M22" s="9">
        <f t="shared" si="2"/>
        <v>0.10893632021873079</v>
      </c>
      <c r="O22" s="28">
        <v>30.905000999999999</v>
      </c>
      <c r="P22" s="9">
        <f t="shared" si="3"/>
        <v>9.8649203649100681E-2</v>
      </c>
    </row>
    <row r="23" spans="2:27" x14ac:dyDescent="0.25">
      <c r="B23" s="122">
        <v>43952</v>
      </c>
      <c r="C23" s="28">
        <v>11802.950194999999</v>
      </c>
      <c r="D23" s="9">
        <f t="shared" si="4"/>
        <v>3.7864710069070551E-2</v>
      </c>
      <c r="E23" s="120"/>
      <c r="F23" s="28">
        <v>40.912906999999997</v>
      </c>
      <c r="G23" s="9">
        <f t="shared" si="0"/>
        <v>1.7214769973137978E-2</v>
      </c>
      <c r="H23" s="105"/>
      <c r="I23" s="28">
        <v>25.367152999999998</v>
      </c>
      <c r="J23" s="9">
        <f t="shared" si="1"/>
        <v>6.1910067765168497E-2</v>
      </c>
      <c r="K23" s="105"/>
      <c r="L23" s="28">
        <v>116.562843</v>
      </c>
      <c r="M23" s="9">
        <f t="shared" si="2"/>
        <v>-5.5939605945847237E-3</v>
      </c>
      <c r="O23" s="28">
        <v>35.955002</v>
      </c>
      <c r="P23" s="9">
        <f t="shared" si="3"/>
        <v>0.16340400700844504</v>
      </c>
    </row>
    <row r="24" spans="2:27" x14ac:dyDescent="0.25">
      <c r="B24" s="122">
        <v>43983</v>
      </c>
      <c r="C24" s="28">
        <v>11893.780273</v>
      </c>
      <c r="D24" s="9">
        <f t="shared" si="4"/>
        <v>7.6955402250598048E-3</v>
      </c>
      <c r="E24" s="120"/>
      <c r="F24" s="28">
        <v>39.159996</v>
      </c>
      <c r="G24" s="9">
        <f t="shared" si="0"/>
        <v>-4.2844938884445405E-2</v>
      </c>
      <c r="H24" s="105"/>
      <c r="I24" s="28">
        <v>25.803267000000002</v>
      </c>
      <c r="J24" s="9">
        <f t="shared" si="1"/>
        <v>1.7192075121713613E-2</v>
      </c>
      <c r="K24" s="105"/>
      <c r="L24" s="28">
        <v>117.191948</v>
      </c>
      <c r="M24" s="9">
        <f t="shared" si="2"/>
        <v>5.3971315713361445E-3</v>
      </c>
      <c r="O24" s="28">
        <v>34.659999999999997</v>
      </c>
      <c r="P24" s="9">
        <f t="shared" si="3"/>
        <v>-3.6017297398565074E-2</v>
      </c>
      <c r="V24" s="115"/>
      <c r="W24" s="115"/>
    </row>
    <row r="25" spans="2:27" x14ac:dyDescent="0.25">
      <c r="B25" s="122">
        <v>44013</v>
      </c>
      <c r="C25" s="28">
        <v>12465.049805000001</v>
      </c>
      <c r="D25" s="9">
        <f t="shared" si="4"/>
        <v>4.803094717470402E-2</v>
      </c>
      <c r="E25" s="120"/>
      <c r="F25" s="28">
        <v>41.779884000000003</v>
      </c>
      <c r="G25" s="9">
        <f t="shared" si="0"/>
        <v>6.6902151879688621E-2</v>
      </c>
      <c r="H25" s="105"/>
      <c r="I25" s="28">
        <v>27.793026000000001</v>
      </c>
      <c r="J25" s="9">
        <f t="shared" si="1"/>
        <v>7.7112677243544425E-2</v>
      </c>
      <c r="K25" s="105"/>
      <c r="L25" s="28">
        <v>122.923546</v>
      </c>
      <c r="M25" s="9">
        <f t="shared" si="2"/>
        <v>4.8907779909930449E-2</v>
      </c>
      <c r="O25" s="28">
        <v>39.240001999999997</v>
      </c>
      <c r="P25" s="9">
        <f t="shared" si="3"/>
        <v>0.13214085401038655</v>
      </c>
    </row>
    <row r="26" spans="2:27" x14ac:dyDescent="0.25">
      <c r="B26" s="122">
        <v>44044</v>
      </c>
      <c r="C26" s="28">
        <v>13045.599609000001</v>
      </c>
      <c r="D26" s="9">
        <f t="shared" si="4"/>
        <v>4.657420652800992E-2</v>
      </c>
      <c r="E26" s="120"/>
      <c r="F26" s="28">
        <v>43.805191000000001</v>
      </c>
      <c r="G26" s="9">
        <f t="shared" si="0"/>
        <v>4.8475649190409476E-2</v>
      </c>
      <c r="H26" s="105"/>
      <c r="I26" s="28">
        <v>27.246424000000001</v>
      </c>
      <c r="J26" s="9">
        <f t="shared" si="1"/>
        <v>-1.9666876143677237E-2</v>
      </c>
      <c r="K26" s="105"/>
      <c r="L26" s="28">
        <v>125.06658899999999</v>
      </c>
      <c r="M26" s="9">
        <f t="shared" si="2"/>
        <v>1.7433950367816253E-2</v>
      </c>
      <c r="O26" s="28">
        <v>41.93</v>
      </c>
      <c r="P26" s="9">
        <f t="shared" si="3"/>
        <v>6.855244298917218E-2</v>
      </c>
    </row>
    <row r="27" spans="2:27" x14ac:dyDescent="0.25">
      <c r="B27" s="122">
        <v>44075</v>
      </c>
      <c r="C27" s="28">
        <v>12701.889648</v>
      </c>
      <c r="D27" s="9">
        <f t="shared" si="4"/>
        <v>-2.6346812051695867E-2</v>
      </c>
      <c r="E27" s="120"/>
      <c r="F27" s="28">
        <v>43.663696000000002</v>
      </c>
      <c r="G27" s="9">
        <f t="shared" si="0"/>
        <v>-3.2300966339811055E-3</v>
      </c>
      <c r="H27" s="105"/>
      <c r="I27" s="28">
        <v>25.209564</v>
      </c>
      <c r="J27" s="9">
        <f t="shared" si="1"/>
        <v>-7.4756966271977587E-2</v>
      </c>
      <c r="K27" s="105"/>
      <c r="L27" s="28">
        <v>123.762917</v>
      </c>
      <c r="M27" s="9">
        <f t="shared" si="2"/>
        <v>-1.0423823104346419E-2</v>
      </c>
      <c r="O27" s="28">
        <v>40.099997999999999</v>
      </c>
      <c r="P27" s="9">
        <f t="shared" si="3"/>
        <v>-4.3644216551395165E-2</v>
      </c>
    </row>
    <row r="28" spans="2:27" x14ac:dyDescent="0.25">
      <c r="B28" s="122">
        <v>44105</v>
      </c>
      <c r="C28" s="28">
        <v>12429.330078000001</v>
      </c>
      <c r="D28" s="9">
        <f t="shared" si="4"/>
        <v>-2.1458190675032074E-2</v>
      </c>
      <c r="E28" s="120"/>
      <c r="F28" s="28">
        <v>42.849170999999998</v>
      </c>
      <c r="G28" s="9">
        <f t="shared" si="0"/>
        <v>-1.8654513351320623E-2</v>
      </c>
      <c r="H28" s="105"/>
      <c r="I28" s="28">
        <v>24.57019</v>
      </c>
      <c r="J28" s="9">
        <f t="shared" si="1"/>
        <v>-2.5362358508064675E-2</v>
      </c>
      <c r="K28" s="105"/>
      <c r="L28" s="28">
        <v>119.877174</v>
      </c>
      <c r="M28" s="9">
        <f t="shared" si="2"/>
        <v>-3.1396666256662376E-2</v>
      </c>
      <c r="O28" s="28">
        <v>38.284999999999997</v>
      </c>
      <c r="P28" s="9">
        <f t="shared" si="3"/>
        <v>-4.5261797768668233E-2</v>
      </c>
    </row>
    <row r="29" spans="2:27" x14ac:dyDescent="0.25">
      <c r="B29" s="122">
        <v>44136</v>
      </c>
      <c r="C29" s="28">
        <v>14006.459961</v>
      </c>
      <c r="D29" s="9">
        <f t="shared" si="4"/>
        <v>0.12688776250230327</v>
      </c>
      <c r="E29" s="120"/>
      <c r="F29" s="28">
        <v>46.005347999999998</v>
      </c>
      <c r="G29" s="9">
        <f t="shared" si="0"/>
        <v>7.3657831093161708E-2</v>
      </c>
      <c r="H29" s="105"/>
      <c r="I29" s="28">
        <v>27.96471</v>
      </c>
      <c r="J29" s="9">
        <f t="shared" si="1"/>
        <v>0.1381560337954244</v>
      </c>
      <c r="K29" s="105"/>
      <c r="L29" s="28">
        <v>129.716309</v>
      </c>
      <c r="M29" s="9">
        <f t="shared" si="2"/>
        <v>8.2076801376715691E-2</v>
      </c>
      <c r="O29" s="28">
        <v>42.389999000000003</v>
      </c>
      <c r="P29" s="9">
        <f t="shared" si="3"/>
        <v>0.10722212354708138</v>
      </c>
    </row>
    <row r="30" spans="2:27" x14ac:dyDescent="0.25">
      <c r="B30" s="122">
        <v>44166</v>
      </c>
      <c r="C30" s="28">
        <v>14524.799805000001</v>
      </c>
      <c r="D30" s="9">
        <f t="shared" si="4"/>
        <v>3.7007198495785598E-2</v>
      </c>
      <c r="E30" s="120"/>
      <c r="F30" s="28">
        <v>49.277428</v>
      </c>
      <c r="G30" s="9">
        <f t="shared" si="0"/>
        <v>7.1123904986003073E-2</v>
      </c>
      <c r="H30" s="105"/>
      <c r="I30" s="28">
        <v>29.388199</v>
      </c>
      <c r="J30" s="9">
        <f t="shared" si="1"/>
        <v>5.0903048878389923E-2</v>
      </c>
      <c r="K30" s="105"/>
      <c r="L30" s="28">
        <v>133.37676999999999</v>
      </c>
      <c r="M30" s="9">
        <f t="shared" si="2"/>
        <v>2.8218972835559075E-2</v>
      </c>
      <c r="O30" s="28">
        <v>46.240001999999997</v>
      </c>
      <c r="P30" s="9">
        <f t="shared" si="3"/>
        <v>9.0823380297791356E-2</v>
      </c>
    </row>
    <row r="31" spans="2:27" x14ac:dyDescent="0.25">
      <c r="B31" s="122">
        <v>44197</v>
      </c>
      <c r="C31" s="28">
        <v>14397.200194999999</v>
      </c>
      <c r="D31" s="9">
        <f t="shared" si="4"/>
        <v>-8.7849479313357737E-3</v>
      </c>
      <c r="E31" s="120"/>
      <c r="F31" s="28">
        <v>43.266013999999998</v>
      </c>
      <c r="G31" s="9">
        <f t="shared" si="0"/>
        <v>-0.12199122892534087</v>
      </c>
      <c r="H31" s="105"/>
      <c r="I31" s="28">
        <v>29.204519000000001</v>
      </c>
      <c r="J31" s="9">
        <f t="shared" si="1"/>
        <v>-6.250127814909634E-3</v>
      </c>
      <c r="K31" s="105"/>
      <c r="L31" s="28">
        <v>123.70217100000001</v>
      </c>
      <c r="M31" s="9">
        <f t="shared" si="2"/>
        <v>-7.2535862129514683E-2</v>
      </c>
      <c r="O31" s="28">
        <v>43.415000999999997</v>
      </c>
      <c r="P31" s="9">
        <f t="shared" si="3"/>
        <v>-6.1094309641249622E-2</v>
      </c>
      <c r="V31" s="59" t="s">
        <v>338</v>
      </c>
    </row>
    <row r="32" spans="2:27" x14ac:dyDescent="0.25">
      <c r="B32" s="122">
        <v>44228</v>
      </c>
      <c r="C32" s="28">
        <v>15010.469727</v>
      </c>
      <c r="D32" s="9">
        <f t="shared" si="4"/>
        <v>4.259644400950835E-2</v>
      </c>
      <c r="E32" s="120"/>
      <c r="F32" s="28">
        <v>44.020809</v>
      </c>
      <c r="G32" s="9">
        <f t="shared" si="0"/>
        <v>1.7445448059994595E-2</v>
      </c>
      <c r="H32" s="105"/>
      <c r="I32" s="28">
        <v>28.162001</v>
      </c>
      <c r="J32" s="9">
        <f t="shared" si="1"/>
        <v>-3.5697146732668328E-2</v>
      </c>
      <c r="K32" s="105"/>
      <c r="L32" s="28">
        <v>117.01752500000001</v>
      </c>
      <c r="M32" s="9">
        <f t="shared" si="2"/>
        <v>-5.4038227025134389E-2</v>
      </c>
      <c r="O32" s="28">
        <v>43.869999</v>
      </c>
      <c r="P32" s="9">
        <f t="shared" si="3"/>
        <v>1.0480202453525322E-2</v>
      </c>
      <c r="V32" s="113"/>
      <c r="W32" s="113" t="s">
        <v>339</v>
      </c>
      <c r="X32" s="113" t="s">
        <v>340</v>
      </c>
      <c r="Y32" s="113" t="s">
        <v>341</v>
      </c>
      <c r="Z32" s="113" t="s">
        <v>342</v>
      </c>
      <c r="AA32" s="113" t="s">
        <v>343</v>
      </c>
    </row>
    <row r="33" spans="2:33" x14ac:dyDescent="0.25">
      <c r="B33" s="122">
        <v>44256</v>
      </c>
      <c r="C33" s="28">
        <v>15601.740234000001</v>
      </c>
      <c r="D33" s="9">
        <f t="shared" si="4"/>
        <v>3.9390539920043599E-2</v>
      </c>
      <c r="E33" s="120"/>
      <c r="F33" s="28">
        <v>47.363483000000002</v>
      </c>
      <c r="G33" s="9">
        <f t="shared" si="0"/>
        <v>7.5933952054356935E-2</v>
      </c>
      <c r="H33" s="105"/>
      <c r="I33" s="28">
        <v>31.714545999999999</v>
      </c>
      <c r="J33" s="9">
        <f t="shared" si="1"/>
        <v>0.12614675356342753</v>
      </c>
      <c r="K33" s="105"/>
      <c r="L33" s="28">
        <v>128.12235999999999</v>
      </c>
      <c r="M33" s="9">
        <f t="shared" si="2"/>
        <v>9.489890509989829E-2</v>
      </c>
      <c r="O33" s="28">
        <v>45.544998</v>
      </c>
      <c r="P33" s="9">
        <f t="shared" si="3"/>
        <v>3.8180967362228646E-2</v>
      </c>
      <c r="Z33" s="59">
        <v>29.445971311994697</v>
      </c>
      <c r="AA33" s="59">
        <v>3.834000106041995E-7</v>
      </c>
    </row>
    <row r="34" spans="2:33" x14ac:dyDescent="0.25">
      <c r="B34" s="122">
        <v>44287</v>
      </c>
      <c r="C34" s="28">
        <v>16219.330078000001</v>
      </c>
      <c r="D34" s="9">
        <f t="shared" si="4"/>
        <v>3.958467675638655E-2</v>
      </c>
      <c r="E34" s="120"/>
      <c r="F34" s="28">
        <v>48.908386</v>
      </c>
      <c r="G34" s="9">
        <f t="shared" si="0"/>
        <v>3.261801924491059E-2</v>
      </c>
      <c r="H34" s="105"/>
      <c r="I34" s="28">
        <v>33.222954000000001</v>
      </c>
      <c r="J34" s="9">
        <f t="shared" si="1"/>
        <v>4.7562024063027897E-2</v>
      </c>
      <c r="K34" s="105"/>
      <c r="L34" s="28">
        <v>131.61964399999999</v>
      </c>
      <c r="M34" s="9">
        <f t="shared" si="2"/>
        <v>2.7296437561718401E-2</v>
      </c>
      <c r="O34" s="28">
        <v>48.525002000000001</v>
      </c>
      <c r="P34" s="9">
        <f t="shared" si="3"/>
        <v>6.5429885406955046E-2</v>
      </c>
    </row>
    <row r="35" spans="2:33" x14ac:dyDescent="0.25">
      <c r="B35" s="122">
        <v>44317</v>
      </c>
      <c r="C35" s="28">
        <v>16555.660156000002</v>
      </c>
      <c r="D35" s="9">
        <f t="shared" si="4"/>
        <v>2.0736372981039475E-2</v>
      </c>
      <c r="E35" s="120"/>
      <c r="F35" s="28">
        <v>50.095314000000002</v>
      </c>
      <c r="G35" s="9">
        <f t="shared" si="0"/>
        <v>2.4268394381282699E-2</v>
      </c>
      <c r="H35" s="105"/>
      <c r="I35" s="28">
        <v>34.251609999999999</v>
      </c>
      <c r="J35" s="9">
        <f t="shared" si="1"/>
        <v>3.096220763511881E-2</v>
      </c>
      <c r="K35" s="105"/>
      <c r="L35" s="28">
        <v>135.07086200000001</v>
      </c>
      <c r="M35" s="9">
        <f t="shared" si="2"/>
        <v>2.6221146746149948E-2</v>
      </c>
      <c r="O35" s="28">
        <v>47.134998000000003</v>
      </c>
      <c r="P35" s="9">
        <f t="shared" si="3"/>
        <v>-2.8645109587012385E-2</v>
      </c>
    </row>
    <row r="36" spans="2:33" x14ac:dyDescent="0.25">
      <c r="B36" s="122">
        <v>44348</v>
      </c>
      <c r="C36" s="28">
        <v>16555.349609000001</v>
      </c>
      <c r="D36" s="9">
        <f t="shared" si="4"/>
        <v>-1.8757753968978719E-5</v>
      </c>
      <c r="E36" s="120"/>
      <c r="F36" s="28">
        <v>49.026176</v>
      </c>
      <c r="G36" s="9">
        <f t="shared" si="0"/>
        <v>-2.1342076027310752E-2</v>
      </c>
      <c r="H36" s="105"/>
      <c r="I36" s="28">
        <v>32.657657999999998</v>
      </c>
      <c r="J36" s="9">
        <f t="shared" si="1"/>
        <v>-4.6536556967687104E-2</v>
      </c>
      <c r="K36" s="105"/>
      <c r="L36" s="28">
        <v>135.28083799999999</v>
      </c>
      <c r="M36" s="9">
        <f t="shared" si="2"/>
        <v>1.5545617825403202E-3</v>
      </c>
      <c r="O36" s="28">
        <v>45.674999</v>
      </c>
      <c r="P36" s="9">
        <f t="shared" si="3"/>
        <v>-3.0974839544917421E-2</v>
      </c>
    </row>
    <row r="37" spans="2:33" x14ac:dyDescent="0.25">
      <c r="B37" s="122">
        <v>44378</v>
      </c>
      <c r="C37" s="28">
        <v>16602.289063</v>
      </c>
      <c r="D37" s="9">
        <f t="shared" si="4"/>
        <v>2.8353043039623937E-3</v>
      </c>
      <c r="E37" s="120"/>
      <c r="F37" s="28">
        <v>52.061176000000003</v>
      </c>
      <c r="G37" s="9">
        <f t="shared" si="0"/>
        <v>6.1905705229793995E-2</v>
      </c>
      <c r="H37" s="105"/>
      <c r="I37" s="28">
        <v>32.804862999999997</v>
      </c>
      <c r="J37" s="9">
        <f t="shared" si="1"/>
        <v>4.5075185734384515E-3</v>
      </c>
      <c r="K37" s="105"/>
      <c r="L37" s="28">
        <v>144.34394800000001</v>
      </c>
      <c r="M37" s="9">
        <f t="shared" si="2"/>
        <v>6.6994780147651145E-2</v>
      </c>
      <c r="O37" s="28">
        <v>47.16</v>
      </c>
      <c r="P37" s="9">
        <f t="shared" si="3"/>
        <v>3.251233787656993E-2</v>
      </c>
      <c r="V37" s="113"/>
      <c r="W37" s="113"/>
      <c r="X37" s="113"/>
      <c r="Y37" s="113"/>
      <c r="Z37" s="113" t="s">
        <v>344</v>
      </c>
      <c r="AA37" s="113" t="s">
        <v>345</v>
      </c>
      <c r="AB37" s="113" t="s">
        <v>346</v>
      </c>
      <c r="AC37" s="113" t="s">
        <v>347</v>
      </c>
      <c r="AD37" s="113" t="s">
        <v>348</v>
      </c>
    </row>
    <row r="38" spans="2:33" x14ac:dyDescent="0.25">
      <c r="B38" s="122">
        <v>44409</v>
      </c>
      <c r="C38" s="28">
        <v>16806.439452999999</v>
      </c>
      <c r="D38" s="9">
        <f t="shared" si="4"/>
        <v>1.2296520631903007E-2</v>
      </c>
      <c r="E38" s="120"/>
      <c r="F38" s="28">
        <v>51.403903999999997</v>
      </c>
      <c r="G38" s="9">
        <f t="shared" si="0"/>
        <v>-1.2624993334764634E-2</v>
      </c>
      <c r="H38" s="105"/>
      <c r="I38" s="28">
        <v>33.233437000000002</v>
      </c>
      <c r="J38" s="9">
        <f t="shared" si="1"/>
        <v>1.3064343539554102E-2</v>
      </c>
      <c r="K38" s="105"/>
      <c r="L38" s="28">
        <v>143.828934</v>
      </c>
      <c r="M38" s="9">
        <f t="shared" si="2"/>
        <v>-3.5679639301539057E-3</v>
      </c>
      <c r="O38" s="28">
        <v>48.784999999999997</v>
      </c>
      <c r="P38" s="9">
        <f t="shared" si="3"/>
        <v>3.445716709075497E-2</v>
      </c>
      <c r="Z38" s="59">
        <v>0.17500622588288697</v>
      </c>
      <c r="AA38" s="59">
        <v>-2.0717016043750053E-3</v>
      </c>
      <c r="AB38" s="59">
        <v>1.1234674839410697E-2</v>
      </c>
      <c r="AC38" s="59">
        <v>-2.0717016043750053E-3</v>
      </c>
      <c r="AD38" s="59">
        <v>1.1234674839410697E-2</v>
      </c>
      <c r="AE38" s="113"/>
      <c r="AF38" s="113"/>
      <c r="AG38" s="113"/>
    </row>
    <row r="39" spans="2:33" x14ac:dyDescent="0.25">
      <c r="B39" s="122">
        <v>44440</v>
      </c>
      <c r="C39" s="28">
        <v>16144.919921999999</v>
      </c>
      <c r="D39" s="9">
        <f t="shared" si="4"/>
        <v>-3.936107542885392E-2</v>
      </c>
      <c r="E39" s="120"/>
      <c r="F39" s="28">
        <v>47.898468000000001</v>
      </c>
      <c r="G39" s="9">
        <f t="shared" si="0"/>
        <v>-6.8193964411730201E-2</v>
      </c>
      <c r="H39" s="105"/>
      <c r="I39" s="28">
        <v>31.826578000000001</v>
      </c>
      <c r="J39" s="9">
        <f t="shared" si="1"/>
        <v>-4.2332636254264089E-2</v>
      </c>
      <c r="K39" s="105"/>
      <c r="L39" s="28">
        <v>138.32926900000001</v>
      </c>
      <c r="M39" s="9">
        <f t="shared" si="2"/>
        <v>-3.8237542663008162E-2</v>
      </c>
      <c r="O39" s="28">
        <v>44.415000999999997</v>
      </c>
      <c r="P39" s="9">
        <f t="shared" si="3"/>
        <v>-8.957669365583687E-2</v>
      </c>
      <c r="Z39" s="59">
        <v>3.8340001060420585E-7</v>
      </c>
      <c r="AA39" s="59">
        <v>0.81328006865835201</v>
      </c>
      <c r="AB39" s="59">
        <v>1.7501832901334144</v>
      </c>
      <c r="AC39" s="59">
        <v>0.81328006865835201</v>
      </c>
      <c r="AD39" s="59">
        <v>1.7501832901334144</v>
      </c>
    </row>
    <row r="40" spans="2:33" x14ac:dyDescent="0.25">
      <c r="B40" s="122">
        <v>44470</v>
      </c>
      <c r="C40" s="28">
        <v>17016.410156000002</v>
      </c>
      <c r="D40" s="9">
        <f t="shared" si="4"/>
        <v>5.3979223075145688E-2</v>
      </c>
      <c r="E40" s="120"/>
      <c r="F40" s="28">
        <v>51.847037999999998</v>
      </c>
      <c r="G40" s="9">
        <f t="shared" si="0"/>
        <v>8.243624827416185E-2</v>
      </c>
      <c r="H40" s="105"/>
      <c r="I40" s="28">
        <v>33.808235000000003</v>
      </c>
      <c r="J40" s="9">
        <f t="shared" si="1"/>
        <v>6.2264218289506346E-2</v>
      </c>
      <c r="K40" s="105"/>
      <c r="L40" s="28">
        <v>149.639206</v>
      </c>
      <c r="M40" s="9">
        <f t="shared" si="2"/>
        <v>8.176098291967393E-2</v>
      </c>
      <c r="O40" s="28">
        <v>42.5</v>
      </c>
      <c r="P40" s="9">
        <f t="shared" si="3"/>
        <v>-4.3116085936821147E-2</v>
      </c>
    </row>
    <row r="41" spans="2:33" x14ac:dyDescent="0.25">
      <c r="B41" s="122">
        <v>44501</v>
      </c>
      <c r="C41" s="28">
        <v>16318.969727</v>
      </c>
      <c r="D41" s="9">
        <f t="shared" si="4"/>
        <v>-4.0986343335999376E-2</v>
      </c>
      <c r="E41" s="120"/>
      <c r="F41" s="28">
        <v>48.241580999999996</v>
      </c>
      <c r="G41" s="9">
        <f t="shared" si="0"/>
        <v>-6.9540269590714132E-2</v>
      </c>
      <c r="H41" s="105"/>
      <c r="I41" s="28">
        <v>31.841002</v>
      </c>
      <c r="J41" s="9">
        <f t="shared" si="1"/>
        <v>-5.8187982898249557E-2</v>
      </c>
      <c r="K41" s="105"/>
      <c r="L41" s="28">
        <v>147.95388800000001</v>
      </c>
      <c r="M41" s="9">
        <f t="shared" si="2"/>
        <v>-1.1262543053055185E-2</v>
      </c>
      <c r="O41" s="28">
        <v>41.889999000000003</v>
      </c>
      <c r="P41" s="9">
        <f t="shared" si="3"/>
        <v>-1.4352964705882321E-2</v>
      </c>
    </row>
    <row r="42" spans="2:33" x14ac:dyDescent="0.25">
      <c r="B42" s="122">
        <v>44531</v>
      </c>
      <c r="C42" s="28">
        <v>17164.130859000001</v>
      </c>
      <c r="D42" s="9">
        <f t="shared" si="4"/>
        <v>5.179010355057323E-2</v>
      </c>
      <c r="E42" s="120"/>
      <c r="F42" s="28">
        <v>54.881492999999999</v>
      </c>
      <c r="G42" s="9">
        <f t="shared" si="0"/>
        <v>0.13763877265962754</v>
      </c>
      <c r="H42" s="105"/>
      <c r="I42" s="28">
        <v>34.529549000000003</v>
      </c>
      <c r="J42" s="9">
        <f t="shared" si="1"/>
        <v>8.4436632992894056E-2</v>
      </c>
      <c r="K42" s="105"/>
      <c r="L42" s="28">
        <v>160.85287500000001</v>
      </c>
      <c r="M42" s="9">
        <f t="shared" si="2"/>
        <v>8.7182480801045292E-2</v>
      </c>
      <c r="O42" s="28">
        <v>48.02</v>
      </c>
      <c r="P42" s="9">
        <f t="shared" si="3"/>
        <v>0.14633566832980827</v>
      </c>
    </row>
    <row r="43" spans="2:33" x14ac:dyDescent="0.25">
      <c r="B43" s="122">
        <v>44562</v>
      </c>
      <c r="C43" s="28">
        <v>16659.769531000002</v>
      </c>
      <c r="D43" s="9">
        <f t="shared" si="4"/>
        <v>-2.9384612139305433E-2</v>
      </c>
      <c r="E43" s="120"/>
      <c r="F43" s="28">
        <v>56.549903999999998</v>
      </c>
      <c r="G43" s="9">
        <f t="shared" si="0"/>
        <v>3.0400248039899269E-2</v>
      </c>
      <c r="H43" s="105"/>
      <c r="I43" s="28">
        <v>35.550635999999997</v>
      </c>
      <c r="J43" s="9">
        <f t="shared" si="1"/>
        <v>2.9571396950478501E-2</v>
      </c>
      <c r="K43" s="105"/>
      <c r="L43" s="28">
        <v>161.76267999999999</v>
      </c>
      <c r="M43" s="9">
        <f t="shared" si="2"/>
        <v>5.6561314182290712E-3</v>
      </c>
      <c r="O43" s="28">
        <v>43.360000999999997</v>
      </c>
      <c r="P43" s="9">
        <f t="shared" si="3"/>
        <v>-9.7042877967513652E-2</v>
      </c>
      <c r="V43" s="98"/>
    </row>
    <row r="44" spans="2:33" x14ac:dyDescent="0.25">
      <c r="B44" s="122">
        <v>44593</v>
      </c>
      <c r="C44" s="28">
        <v>16313.889648</v>
      </c>
      <c r="D44" s="9">
        <f t="shared" si="4"/>
        <v>-2.0761384625183399E-2</v>
      </c>
      <c r="E44" s="120"/>
      <c r="F44" s="28">
        <v>57.689995000000003</v>
      </c>
      <c r="G44" s="9">
        <f t="shared" si="0"/>
        <v>2.0160794614257904E-2</v>
      </c>
      <c r="H44" s="105"/>
      <c r="I44" s="28">
        <v>36.408816999999999</v>
      </c>
      <c r="J44" s="9">
        <f t="shared" si="1"/>
        <v>2.4139680651564133E-2</v>
      </c>
      <c r="K44" s="105"/>
      <c r="L44" s="28">
        <v>152.64534</v>
      </c>
      <c r="M44" s="9">
        <f t="shared" si="2"/>
        <v>-5.6362444044571913E-2</v>
      </c>
      <c r="O44" s="28">
        <v>42.200001</v>
      </c>
      <c r="P44" s="9">
        <f t="shared" si="3"/>
        <v>-2.675276691068329E-2</v>
      </c>
      <c r="V44" s="98"/>
    </row>
    <row r="45" spans="2:33" x14ac:dyDescent="0.25">
      <c r="B45" s="122">
        <v>44621</v>
      </c>
      <c r="C45" s="28">
        <v>16670.910156000002</v>
      </c>
      <c r="D45" s="9">
        <f t="shared" si="4"/>
        <v>2.1884450348955919E-2</v>
      </c>
      <c r="E45" s="120"/>
      <c r="F45" s="28">
        <v>57.467533000000003</v>
      </c>
      <c r="G45" s="9">
        <f t="shared" si="0"/>
        <v>-3.8561625807039812E-3</v>
      </c>
      <c r="H45" s="105"/>
      <c r="I45" s="28">
        <v>35.683849000000002</v>
      </c>
      <c r="J45" s="9">
        <f t="shared" si="1"/>
        <v>-1.9911880136066928E-2</v>
      </c>
      <c r="K45" s="105"/>
      <c r="L45" s="28">
        <v>156.03869599999999</v>
      </c>
      <c r="M45" s="9">
        <f t="shared" si="2"/>
        <v>2.2230328158068691E-2</v>
      </c>
      <c r="O45" s="28">
        <v>39.950001</v>
      </c>
      <c r="P45" s="9">
        <f t="shared" si="3"/>
        <v>-5.3317534281575041E-2</v>
      </c>
      <c r="V45" s="98"/>
    </row>
    <row r="46" spans="2:33" x14ac:dyDescent="0.25">
      <c r="B46" s="122">
        <v>44652</v>
      </c>
      <c r="C46" s="28">
        <v>15615.25</v>
      </c>
      <c r="D46" s="9">
        <f t="shared" si="4"/>
        <v>-6.3323486607602009E-2</v>
      </c>
      <c r="E46" s="120"/>
      <c r="F46" s="28">
        <v>60.345154000000001</v>
      </c>
      <c r="G46" s="9">
        <f t="shared" si="0"/>
        <v>5.0073856485191248E-2</v>
      </c>
      <c r="H46" s="105"/>
      <c r="I46" s="28">
        <v>35.38747</v>
      </c>
      <c r="J46" s="9">
        <f t="shared" si="1"/>
        <v>-8.3056903418686767E-3</v>
      </c>
      <c r="K46" s="105"/>
      <c r="L46" s="28">
        <v>161.12814299999999</v>
      </c>
      <c r="M46" s="9">
        <f t="shared" si="2"/>
        <v>3.2616569674486451E-2</v>
      </c>
      <c r="O46" s="28">
        <v>42.84</v>
      </c>
      <c r="P46" s="9">
        <f t="shared" si="3"/>
        <v>7.2340398689852314E-2</v>
      </c>
      <c r="V46" s="98"/>
    </row>
    <row r="47" spans="2:33" x14ac:dyDescent="0.25">
      <c r="B47" s="122">
        <v>44682</v>
      </c>
      <c r="C47" s="28">
        <v>15827.049805000001</v>
      </c>
      <c r="D47" s="9">
        <f t="shared" si="4"/>
        <v>1.3563651238372776E-2</v>
      </c>
      <c r="E47" s="120"/>
      <c r="F47" s="28">
        <v>59.196345999999998</v>
      </c>
      <c r="G47" s="9">
        <f t="shared" si="0"/>
        <v>-1.9037286738882164E-2</v>
      </c>
      <c r="H47" s="105"/>
      <c r="I47" s="28">
        <v>32.870612999999999</v>
      </c>
      <c r="J47" s="9">
        <f t="shared" si="1"/>
        <v>-7.1122829634331031E-2</v>
      </c>
      <c r="K47" s="105"/>
      <c r="L47" s="28">
        <v>157.41218599999999</v>
      </c>
      <c r="M47" s="9">
        <f t="shared" si="2"/>
        <v>-2.3062122673380592E-2</v>
      </c>
      <c r="O47" s="28">
        <v>44.560001</v>
      </c>
      <c r="P47" s="9">
        <f t="shared" si="3"/>
        <v>4.0149416433239882E-2</v>
      </c>
      <c r="V47" s="98"/>
    </row>
    <row r="48" spans="2:33" x14ac:dyDescent="0.25">
      <c r="B48" s="122">
        <v>44713</v>
      </c>
      <c r="C48" s="28">
        <v>14487.639648</v>
      </c>
      <c r="D48" s="9">
        <f t="shared" si="4"/>
        <v>-8.4627910665755368E-2</v>
      </c>
      <c r="E48" s="120"/>
      <c r="F48" s="28">
        <v>58.757370000000002</v>
      </c>
      <c r="G48" s="9">
        <f t="shared" si="0"/>
        <v>-7.4155928475719834E-3</v>
      </c>
      <c r="H48" s="105"/>
      <c r="I48" s="28">
        <v>33.48563</v>
      </c>
      <c r="J48" s="9">
        <f t="shared" si="1"/>
        <v>1.8710238230117637E-2</v>
      </c>
      <c r="K48" s="105"/>
      <c r="L48" s="28">
        <v>156.38935900000001</v>
      </c>
      <c r="M48" s="9">
        <f t="shared" si="2"/>
        <v>-6.4977625048672216E-3</v>
      </c>
      <c r="O48" s="28">
        <v>46.349997999999999</v>
      </c>
      <c r="P48" s="9">
        <f t="shared" si="3"/>
        <v>4.0170488326515041E-2</v>
      </c>
      <c r="V48" s="98"/>
    </row>
    <row r="49" spans="2:22" x14ac:dyDescent="0.25">
      <c r="B49" s="122">
        <v>44743</v>
      </c>
      <c r="C49" s="28">
        <v>15327.709961</v>
      </c>
      <c r="D49" s="9">
        <f t="shared" si="4"/>
        <v>5.7985312543024969E-2</v>
      </c>
      <c r="E49" s="120"/>
      <c r="F49" s="28">
        <v>60.367213999999997</v>
      </c>
      <c r="G49" s="9">
        <f t="shared" si="0"/>
        <v>2.7398162987894104E-2</v>
      </c>
      <c r="H49" s="105"/>
      <c r="I49" s="28">
        <v>36.849525</v>
      </c>
      <c r="J49" s="9">
        <f t="shared" si="1"/>
        <v>0.10045786804668144</v>
      </c>
      <c r="K49" s="105"/>
      <c r="L49" s="28">
        <v>165.319794</v>
      </c>
      <c r="M49" s="9">
        <f t="shared" si="2"/>
        <v>5.7103853210370925E-2</v>
      </c>
      <c r="O49" s="28">
        <v>49.810001</v>
      </c>
      <c r="P49" s="9">
        <f t="shared" si="3"/>
        <v>7.4649474634281621E-2</v>
      </c>
      <c r="V49" s="98"/>
    </row>
    <row r="50" spans="2:22" x14ac:dyDescent="0.25">
      <c r="B50" s="122">
        <v>44774</v>
      </c>
      <c r="C50" s="28">
        <v>14801.240234000001</v>
      </c>
      <c r="D50" s="9">
        <f t="shared" si="4"/>
        <v>-3.4347578884227015E-2</v>
      </c>
      <c r="E50" s="120"/>
      <c r="F50" s="28">
        <v>58.052998000000002</v>
      </c>
      <c r="G50" s="9">
        <f t="shared" si="0"/>
        <v>-3.8335643582955381E-2</v>
      </c>
      <c r="H50" s="105"/>
      <c r="I50" s="28">
        <v>36.259777</v>
      </c>
      <c r="J50" s="9">
        <f t="shared" si="1"/>
        <v>-1.6004222578174354E-2</v>
      </c>
      <c r="K50" s="105"/>
      <c r="L50" s="28">
        <v>162.77801500000001</v>
      </c>
      <c r="M50" s="9">
        <f t="shared" si="2"/>
        <v>-1.5374922376203748E-2</v>
      </c>
      <c r="O50" s="28">
        <v>44.415000999999997</v>
      </c>
      <c r="P50" s="9">
        <f t="shared" si="3"/>
        <v>-0.10831158184477863</v>
      </c>
      <c r="V50" s="98"/>
    </row>
    <row r="51" spans="2:22" x14ac:dyDescent="0.25">
      <c r="B51" s="122">
        <v>44805</v>
      </c>
      <c r="C51" s="28">
        <v>13472.179688</v>
      </c>
      <c r="D51" s="9">
        <f t="shared" si="4"/>
        <v>-8.9793863553880415E-2</v>
      </c>
      <c r="E51" s="120"/>
      <c r="F51" s="28">
        <v>52.700195000000001</v>
      </c>
      <c r="G51" s="9">
        <f t="shared" si="0"/>
        <v>-9.2205453368661483E-2</v>
      </c>
      <c r="H51" s="105"/>
      <c r="I51" s="28">
        <v>34.072018</v>
      </c>
      <c r="J51" s="9">
        <f t="shared" si="1"/>
        <v>-6.0335699251542585E-2</v>
      </c>
      <c r="K51" s="105"/>
      <c r="L51" s="28">
        <v>154.26443499999999</v>
      </c>
      <c r="M51" s="9">
        <f t="shared" si="2"/>
        <v>-5.2301780433924194E-2</v>
      </c>
      <c r="O51" s="28">
        <v>43.48</v>
      </c>
      <c r="P51" s="9">
        <f t="shared" si="3"/>
        <v>-2.1051468624305514E-2</v>
      </c>
      <c r="V51" s="98"/>
    </row>
    <row r="52" spans="2:22" x14ac:dyDescent="0.25">
      <c r="B52" s="122">
        <v>44835</v>
      </c>
      <c r="C52" s="28">
        <v>14747.030273</v>
      </c>
      <c r="D52" s="9">
        <f t="shared" si="4"/>
        <v>9.4628383418574824E-2</v>
      </c>
      <c r="E52" s="120"/>
      <c r="F52" s="28">
        <v>56.713715000000001</v>
      </c>
      <c r="G52" s="9">
        <f t="shared" si="0"/>
        <v>7.6157592965263143E-2</v>
      </c>
      <c r="H52" s="105"/>
      <c r="I52" s="28">
        <v>37.147807999999998</v>
      </c>
      <c r="J52" s="9">
        <f t="shared" si="1"/>
        <v>9.0273197202466848E-2</v>
      </c>
      <c r="K52" s="105"/>
      <c r="L52" s="28">
        <v>172.72808800000001</v>
      </c>
      <c r="M52" s="9">
        <f t="shared" si="2"/>
        <v>0.11968833256997979</v>
      </c>
      <c r="O52" s="28">
        <v>46.860000999999997</v>
      </c>
      <c r="P52" s="9">
        <f t="shared" si="3"/>
        <v>7.7736913523459128E-2</v>
      </c>
      <c r="V52" s="98"/>
    </row>
    <row r="53" spans="2:22" x14ac:dyDescent="0.25">
      <c r="B53" s="122">
        <v>44866</v>
      </c>
      <c r="C53" s="28">
        <v>15780.019531</v>
      </c>
      <c r="D53" s="9">
        <f t="shared" si="4"/>
        <v>7.0047273171417901E-2</v>
      </c>
      <c r="E53" s="120"/>
      <c r="F53" s="28">
        <v>60.276688</v>
      </c>
      <c r="G53" s="9">
        <f t="shared" si="0"/>
        <v>6.2823833705832888E-2</v>
      </c>
      <c r="H53" s="105"/>
      <c r="I53" s="28">
        <v>36.985207000000003</v>
      </c>
      <c r="J53" s="9">
        <f t="shared" si="1"/>
        <v>-4.377135792238307E-3</v>
      </c>
      <c r="K53" s="105"/>
      <c r="L53" s="28">
        <v>176.46649199999999</v>
      </c>
      <c r="M53" s="9">
        <f t="shared" si="2"/>
        <v>2.1643289422621059E-2</v>
      </c>
      <c r="O53" s="28">
        <v>51.43</v>
      </c>
      <c r="P53" s="9">
        <f t="shared" si="3"/>
        <v>9.75245177651618E-2</v>
      </c>
      <c r="V53" s="98"/>
    </row>
    <row r="54" spans="2:22" x14ac:dyDescent="0.25">
      <c r="B54" s="122">
        <v>44896</v>
      </c>
      <c r="C54" s="28">
        <v>15184.309569999999</v>
      </c>
      <c r="D54" s="9">
        <f t="shared" si="4"/>
        <v>-3.7750901374343782E-2</v>
      </c>
      <c r="E54" s="120"/>
      <c r="F54" s="28">
        <v>60.704182000000003</v>
      </c>
      <c r="G54" s="9">
        <f t="shared" si="0"/>
        <v>7.0921945810957787E-3</v>
      </c>
      <c r="H54" s="105"/>
      <c r="I54" s="28">
        <v>34.106349999999999</v>
      </c>
      <c r="J54" s="9">
        <f t="shared" si="1"/>
        <v>-7.7838066446403897E-2</v>
      </c>
      <c r="K54" s="105"/>
      <c r="L54" s="28">
        <v>171.852936</v>
      </c>
      <c r="M54" s="9">
        <f t="shared" si="2"/>
        <v>-2.6144090856636937E-2</v>
      </c>
      <c r="O54" s="28">
        <v>50.764999000000003</v>
      </c>
      <c r="P54" s="9">
        <f t="shared" si="3"/>
        <v>-1.293021582733811E-2</v>
      </c>
      <c r="V54" s="98"/>
    </row>
    <row r="55" spans="2:22" x14ac:dyDescent="0.25">
      <c r="B55" s="122">
        <v>44927</v>
      </c>
      <c r="C55" s="28">
        <v>16036.389648</v>
      </c>
      <c r="D55" s="9">
        <f t="shared" si="4"/>
        <v>5.6115826279218961E-2</v>
      </c>
      <c r="E55" s="120"/>
      <c r="F55" s="28">
        <v>58.518799000000001</v>
      </c>
      <c r="G55" s="9">
        <f t="shared" si="0"/>
        <v>-3.6000534526599903E-2</v>
      </c>
      <c r="H55" s="105"/>
      <c r="I55" s="28">
        <v>33.742905</v>
      </c>
      <c r="J55" s="9">
        <f t="shared" si="1"/>
        <v>-1.065622677302025E-2</v>
      </c>
      <c r="K55" s="105"/>
      <c r="L55" s="28">
        <v>163.69766200000001</v>
      </c>
      <c r="M55" s="9">
        <f t="shared" si="2"/>
        <v>-4.7454958814320158E-2</v>
      </c>
      <c r="O55" s="28">
        <v>52.040000999999997</v>
      </c>
      <c r="P55" s="9">
        <f t="shared" si="3"/>
        <v>2.5115769233049701E-2</v>
      </c>
      <c r="V55" s="98"/>
    </row>
    <row r="56" spans="2:22" x14ac:dyDescent="0.25">
      <c r="B56" s="122">
        <v>44958</v>
      </c>
      <c r="C56" s="28">
        <v>15428.969727</v>
      </c>
      <c r="D56" s="9">
        <f t="shared" si="4"/>
        <v>-3.7877598033779103E-2</v>
      </c>
      <c r="E56" s="120"/>
      <c r="F56" s="28">
        <v>56.791473000000003</v>
      </c>
      <c r="G56" s="9">
        <f t="shared" si="0"/>
        <v>-2.9517454724250158E-2</v>
      </c>
      <c r="H56" s="105"/>
      <c r="I56" s="28">
        <v>33.230151999999997</v>
      </c>
      <c r="J56" s="9">
        <f t="shared" si="1"/>
        <v>-1.5195875992301322E-2</v>
      </c>
      <c r="K56" s="105"/>
      <c r="L56" s="28">
        <v>166.100189</v>
      </c>
      <c r="M56" s="9">
        <f t="shared" si="2"/>
        <v>1.4676611569443221E-2</v>
      </c>
      <c r="O56" s="28">
        <v>50.880001</v>
      </c>
      <c r="P56" s="9">
        <f t="shared" si="3"/>
        <v>-2.2290545305715836E-2</v>
      </c>
      <c r="V56" s="98"/>
    </row>
    <row r="57" spans="2:22" x14ac:dyDescent="0.25">
      <c r="B57" s="122">
        <v>44986</v>
      </c>
      <c r="C57" s="28">
        <v>15374.910156</v>
      </c>
      <c r="D57" s="9">
        <f t="shared" si="4"/>
        <v>-3.5037706312559536E-3</v>
      </c>
      <c r="E57" s="120"/>
      <c r="F57" s="28">
        <v>59.196362000000001</v>
      </c>
      <c r="G57" s="9">
        <f t="shared" si="0"/>
        <v>4.2345952181941149E-2</v>
      </c>
      <c r="H57" s="105"/>
      <c r="I57" s="28">
        <v>33.932259000000002</v>
      </c>
      <c r="J57" s="9">
        <f t="shared" si="1"/>
        <v>2.1128612351818399E-2</v>
      </c>
      <c r="K57" s="105"/>
      <c r="L57" s="28">
        <v>174.49470500000001</v>
      </c>
      <c r="M57" s="9">
        <f t="shared" si="2"/>
        <v>5.0538870849809792E-2</v>
      </c>
      <c r="O57" s="28">
        <v>54.009998000000003</v>
      </c>
      <c r="P57" s="9">
        <f t="shared" si="3"/>
        <v>6.1517235426155059E-2</v>
      </c>
      <c r="V57" s="98"/>
    </row>
    <row r="58" spans="2:22" x14ac:dyDescent="0.25">
      <c r="B58" s="122">
        <v>45017</v>
      </c>
      <c r="C58" s="28">
        <v>15545.879883</v>
      </c>
      <c r="D58" s="9">
        <f t="shared" si="4"/>
        <v>1.1120047224034035E-2</v>
      </c>
      <c r="E58" s="120"/>
      <c r="F58" s="28">
        <v>61.689098000000001</v>
      </c>
      <c r="G58" s="9">
        <f t="shared" si="0"/>
        <v>4.2109614776664861E-2</v>
      </c>
      <c r="H58" s="105"/>
      <c r="I58" s="28">
        <v>31.630078999999999</v>
      </c>
      <c r="J58" s="9">
        <f t="shared" si="1"/>
        <v>-6.7846352345713345E-2</v>
      </c>
      <c r="K58" s="105"/>
      <c r="L58" s="28">
        <v>183.95162999999999</v>
      </c>
      <c r="M58" s="9">
        <f t="shared" si="2"/>
        <v>5.4196057123910846E-2</v>
      </c>
      <c r="O58" s="28">
        <v>56</v>
      </c>
      <c r="P58" s="9">
        <f t="shared" si="3"/>
        <v>3.6845067092948103E-2</v>
      </c>
      <c r="V58" s="98"/>
    </row>
    <row r="59" spans="2:22" x14ac:dyDescent="0.25">
      <c r="B59" s="122">
        <v>45047</v>
      </c>
      <c r="C59" s="28">
        <v>14887.139648</v>
      </c>
      <c r="D59" s="9">
        <f t="shared" si="4"/>
        <v>-4.2373943447250983E-2</v>
      </c>
      <c r="E59" s="120"/>
      <c r="F59" s="28">
        <v>57.371341999999999</v>
      </c>
      <c r="G59" s="9">
        <f t="shared" si="0"/>
        <v>-6.9992205105673611E-2</v>
      </c>
      <c r="H59" s="105"/>
      <c r="I59" s="28">
        <v>30.101776000000001</v>
      </c>
      <c r="J59" s="9">
        <f t="shared" si="1"/>
        <v>-4.831802664798901E-2</v>
      </c>
      <c r="K59" s="105"/>
      <c r="L59" s="28">
        <v>175.72203099999999</v>
      </c>
      <c r="M59" s="9">
        <f t="shared" si="2"/>
        <v>-4.4737842225154534E-2</v>
      </c>
      <c r="O59" s="28">
        <v>58.619999</v>
      </c>
      <c r="P59" s="9">
        <f t="shared" si="3"/>
        <v>4.6785696428571333E-2</v>
      </c>
      <c r="V59" s="98"/>
    </row>
    <row r="60" spans="2:22" x14ac:dyDescent="0.25">
      <c r="B60" s="122">
        <v>45078</v>
      </c>
      <c r="C60" s="28">
        <v>15875.910156</v>
      </c>
      <c r="D60" s="9">
        <f t="shared" si="4"/>
        <v>6.6417762671611369E-2</v>
      </c>
      <c r="E60" s="120"/>
      <c r="F60" s="28">
        <v>57.909858999999997</v>
      </c>
      <c r="G60" s="9">
        <f t="shared" si="0"/>
        <v>9.3865156579393538E-3</v>
      </c>
      <c r="H60" s="105"/>
      <c r="I60" s="28">
        <v>30.246867999999999</v>
      </c>
      <c r="J60" s="9">
        <f t="shared" si="1"/>
        <v>4.8200478270783442E-3</v>
      </c>
      <c r="K60" s="105"/>
      <c r="L60" s="28">
        <v>178.487717</v>
      </c>
      <c r="M60" s="9">
        <f t="shared" si="2"/>
        <v>1.5738982666322787E-2</v>
      </c>
      <c r="O60" s="28">
        <v>57.439999</v>
      </c>
      <c r="P60" s="9">
        <f t="shared" si="3"/>
        <v>-2.0129648927493138E-2</v>
      </c>
      <c r="V60" s="98"/>
    </row>
    <row r="61" spans="2:22" x14ac:dyDescent="0.25">
      <c r="B61" s="122">
        <v>45108</v>
      </c>
      <c r="C61" s="28">
        <v>16427.289063</v>
      </c>
      <c r="D61" s="9">
        <f t="shared" si="4"/>
        <v>3.4730538380605358E-2</v>
      </c>
      <c r="E61" s="120"/>
      <c r="F61" s="28">
        <v>60.007820000000002</v>
      </c>
      <c r="G61" s="9">
        <f t="shared" si="0"/>
        <v>3.6228045383429608E-2</v>
      </c>
      <c r="H61" s="105"/>
      <c r="I61" s="28">
        <v>33.111530000000002</v>
      </c>
      <c r="J61" s="9">
        <f t="shared" si="1"/>
        <v>9.4709376190619254E-2</v>
      </c>
      <c r="K61" s="105"/>
      <c r="L61" s="28">
        <v>181.90823399999999</v>
      </c>
      <c r="M61" s="9">
        <f t="shared" si="2"/>
        <v>1.9163878935153811E-2</v>
      </c>
      <c r="O61" s="28">
        <v>57.490001999999997</v>
      </c>
      <c r="P61" s="9">
        <f t="shared" si="3"/>
        <v>8.7052578117208235E-4</v>
      </c>
      <c r="V61" s="98"/>
    </row>
    <row r="62" spans="2:22" x14ac:dyDescent="0.25">
      <c r="B62" s="122">
        <v>45139</v>
      </c>
      <c r="C62" s="28">
        <v>16000.370117</v>
      </c>
      <c r="D62" s="9">
        <f t="shared" si="4"/>
        <v>-2.5988399203467516E-2</v>
      </c>
      <c r="E62" s="120"/>
      <c r="F62" s="28">
        <v>57.973002999999999</v>
      </c>
      <c r="G62" s="9">
        <f t="shared" si="0"/>
        <v>-3.3909197167969141E-2</v>
      </c>
      <c r="H62" s="105"/>
      <c r="I62" s="28">
        <v>32.761040000000001</v>
      </c>
      <c r="J62" s="9">
        <f t="shared" si="1"/>
        <v>-1.0585134543767749E-2</v>
      </c>
      <c r="K62" s="105"/>
      <c r="L62" s="28">
        <v>172.650757</v>
      </c>
      <c r="M62" s="9">
        <f t="shared" si="2"/>
        <v>-5.0890917889951037E-2</v>
      </c>
      <c r="O62" s="28">
        <v>57.41</v>
      </c>
      <c r="P62" s="9">
        <f t="shared" si="3"/>
        <v>-1.3915810961356856E-3</v>
      </c>
      <c r="V62" s="98"/>
    </row>
    <row r="63" spans="2:22" x14ac:dyDescent="0.25">
      <c r="B63" s="122">
        <v>45170</v>
      </c>
      <c r="C63" s="28">
        <v>15398.209961</v>
      </c>
      <c r="D63" s="9">
        <f t="shared" si="4"/>
        <v>-3.763413918533165E-2</v>
      </c>
      <c r="E63" s="120"/>
      <c r="F63" s="28">
        <v>54.242496000000003</v>
      </c>
      <c r="G63" s="9">
        <f t="shared" si="0"/>
        <v>-6.4349038465369768E-2</v>
      </c>
      <c r="H63" s="105"/>
      <c r="I63" s="28">
        <v>30.735989</v>
      </c>
      <c r="J63" s="9">
        <f t="shared" si="1"/>
        <v>-6.1812781279226847E-2</v>
      </c>
      <c r="K63" s="105"/>
      <c r="L63" s="28">
        <v>165.57861299999999</v>
      </c>
      <c r="M63" s="9">
        <f t="shared" si="2"/>
        <v>-4.0962137223643946E-2</v>
      </c>
      <c r="O63" s="28">
        <v>52.950001</v>
      </c>
      <c r="P63" s="9">
        <f t="shared" si="3"/>
        <v>-7.7686796725309093E-2</v>
      </c>
      <c r="V63" s="98"/>
    </row>
    <row r="64" spans="2:22" x14ac:dyDescent="0.25">
      <c r="B64" s="122">
        <v>45200</v>
      </c>
      <c r="C64" s="28">
        <v>14919.200194999999</v>
      </c>
      <c r="D64" s="9">
        <f t="shared" si="4"/>
        <v>-3.1108146155508942E-2</v>
      </c>
      <c r="E64" s="120"/>
      <c r="F64" s="28">
        <v>55.170937000000002</v>
      </c>
      <c r="G64" s="9">
        <f t="shared" si="0"/>
        <v>1.7116487412378589E-2</v>
      </c>
      <c r="H64" s="105"/>
      <c r="I64" s="28">
        <v>29.730581000000001</v>
      </c>
      <c r="J64" s="9">
        <f t="shared" si="1"/>
        <v>-3.2711099681874578E-2</v>
      </c>
      <c r="K64" s="105"/>
      <c r="L64" s="28">
        <v>159.55898999999999</v>
      </c>
      <c r="M64" s="9">
        <f t="shared" si="2"/>
        <v>-3.6355075640112977E-2</v>
      </c>
      <c r="O64" s="28">
        <v>51.099997999999999</v>
      </c>
      <c r="P64" s="9">
        <f t="shared" si="3"/>
        <v>-3.4938677338268609E-2</v>
      </c>
      <c r="V64" s="98"/>
    </row>
    <row r="65" spans="2:22" x14ac:dyDescent="0.25">
      <c r="B65" s="122">
        <v>45231</v>
      </c>
      <c r="C65" s="28">
        <v>16088.839844</v>
      </c>
      <c r="D65" s="9">
        <f t="shared" si="4"/>
        <v>7.8398280987743041E-2</v>
      </c>
      <c r="E65" s="120"/>
      <c r="F65" s="28">
        <v>57.075400999999999</v>
      </c>
      <c r="G65" s="9">
        <f t="shared" si="0"/>
        <v>3.4519333974697641E-2</v>
      </c>
      <c r="H65" s="105"/>
      <c r="I65" s="28">
        <v>30.946073999999999</v>
      </c>
      <c r="J65" s="9">
        <f t="shared" si="1"/>
        <v>4.0883593899493587E-2</v>
      </c>
      <c r="K65" s="105"/>
      <c r="L65" s="28">
        <v>164.45481899999999</v>
      </c>
      <c r="M65" s="9">
        <f t="shared" si="2"/>
        <v>3.068350457721003E-2</v>
      </c>
      <c r="O65" s="28">
        <v>55.150002000000001</v>
      </c>
      <c r="P65" s="9">
        <f t="shared" si="3"/>
        <v>7.9256441458177784E-2</v>
      </c>
      <c r="V65" s="98"/>
    </row>
    <row r="66" spans="2:22" x14ac:dyDescent="0.25">
      <c r="B66" s="122">
        <v>45261</v>
      </c>
      <c r="C66" s="28">
        <v>16852.890625</v>
      </c>
      <c r="D66" s="9">
        <f t="shared" si="4"/>
        <v>4.7489488888469378E-2</v>
      </c>
      <c r="E66" s="120"/>
      <c r="F66" s="28">
        <v>58.012238000000004</v>
      </c>
      <c r="G66" s="9">
        <f t="shared" si="0"/>
        <v>1.641402396804903E-2</v>
      </c>
      <c r="H66" s="105"/>
      <c r="I66" s="28">
        <v>32.661487999999999</v>
      </c>
      <c r="J66" s="9">
        <f t="shared" si="1"/>
        <v>5.5432362761105081E-2</v>
      </c>
      <c r="K66" s="105"/>
      <c r="L66" s="28">
        <v>167.235062</v>
      </c>
      <c r="M66" s="9">
        <f t="shared" si="2"/>
        <v>1.6905816545272678E-2</v>
      </c>
      <c r="O66" s="28">
        <v>57.610000999999997</v>
      </c>
      <c r="P66" s="9">
        <f t="shared" si="3"/>
        <v>4.4605601283568275E-2</v>
      </c>
      <c r="V66" s="98"/>
    </row>
    <row r="67" spans="2:22" x14ac:dyDescent="0.25">
      <c r="B67" s="122">
        <v>45292</v>
      </c>
      <c r="C67" s="28">
        <v>16911.130859000001</v>
      </c>
      <c r="D67" s="9">
        <f t="shared" si="4"/>
        <v>3.4558008650222849E-3</v>
      </c>
      <c r="E67" s="120"/>
      <c r="F67" s="28">
        <v>58.563521999999999</v>
      </c>
      <c r="G67" s="9">
        <f t="shared" si="0"/>
        <v>9.5028914416299681E-3</v>
      </c>
      <c r="H67" s="105"/>
      <c r="I67" s="28">
        <v>30.818643999999999</v>
      </c>
      <c r="J67" s="9">
        <f t="shared" si="1"/>
        <v>-5.6422536535996159E-2</v>
      </c>
      <c r="K67" s="105"/>
      <c r="L67" s="28">
        <v>165.94515999999999</v>
      </c>
      <c r="M67" s="9">
        <f t="shared" si="2"/>
        <v>-7.7131074343729233E-3</v>
      </c>
      <c r="O67" s="28">
        <v>55.02</v>
      </c>
      <c r="P67" s="9">
        <f t="shared" si="3"/>
        <v>-4.4957489238717341E-2</v>
      </c>
      <c r="V67" s="98"/>
    </row>
    <row r="68" spans="2:22" x14ac:dyDescent="0.25">
      <c r="B68" s="122">
        <v>45323</v>
      </c>
      <c r="C68" s="28">
        <v>17607.429688</v>
      </c>
      <c r="D68" s="9">
        <f t="shared" si="4"/>
        <v>4.1173995683998488E-2</v>
      </c>
      <c r="E68" s="120"/>
      <c r="F68" s="28">
        <v>59.085265999999997</v>
      </c>
      <c r="G68" s="9">
        <f t="shared" si="0"/>
        <v>8.9090270219744916E-3</v>
      </c>
      <c r="H68" s="105"/>
      <c r="I68" s="28">
        <v>29.513584000000002</v>
      </c>
      <c r="J68" s="9">
        <f t="shared" si="1"/>
        <v>-4.234644457426473E-2</v>
      </c>
      <c r="K68" s="105"/>
      <c r="L68" s="28">
        <v>162.80407700000001</v>
      </c>
      <c r="M68" s="9">
        <f t="shared" si="2"/>
        <v>-1.8928439973784017E-2</v>
      </c>
      <c r="O68" s="28">
        <v>59.099997999999999</v>
      </c>
      <c r="P68" s="9">
        <f t="shared" si="3"/>
        <v>7.4154816430388903E-2</v>
      </c>
      <c r="V68" s="98"/>
    </row>
    <row r="69" spans="2:22" x14ac:dyDescent="0.25">
      <c r="B69" s="122">
        <v>45352</v>
      </c>
      <c r="C69" s="28">
        <v>18312.669922000001</v>
      </c>
      <c r="D69" s="9">
        <f t="shared" si="4"/>
        <v>4.005355957665091E-2</v>
      </c>
      <c r="E69" s="120"/>
      <c r="F69" s="28">
        <v>60.227200000000003</v>
      </c>
      <c r="G69" s="9">
        <f t="shared" si="0"/>
        <v>1.9326882610632756E-2</v>
      </c>
      <c r="H69" s="105"/>
      <c r="I69" s="28">
        <v>30.263514000000001</v>
      </c>
      <c r="J69" s="9">
        <f t="shared" si="1"/>
        <v>2.5409655431885225E-2</v>
      </c>
      <c r="K69" s="105"/>
      <c r="L69" s="28">
        <v>173.64082300000001</v>
      </c>
      <c r="M69" s="9">
        <f t="shared" si="2"/>
        <v>6.6563111929930363E-2</v>
      </c>
      <c r="O69" s="28">
        <v>59.279998999999997</v>
      </c>
      <c r="P69" s="9">
        <f t="shared" si="3"/>
        <v>3.0457023027310459E-3</v>
      </c>
      <c r="V69" s="98"/>
    </row>
    <row r="70" spans="2:22" x14ac:dyDescent="0.25">
      <c r="B70" s="122">
        <v>45383</v>
      </c>
      <c r="C70" s="28">
        <v>17603.339843999998</v>
      </c>
      <c r="D70" s="9">
        <f t="shared" si="4"/>
        <v>-3.8734388869634206E-2</v>
      </c>
      <c r="E70" s="120"/>
      <c r="F70" s="28">
        <v>61.294395000000002</v>
      </c>
      <c r="G70" s="9">
        <f t="shared" si="0"/>
        <v>1.7719485548058023E-2</v>
      </c>
      <c r="H70" s="105"/>
      <c r="I70" s="28">
        <v>33.487648</v>
      </c>
      <c r="J70" s="9">
        <f t="shared" si="1"/>
        <v>0.1065353481423208</v>
      </c>
      <c r="K70" s="105"/>
      <c r="L70" s="28">
        <v>174.53379799999999</v>
      </c>
      <c r="M70" s="9">
        <f t="shared" si="2"/>
        <v>5.1426558834035685E-3</v>
      </c>
      <c r="O70" s="28">
        <v>53.450001</v>
      </c>
      <c r="P70" s="9">
        <f t="shared" si="3"/>
        <v>-9.8346796530816349E-2</v>
      </c>
      <c r="V70" s="98"/>
    </row>
    <row r="71" spans="2:22" x14ac:dyDescent="0.25">
      <c r="B71" s="122">
        <v>45413</v>
      </c>
      <c r="C71" s="28">
        <v>18083.689452999999</v>
      </c>
      <c r="D71" s="9">
        <f t="shared" si="4"/>
        <v>2.7287413255486559E-2</v>
      </c>
      <c r="E71" s="120"/>
      <c r="F71" s="28">
        <v>62.445464999999999</v>
      </c>
      <c r="G71" s="9">
        <f t="shared" si="0"/>
        <v>1.8779367999308905E-2</v>
      </c>
      <c r="H71" s="105"/>
      <c r="I71" s="28">
        <v>34.034179999999999</v>
      </c>
      <c r="J71" s="9">
        <f t="shared" si="1"/>
        <v>1.632040566121562E-2</v>
      </c>
      <c r="K71" s="105"/>
      <c r="L71" s="28">
        <v>171.54733300000001</v>
      </c>
      <c r="M71" s="9">
        <f t="shared" si="2"/>
        <v>-1.7111098447533779E-2</v>
      </c>
      <c r="O71" s="28">
        <v>51.919998</v>
      </c>
      <c r="P71" s="9">
        <f t="shared" si="3"/>
        <v>-2.8624938659963739E-2</v>
      </c>
      <c r="V71" s="98"/>
    </row>
    <row r="72" spans="2:22" x14ac:dyDescent="0.25">
      <c r="B72" s="122">
        <v>45444</v>
      </c>
      <c r="C72" s="28">
        <v>18026.5</v>
      </c>
      <c r="D72" s="9">
        <f t="shared" si="4"/>
        <v>-3.162488116633333E-3</v>
      </c>
      <c r="E72" s="120"/>
      <c r="F72" s="28">
        <v>63.15992</v>
      </c>
      <c r="G72" s="9">
        <f t="shared" si="0"/>
        <v>1.1441263188607831E-2</v>
      </c>
      <c r="H72" s="105"/>
      <c r="I72" s="28">
        <v>33.189537000000001</v>
      </c>
      <c r="J72" s="9">
        <f t="shared" si="1"/>
        <v>-2.4817492297449117E-2</v>
      </c>
      <c r="K72" s="105"/>
      <c r="L72" s="28">
        <v>163.63969399999999</v>
      </c>
      <c r="M72" s="9">
        <f t="shared" si="2"/>
        <v>-4.6095959999564728E-2</v>
      </c>
      <c r="O72" s="28">
        <v>49.950001</v>
      </c>
      <c r="P72" s="9">
        <f t="shared" si="3"/>
        <v>-3.7942932894565962E-2</v>
      </c>
      <c r="V72" s="98"/>
    </row>
    <row r="73" spans="2:22" x14ac:dyDescent="0.25">
      <c r="B73" s="122">
        <v>45474</v>
      </c>
      <c r="C73" s="28">
        <v>18710.009765999999</v>
      </c>
      <c r="D73" s="9">
        <f t="shared" si="4"/>
        <v>3.7916942612265192E-2</v>
      </c>
      <c r="E73" s="120"/>
      <c r="F73" s="28">
        <v>66.739998</v>
      </c>
      <c r="G73" s="9">
        <f t="shared" si="0"/>
        <v>5.6682750706460672E-2</v>
      </c>
      <c r="H73" s="105"/>
      <c r="I73" s="28">
        <v>34.279998999999997</v>
      </c>
      <c r="J73" s="9">
        <f t="shared" si="1"/>
        <v>3.2855595424545747E-2</v>
      </c>
      <c r="K73" s="105"/>
      <c r="L73" s="28">
        <v>172.66999799999999</v>
      </c>
      <c r="M73" s="9">
        <f t="shared" si="2"/>
        <v>5.5184067992696262E-2</v>
      </c>
      <c r="O73" s="28">
        <v>51.450001</v>
      </c>
      <c r="P73" s="9">
        <f t="shared" si="3"/>
        <v>3.0030029428828264E-2</v>
      </c>
      <c r="V73" s="98"/>
    </row>
    <row r="74" spans="2:22" x14ac:dyDescent="0.25">
      <c r="B74" s="122">
        <v>45505</v>
      </c>
      <c r="C74" s="28">
        <v>19119.310547000001</v>
      </c>
      <c r="D74" s="9">
        <f t="shared" si="4"/>
        <v>2.187603246171399E-2</v>
      </c>
      <c r="E74" s="120"/>
      <c r="F74" s="28">
        <v>71.5</v>
      </c>
      <c r="G74" s="9">
        <f t="shared" si="0"/>
        <v>7.1321578403403585E-2</v>
      </c>
      <c r="H74" s="105"/>
      <c r="I74" s="28">
        <v>36.130001</v>
      </c>
      <c r="J74" s="9">
        <f t="shared" si="1"/>
        <v>5.3967387805349709E-2</v>
      </c>
      <c r="K74" s="105"/>
      <c r="L74" s="28">
        <v>175.970001</v>
      </c>
      <c r="M74" s="9">
        <f t="shared" si="2"/>
        <v>1.9111617757706867E-2</v>
      </c>
      <c r="O74" s="28">
        <v>47.279998999999997</v>
      </c>
      <c r="P74" s="9">
        <f t="shared" si="3"/>
        <v>-8.1049599979599707E-2</v>
      </c>
      <c r="V74" s="98"/>
    </row>
    <row r="75" spans="2:22" x14ac:dyDescent="0.25">
      <c r="B75" s="122">
        <v>45531</v>
      </c>
      <c r="C75" s="28">
        <v>19119.308593999998</v>
      </c>
      <c r="D75" s="9">
        <f t="shared" si="4"/>
        <v>-1.0214803503050263E-7</v>
      </c>
      <c r="E75" s="120"/>
      <c r="F75" s="28">
        <v>71.5</v>
      </c>
      <c r="G75" s="9">
        <f t="shared" si="0"/>
        <v>0</v>
      </c>
      <c r="H75" s="105"/>
      <c r="I75" s="28">
        <v>36.369999</v>
      </c>
      <c r="J75" s="9">
        <f>I75/I74-1</f>
        <v>6.6426236744361322E-3</v>
      </c>
      <c r="K75" s="105"/>
      <c r="L75" s="28">
        <v>175.300003</v>
      </c>
      <c r="M75" s="9">
        <f t="shared" si="2"/>
        <v>-3.8074557946953247E-3</v>
      </c>
      <c r="O75" s="28">
        <v>47.59</v>
      </c>
      <c r="P75" s="9">
        <f t="shared" si="3"/>
        <v>6.5567048764110236E-3</v>
      </c>
      <c r="V75" s="98"/>
    </row>
    <row r="76" spans="2:22" x14ac:dyDescent="0.25">
      <c r="B76" s="112"/>
      <c r="D76" s="105"/>
      <c r="E76" s="120"/>
      <c r="F76" s="105"/>
      <c r="G76" s="105"/>
      <c r="H76" s="105"/>
      <c r="I76" s="105"/>
      <c r="J76" s="105"/>
      <c r="K76" s="105"/>
      <c r="L76" s="105"/>
      <c r="M76" s="105"/>
      <c r="P76" s="105"/>
      <c r="V76" s="98"/>
    </row>
    <row r="77" spans="2:22" x14ac:dyDescent="0.25">
      <c r="B77" s="129"/>
      <c r="C77" s="64"/>
      <c r="D77" s="105"/>
      <c r="E77" s="120"/>
      <c r="F77" s="105"/>
      <c r="G77" s="105"/>
      <c r="H77" s="105"/>
      <c r="I77" s="105"/>
      <c r="J77" s="105"/>
      <c r="K77" s="105"/>
      <c r="L77" s="105"/>
      <c r="M77" s="105"/>
      <c r="P77" s="105"/>
      <c r="V77" s="98"/>
    </row>
    <row r="78" spans="2:22" x14ac:dyDescent="0.25">
      <c r="B78" t="s">
        <v>361</v>
      </c>
      <c r="C78"/>
      <c r="D78"/>
      <c r="E78"/>
      <c r="F78"/>
      <c r="G78"/>
      <c r="H78"/>
      <c r="I78"/>
      <c r="J78"/>
      <c r="K78"/>
      <c r="L78" s="105"/>
      <c r="M78" s="105"/>
      <c r="P78" s="105"/>
      <c r="V78" s="98"/>
    </row>
    <row r="79" spans="2:22" ht="15.75" thickBot="1" x14ac:dyDescent="0.3">
      <c r="B79"/>
      <c r="C79"/>
      <c r="D79"/>
      <c r="E79"/>
      <c r="F79"/>
      <c r="G79"/>
      <c r="H79"/>
      <c r="I79"/>
      <c r="J79"/>
      <c r="K79"/>
      <c r="L79" s="105"/>
      <c r="M79" s="105"/>
      <c r="P79" s="105"/>
      <c r="V79" s="98"/>
    </row>
    <row r="80" spans="2:22" x14ac:dyDescent="0.25">
      <c r="B80" s="126" t="s">
        <v>362</v>
      </c>
      <c r="C80" s="126"/>
      <c r="D80"/>
      <c r="E80"/>
      <c r="F80"/>
      <c r="G80"/>
      <c r="H80"/>
      <c r="I80"/>
      <c r="J80"/>
      <c r="K80"/>
      <c r="L80" s="105"/>
      <c r="M80" s="105"/>
      <c r="P80" s="105"/>
      <c r="V80" s="98"/>
    </row>
    <row r="81" spans="2:22" x14ac:dyDescent="0.25">
      <c r="B81" t="s">
        <v>363</v>
      </c>
      <c r="C81">
        <v>0.67778455886903821</v>
      </c>
      <c r="D81"/>
      <c r="E81"/>
      <c r="F81"/>
      <c r="G81"/>
      <c r="H81"/>
      <c r="I81"/>
      <c r="J81"/>
      <c r="K81"/>
      <c r="L81" s="105"/>
      <c r="M81" s="105"/>
      <c r="P81" s="105"/>
      <c r="V81" s="98"/>
    </row>
    <row r="82" spans="2:22" x14ac:dyDescent="0.25">
      <c r="B82" t="s">
        <v>364</v>
      </c>
      <c r="C82">
        <v>0.45939190824129678</v>
      </c>
      <c r="D82"/>
      <c r="E82"/>
      <c r="F82"/>
      <c r="G82"/>
      <c r="H82"/>
      <c r="I82"/>
      <c r="J82"/>
      <c r="K82"/>
      <c r="L82" s="105"/>
      <c r="M82" s="105"/>
      <c r="P82" s="105"/>
      <c r="V82" s="98"/>
    </row>
    <row r="83" spans="2:22" x14ac:dyDescent="0.25">
      <c r="B83" t="s">
        <v>365</v>
      </c>
      <c r="C83">
        <v>0.45007107907304328</v>
      </c>
      <c r="D83"/>
      <c r="E83"/>
      <c r="F83"/>
      <c r="G83"/>
      <c r="H83"/>
      <c r="I83"/>
      <c r="J83"/>
      <c r="K83"/>
      <c r="L83" s="105"/>
      <c r="M83" s="105"/>
      <c r="P83" s="105"/>
      <c r="V83" s="98"/>
    </row>
    <row r="84" spans="2:22" x14ac:dyDescent="0.25">
      <c r="B84" t="s">
        <v>366</v>
      </c>
      <c r="C84">
        <v>3.8236859801325795E-2</v>
      </c>
      <c r="D84"/>
      <c r="E84"/>
      <c r="F84"/>
      <c r="G84"/>
      <c r="H84"/>
      <c r="I84"/>
      <c r="J84"/>
      <c r="K84"/>
      <c r="L84" s="105"/>
      <c r="M84" s="105"/>
      <c r="P84" s="105"/>
      <c r="V84" s="98"/>
    </row>
    <row r="85" spans="2:22" ht="15.75" thickBot="1" x14ac:dyDescent="0.3">
      <c r="B85" s="124" t="s">
        <v>367</v>
      </c>
      <c r="C85" s="124">
        <v>60</v>
      </c>
      <c r="D85"/>
      <c r="E85"/>
      <c r="F85"/>
      <c r="G85"/>
      <c r="H85"/>
      <c r="I85"/>
      <c r="J85"/>
      <c r="K85"/>
      <c r="L85" s="105"/>
      <c r="M85" s="105"/>
      <c r="P85" s="105"/>
      <c r="V85" s="98"/>
    </row>
    <row r="86" spans="2:22" x14ac:dyDescent="0.25">
      <c r="B86"/>
      <c r="C86"/>
      <c r="D86"/>
      <c r="E86"/>
      <c r="F86"/>
      <c r="G86"/>
      <c r="H86"/>
      <c r="I86"/>
      <c r="J86"/>
      <c r="K86"/>
      <c r="L86" s="105"/>
      <c r="M86" s="105"/>
      <c r="P86" s="105"/>
      <c r="V86" s="98"/>
    </row>
    <row r="87" spans="2:22" ht="15.75" thickBot="1" x14ac:dyDescent="0.3">
      <c r="B87" t="s">
        <v>338</v>
      </c>
      <c r="C87"/>
      <c r="D87"/>
      <c r="E87"/>
      <c r="F87"/>
      <c r="G87"/>
      <c r="H87"/>
      <c r="I87"/>
      <c r="J87"/>
      <c r="K87"/>
      <c r="L87" s="105"/>
      <c r="M87" s="105"/>
      <c r="P87" s="105"/>
      <c r="V87" s="98"/>
    </row>
    <row r="88" spans="2:22" x14ac:dyDescent="0.25">
      <c r="B88" s="125"/>
      <c r="C88" s="125" t="s">
        <v>339</v>
      </c>
      <c r="D88" s="125" t="s">
        <v>340</v>
      </c>
      <c r="E88" s="125" t="s">
        <v>341</v>
      </c>
      <c r="F88" s="125" t="s">
        <v>342</v>
      </c>
      <c r="G88" s="125" t="s">
        <v>343</v>
      </c>
      <c r="H88"/>
      <c r="I88"/>
      <c r="J88"/>
      <c r="K88"/>
      <c r="L88" s="105"/>
      <c r="M88" s="105"/>
      <c r="P88" s="105"/>
      <c r="V88" s="98"/>
    </row>
    <row r="89" spans="2:22" x14ac:dyDescent="0.25">
      <c r="B89" t="s">
        <v>368</v>
      </c>
      <c r="C89">
        <v>1</v>
      </c>
      <c r="D89">
        <v>7.2059829509327836E-2</v>
      </c>
      <c r="E89">
        <v>7.2059829509327836E-2</v>
      </c>
      <c r="F89">
        <v>49.286592420980462</v>
      </c>
      <c r="G89">
        <v>2.7083677870002892E-9</v>
      </c>
      <c r="H89"/>
      <c r="I89"/>
      <c r="J89"/>
      <c r="K89"/>
      <c r="L89" s="105"/>
      <c r="M89" s="105"/>
      <c r="P89" s="105"/>
      <c r="V89" s="98"/>
    </row>
    <row r="90" spans="2:22" x14ac:dyDescent="0.25">
      <c r="B90" t="s">
        <v>369</v>
      </c>
      <c r="C90">
        <v>58</v>
      </c>
      <c r="D90">
        <v>8.4799331953042165E-2</v>
      </c>
      <c r="E90">
        <v>1.4620574474662443E-3</v>
      </c>
      <c r="F90"/>
      <c r="G90"/>
      <c r="H90"/>
      <c r="I90"/>
      <c r="J90"/>
      <c r="K90"/>
      <c r="L90" s="105"/>
      <c r="M90" s="105"/>
      <c r="P90" s="105"/>
      <c r="V90" s="98"/>
    </row>
    <row r="91" spans="2:22" ht="15.75" thickBot="1" x14ac:dyDescent="0.3">
      <c r="B91" s="124" t="s">
        <v>370</v>
      </c>
      <c r="C91" s="124">
        <v>59</v>
      </c>
      <c r="D91" s="124">
        <v>0.15685916146237</v>
      </c>
      <c r="E91" s="124"/>
      <c r="F91" s="124"/>
      <c r="G91" s="124"/>
      <c r="H91"/>
      <c r="I91"/>
      <c r="J91"/>
      <c r="K91"/>
      <c r="L91" s="105"/>
      <c r="M91" s="105"/>
      <c r="P91" s="105"/>
      <c r="V91" s="98"/>
    </row>
    <row r="92" spans="2:22" ht="15.75" thickBot="1" x14ac:dyDescent="0.3">
      <c r="B92"/>
      <c r="C92"/>
      <c r="D92"/>
      <c r="E92"/>
      <c r="F92"/>
      <c r="G92"/>
      <c r="H92"/>
      <c r="I92"/>
      <c r="J92"/>
      <c r="K92"/>
      <c r="L92" s="105"/>
      <c r="M92" s="105"/>
      <c r="P92" s="105"/>
      <c r="V92" s="98"/>
    </row>
    <row r="93" spans="2:22" x14ac:dyDescent="0.25">
      <c r="B93" s="125"/>
      <c r="C93" s="125" t="s">
        <v>372</v>
      </c>
      <c r="D93" s="125" t="s">
        <v>366</v>
      </c>
      <c r="E93" s="125" t="s">
        <v>373</v>
      </c>
      <c r="F93" s="125" t="s">
        <v>344</v>
      </c>
      <c r="G93" s="125" t="s">
        <v>345</v>
      </c>
      <c r="H93" s="125"/>
      <c r="I93" s="125" t="s">
        <v>347</v>
      </c>
      <c r="J93" s="125" t="s">
        <v>348</v>
      </c>
      <c r="K93" s="127"/>
      <c r="L93" s="105"/>
      <c r="M93" s="105"/>
      <c r="P93" s="105"/>
      <c r="V93" s="98"/>
    </row>
    <row r="94" spans="2:22" x14ac:dyDescent="0.25">
      <c r="B94" t="s">
        <v>371</v>
      </c>
      <c r="C94">
        <v>2.2261726065431362E-3</v>
      </c>
      <c r="D94">
        <v>4.9991785684018117E-3</v>
      </c>
      <c r="E94">
        <v>0.44530767926836062</v>
      </c>
      <c r="F94">
        <v>0.65775507372973474</v>
      </c>
      <c r="G94">
        <v>-7.7807705401909165E-3</v>
      </c>
      <c r="H94"/>
      <c r="I94">
        <v>-7.7807705401909165E-3</v>
      </c>
      <c r="J94">
        <v>1.223311575327719E-2</v>
      </c>
      <c r="K94"/>
      <c r="L94" s="105"/>
      <c r="M94" s="105"/>
      <c r="P94" s="105"/>
      <c r="V94" s="98"/>
    </row>
    <row r="95" spans="2:22" ht="15.75" thickBot="1" x14ac:dyDescent="0.3">
      <c r="B95" s="124" t="s">
        <v>374</v>
      </c>
      <c r="C95" s="124">
        <v>0.64071654104061804</v>
      </c>
      <c r="D95" s="124">
        <v>9.1264428720136723E-2</v>
      </c>
      <c r="E95" s="124">
        <v>7.0204410417708489</v>
      </c>
      <c r="F95" s="124">
        <v>2.7083677870002003E-9</v>
      </c>
      <c r="G95" s="124">
        <v>0.45803093839099385</v>
      </c>
      <c r="H95" s="124"/>
      <c r="I95" s="124">
        <v>0.45803093839099385</v>
      </c>
      <c r="J95" s="124">
        <v>0.82340214369024223</v>
      </c>
      <c r="K95"/>
      <c r="L95" s="105"/>
      <c r="M95" s="105"/>
      <c r="P95" s="105"/>
      <c r="V95" s="98"/>
    </row>
    <row r="96" spans="2:22" x14ac:dyDescent="0.25">
      <c r="B96"/>
      <c r="C96"/>
      <c r="D96"/>
      <c r="E96"/>
      <c r="F96"/>
      <c r="G96"/>
      <c r="H96"/>
      <c r="I96"/>
      <c r="J96"/>
      <c r="K96"/>
      <c r="L96" s="105"/>
      <c r="M96" s="105"/>
      <c r="P96" s="105"/>
      <c r="V96" s="98"/>
    </row>
    <row r="97" spans="2:22" x14ac:dyDescent="0.25">
      <c r="B97"/>
      <c r="C97"/>
      <c r="D97"/>
      <c r="E97"/>
      <c r="F97"/>
      <c r="G97"/>
      <c r="H97"/>
      <c r="I97"/>
      <c r="J97"/>
      <c r="K97"/>
      <c r="L97" s="105"/>
      <c r="M97" s="105"/>
      <c r="P97" s="105"/>
      <c r="V97" s="98"/>
    </row>
    <row r="98" spans="2:22" x14ac:dyDescent="0.25">
      <c r="B98"/>
      <c r="C98"/>
      <c r="D98"/>
      <c r="E98"/>
      <c r="F98"/>
      <c r="G98"/>
      <c r="H98"/>
      <c r="I98"/>
      <c r="J98"/>
      <c r="K98"/>
      <c r="L98" s="105"/>
      <c r="M98" s="105"/>
      <c r="P98" s="105"/>
      <c r="V98" s="98"/>
    </row>
    <row r="99" spans="2:22" x14ac:dyDescent="0.25">
      <c r="B99" s="112"/>
      <c r="D99" s="98"/>
      <c r="E99" s="128"/>
      <c r="F99" s="98"/>
      <c r="G99" s="98"/>
      <c r="H99" s="98"/>
      <c r="I99" s="98"/>
      <c r="J99" s="98"/>
      <c r="K99" s="98"/>
      <c r="L99" s="105"/>
      <c r="M99" s="105"/>
      <c r="P99" s="105"/>
      <c r="V99" s="98"/>
    </row>
    <row r="100" spans="2:22" x14ac:dyDescent="0.25">
      <c r="B100" s="112"/>
      <c r="D100" s="98"/>
      <c r="E100" s="128"/>
      <c r="F100" s="98"/>
      <c r="G100" s="98"/>
      <c r="H100" s="98"/>
      <c r="I100" s="98"/>
      <c r="J100" s="98"/>
      <c r="K100" s="98"/>
      <c r="L100" s="105"/>
      <c r="M100" s="105"/>
      <c r="P100" s="105"/>
      <c r="V100" s="98"/>
    </row>
    <row r="101" spans="2:22" x14ac:dyDescent="0.25">
      <c r="B101" s="112"/>
      <c r="D101" s="98"/>
      <c r="E101" s="128"/>
      <c r="F101" s="98"/>
      <c r="G101" s="98"/>
      <c r="H101" s="98"/>
      <c r="I101" s="98"/>
      <c r="J101" s="98"/>
      <c r="K101" s="98"/>
      <c r="L101" s="105"/>
      <c r="M101" s="105"/>
      <c r="P101" s="105"/>
      <c r="V101" s="98"/>
    </row>
    <row r="102" spans="2:22" x14ac:dyDescent="0.25">
      <c r="B102" s="112"/>
      <c r="D102" s="98"/>
      <c r="E102" s="128"/>
      <c r="F102" s="98"/>
      <c r="G102" s="98"/>
      <c r="H102" s="98"/>
      <c r="I102" s="98"/>
      <c r="J102" s="98"/>
      <c r="K102" s="98"/>
      <c r="L102" s="105"/>
      <c r="M102" s="105"/>
      <c r="P102" s="105"/>
      <c r="V102" s="98"/>
    </row>
    <row r="103" spans="2:22" x14ac:dyDescent="0.25">
      <c r="B103" s="112"/>
      <c r="D103" s="105"/>
      <c r="E103" s="120"/>
      <c r="F103" s="105"/>
      <c r="G103" s="105"/>
      <c r="H103" s="105"/>
      <c r="I103" s="105"/>
      <c r="J103" s="105"/>
      <c r="K103" s="105"/>
      <c r="L103" s="105"/>
      <c r="M103" s="105"/>
      <c r="P103" s="105"/>
      <c r="V103" s="98"/>
    </row>
    <row r="104" spans="2:22" x14ac:dyDescent="0.25">
      <c r="B104" s="112"/>
      <c r="D104" s="105"/>
      <c r="E104" s="120"/>
      <c r="F104" s="105"/>
      <c r="G104" s="105"/>
      <c r="H104" s="105"/>
      <c r="I104" s="105"/>
      <c r="J104" s="105"/>
      <c r="K104" s="105"/>
      <c r="L104" s="105"/>
      <c r="M104" s="105"/>
      <c r="P104" s="105"/>
      <c r="V104" s="105"/>
    </row>
    <row r="105" spans="2:22" x14ac:dyDescent="0.25">
      <c r="B105" s="112"/>
      <c r="D105" s="105"/>
      <c r="E105" s="120"/>
      <c r="F105" s="105"/>
      <c r="G105" s="105"/>
      <c r="H105" s="105"/>
      <c r="I105" s="105"/>
      <c r="J105" s="105"/>
      <c r="K105" s="105"/>
      <c r="L105" s="105"/>
      <c r="M105" s="105"/>
      <c r="P105" s="105"/>
      <c r="V105" s="105"/>
    </row>
    <row r="106" spans="2:22" x14ac:dyDescent="0.25">
      <c r="B106" s="112"/>
      <c r="D106" s="105"/>
      <c r="E106" s="120"/>
      <c r="F106" s="105"/>
      <c r="G106" s="105"/>
      <c r="H106" s="105"/>
      <c r="I106" s="105"/>
      <c r="J106" s="105"/>
      <c r="K106" s="105"/>
      <c r="L106" s="105"/>
      <c r="M106" s="105"/>
      <c r="P106" s="105"/>
      <c r="V106" s="105"/>
    </row>
    <row r="107" spans="2:22" x14ac:dyDescent="0.25">
      <c r="B107" s="112"/>
      <c r="D107" s="105"/>
      <c r="E107" s="120"/>
      <c r="F107" s="105"/>
      <c r="G107" s="105"/>
      <c r="H107" s="105"/>
      <c r="I107" s="105"/>
      <c r="J107" s="105"/>
      <c r="K107" s="105"/>
      <c r="L107" s="105"/>
      <c r="M107" s="105"/>
      <c r="P107" s="105"/>
      <c r="V107" s="105"/>
    </row>
    <row r="108" spans="2:22" x14ac:dyDescent="0.25">
      <c r="B108" s="112"/>
      <c r="D108" s="105"/>
      <c r="E108" s="120"/>
      <c r="F108" s="105"/>
      <c r="G108" s="105"/>
      <c r="H108" s="105"/>
      <c r="I108" s="105"/>
      <c r="J108" s="105"/>
      <c r="K108" s="105"/>
      <c r="L108" s="105"/>
      <c r="M108" s="105"/>
      <c r="P108" s="105"/>
      <c r="V108" s="105"/>
    </row>
    <row r="109" spans="2:22" x14ac:dyDescent="0.25">
      <c r="B109" s="112"/>
      <c r="D109" s="105"/>
      <c r="E109" s="120"/>
      <c r="F109" s="105"/>
      <c r="G109" s="105"/>
      <c r="H109" s="105"/>
      <c r="I109" s="105"/>
      <c r="J109" s="105"/>
      <c r="K109" s="105"/>
      <c r="L109" s="105"/>
      <c r="M109" s="105"/>
      <c r="P109" s="105"/>
      <c r="V109" s="105"/>
    </row>
    <row r="110" spans="2:22" x14ac:dyDescent="0.25">
      <c r="B110" s="112"/>
      <c r="D110" s="105"/>
      <c r="E110" s="120"/>
      <c r="F110" s="105"/>
      <c r="G110" s="105"/>
      <c r="H110" s="105"/>
      <c r="I110" s="105"/>
      <c r="J110" s="105"/>
      <c r="K110" s="105"/>
      <c r="L110" s="105"/>
      <c r="M110" s="105"/>
      <c r="P110" s="105"/>
      <c r="V110" s="105"/>
    </row>
    <row r="111" spans="2:22" x14ac:dyDescent="0.25">
      <c r="B111" s="112"/>
      <c r="D111" s="105"/>
      <c r="E111" s="120"/>
      <c r="F111" s="105"/>
      <c r="G111" s="105"/>
      <c r="H111" s="105"/>
      <c r="I111" s="105"/>
      <c r="J111" s="105"/>
      <c r="K111" s="105"/>
      <c r="L111" s="105"/>
      <c r="M111" s="105"/>
      <c r="P111" s="105"/>
      <c r="V111" s="105"/>
    </row>
    <row r="112" spans="2:22" x14ac:dyDescent="0.25">
      <c r="B112" s="112"/>
      <c r="D112" s="105"/>
      <c r="E112" s="120"/>
      <c r="F112" s="105"/>
      <c r="G112" s="105"/>
      <c r="H112" s="105"/>
      <c r="I112" s="105"/>
      <c r="J112" s="105"/>
      <c r="K112" s="105"/>
      <c r="L112" s="105"/>
      <c r="M112" s="105"/>
      <c r="P112" s="105"/>
      <c r="V112" s="105"/>
    </row>
    <row r="113" spans="2:22" x14ac:dyDescent="0.25">
      <c r="B113" s="112"/>
      <c r="D113" s="105"/>
      <c r="E113" s="120"/>
      <c r="F113" s="105"/>
      <c r="G113" s="105"/>
      <c r="H113" s="105"/>
      <c r="I113" s="105"/>
      <c r="J113" s="105"/>
      <c r="K113" s="105"/>
      <c r="L113" s="105"/>
      <c r="M113" s="105"/>
      <c r="P113" s="105"/>
      <c r="V113" s="105"/>
    </row>
    <row r="114" spans="2:22" x14ac:dyDescent="0.25">
      <c r="B114" s="112"/>
      <c r="D114" s="105"/>
      <c r="E114" s="120"/>
      <c r="F114" s="105"/>
      <c r="G114" s="105"/>
      <c r="H114" s="105"/>
      <c r="I114" s="105"/>
      <c r="J114" s="105"/>
      <c r="K114" s="105"/>
      <c r="L114" s="105"/>
      <c r="M114" s="105"/>
      <c r="P114" s="105"/>
      <c r="V114" s="105"/>
    </row>
    <row r="115" spans="2:22" x14ac:dyDescent="0.25">
      <c r="B115" s="112"/>
      <c r="D115" s="105"/>
      <c r="E115" s="120"/>
      <c r="F115" s="105"/>
      <c r="G115" s="105"/>
      <c r="H115" s="105"/>
      <c r="I115" s="105"/>
      <c r="J115" s="105"/>
      <c r="K115" s="105"/>
      <c r="L115" s="105"/>
      <c r="M115" s="105"/>
      <c r="P115" s="105"/>
      <c r="V115" s="105"/>
    </row>
    <row r="116" spans="2:22" x14ac:dyDescent="0.25">
      <c r="B116" s="112"/>
      <c r="D116" s="105"/>
      <c r="E116" s="120"/>
      <c r="F116" s="105"/>
      <c r="G116" s="105"/>
      <c r="H116" s="105"/>
      <c r="I116" s="105"/>
      <c r="J116" s="105"/>
      <c r="K116" s="105"/>
      <c r="L116" s="105"/>
      <c r="M116" s="105"/>
      <c r="P116" s="105"/>
      <c r="V116" s="105"/>
    </row>
    <row r="117" spans="2:22" x14ac:dyDescent="0.25">
      <c r="B117" s="112"/>
      <c r="D117" s="105"/>
      <c r="E117" s="120"/>
      <c r="F117" s="105"/>
      <c r="G117" s="105"/>
      <c r="H117" s="105"/>
      <c r="I117" s="105"/>
      <c r="J117" s="105"/>
      <c r="K117" s="105"/>
      <c r="L117" s="105"/>
      <c r="M117" s="105"/>
      <c r="P117" s="105"/>
      <c r="V117" s="105"/>
    </row>
    <row r="118" spans="2:22" x14ac:dyDescent="0.25">
      <c r="B118" s="112"/>
      <c r="D118" s="105"/>
      <c r="E118" s="120"/>
      <c r="F118" s="105"/>
      <c r="G118" s="105"/>
      <c r="H118" s="105"/>
      <c r="I118" s="105"/>
      <c r="J118" s="105"/>
      <c r="K118" s="105"/>
      <c r="L118" s="105"/>
      <c r="M118" s="105"/>
      <c r="P118" s="105"/>
      <c r="V118" s="105"/>
    </row>
    <row r="119" spans="2:22" x14ac:dyDescent="0.25">
      <c r="B119" s="112"/>
      <c r="D119" s="105"/>
      <c r="E119" s="120"/>
      <c r="F119" s="105"/>
      <c r="G119" s="105"/>
      <c r="H119" s="105"/>
      <c r="I119" s="105"/>
      <c r="J119" s="105"/>
      <c r="K119" s="105"/>
      <c r="L119" s="105"/>
      <c r="M119" s="105"/>
      <c r="P119" s="105"/>
      <c r="V119" s="105"/>
    </row>
    <row r="120" spans="2:22" x14ac:dyDescent="0.25">
      <c r="P120" s="114"/>
      <c r="V120" s="105"/>
    </row>
    <row r="121" spans="2:22" x14ac:dyDescent="0.25">
      <c r="P121" s="114"/>
      <c r="V121" s="105"/>
    </row>
    <row r="122" spans="2:22" x14ac:dyDescent="0.25">
      <c r="P122" s="114"/>
      <c r="V122" s="105"/>
    </row>
    <row r="123" spans="2:22" x14ac:dyDescent="0.25">
      <c r="P123" s="114"/>
      <c r="V123" s="105"/>
    </row>
    <row r="124" spans="2:22" x14ac:dyDescent="0.25">
      <c r="P124" s="114"/>
      <c r="V124" s="105"/>
    </row>
    <row r="125" spans="2:22" x14ac:dyDescent="0.25">
      <c r="P125" s="114"/>
      <c r="V125" s="105"/>
    </row>
    <row r="126" spans="2:22" x14ac:dyDescent="0.25">
      <c r="P126" s="114"/>
      <c r="V126" s="105"/>
    </row>
    <row r="127" spans="2:22" x14ac:dyDescent="0.25">
      <c r="P127" s="114"/>
      <c r="V127" s="105"/>
    </row>
    <row r="128" spans="2:22" x14ac:dyDescent="0.25">
      <c r="P128" s="114"/>
      <c r="V128" s="105"/>
    </row>
    <row r="129" spans="16:22" x14ac:dyDescent="0.25">
      <c r="P129" s="114"/>
      <c r="V129" s="105"/>
    </row>
    <row r="130" spans="16:22" x14ac:dyDescent="0.25">
      <c r="P130" s="114"/>
      <c r="V130" s="105"/>
    </row>
    <row r="131" spans="16:22" x14ac:dyDescent="0.25">
      <c r="P131" s="114"/>
      <c r="V131" s="105"/>
    </row>
    <row r="132" spans="16:22" x14ac:dyDescent="0.25">
      <c r="P132" s="114"/>
      <c r="V132" s="105"/>
    </row>
    <row r="133" spans="16:22" x14ac:dyDescent="0.25">
      <c r="P133" s="114"/>
      <c r="V133" s="105"/>
    </row>
    <row r="134" spans="16:22" x14ac:dyDescent="0.25">
      <c r="P134" s="114"/>
      <c r="V134" s="105"/>
    </row>
    <row r="135" spans="16:22" x14ac:dyDescent="0.25">
      <c r="P135" s="114"/>
      <c r="V135" s="105"/>
    </row>
    <row r="136" spans="16:22" x14ac:dyDescent="0.25">
      <c r="P136" s="114"/>
      <c r="V136" s="105"/>
    </row>
    <row r="137" spans="16:22" x14ac:dyDescent="0.25">
      <c r="P137" s="114"/>
      <c r="V137" s="105"/>
    </row>
    <row r="138" spans="16:22" x14ac:dyDescent="0.25">
      <c r="P138" s="114"/>
      <c r="V138" s="105"/>
    </row>
    <row r="139" spans="16:22" x14ac:dyDescent="0.25">
      <c r="P139" s="114"/>
      <c r="V139" s="105"/>
    </row>
    <row r="140" spans="16:22" x14ac:dyDescent="0.25">
      <c r="P140" s="114"/>
      <c r="V140" s="105"/>
    </row>
    <row r="141" spans="16:22" x14ac:dyDescent="0.25">
      <c r="P141" s="114"/>
      <c r="V141" s="105"/>
    </row>
    <row r="142" spans="16:22" x14ac:dyDescent="0.25">
      <c r="P142" s="114"/>
      <c r="V142" s="105"/>
    </row>
    <row r="143" spans="16:22" x14ac:dyDescent="0.25">
      <c r="P143" s="114"/>
      <c r="V143" s="105"/>
    </row>
    <row r="144" spans="16:22" x14ac:dyDescent="0.25">
      <c r="P144" s="114"/>
      <c r="V144" s="105"/>
    </row>
    <row r="145" spans="16:22" x14ac:dyDescent="0.25">
      <c r="P145" s="114"/>
      <c r="V145" s="105"/>
    </row>
    <row r="146" spans="16:22" x14ac:dyDescent="0.25">
      <c r="P146" s="114"/>
      <c r="V146" s="105"/>
    </row>
    <row r="147" spans="16:22" x14ac:dyDescent="0.25">
      <c r="P147" s="114"/>
      <c r="V147" s="105"/>
    </row>
    <row r="148" spans="16:22" x14ac:dyDescent="0.25">
      <c r="P148" s="114"/>
      <c r="V148" s="105"/>
    </row>
    <row r="149" spans="16:22" x14ac:dyDescent="0.25">
      <c r="P149" s="114"/>
      <c r="V149" s="105"/>
    </row>
    <row r="150" spans="16:22" x14ac:dyDescent="0.25">
      <c r="P150" s="114"/>
      <c r="V150" s="105"/>
    </row>
    <row r="151" spans="16:22" x14ac:dyDescent="0.25">
      <c r="P151" s="114"/>
      <c r="V151" s="105"/>
    </row>
    <row r="152" spans="16:22" x14ac:dyDescent="0.25">
      <c r="P152" s="114"/>
      <c r="V152" s="105"/>
    </row>
    <row r="153" spans="16:22" x14ac:dyDescent="0.25">
      <c r="P153" s="114"/>
      <c r="V153" s="105"/>
    </row>
    <row r="154" spans="16:22" x14ac:dyDescent="0.25">
      <c r="P154" s="114"/>
      <c r="V154" s="105"/>
    </row>
    <row r="155" spans="16:22" x14ac:dyDescent="0.25">
      <c r="P155" s="114"/>
      <c r="V155" s="105"/>
    </row>
    <row r="156" spans="16:22" x14ac:dyDescent="0.25">
      <c r="P156" s="114"/>
      <c r="V156" s="105"/>
    </row>
    <row r="157" spans="16:22" x14ac:dyDescent="0.25">
      <c r="P157" s="114"/>
      <c r="V157" s="105"/>
    </row>
    <row r="158" spans="16:22" x14ac:dyDescent="0.25">
      <c r="P158" s="114"/>
      <c r="V158" s="105"/>
    </row>
    <row r="159" spans="16:22" x14ac:dyDescent="0.25">
      <c r="P159" s="114"/>
      <c r="V159" s="105"/>
    </row>
    <row r="160" spans="16:22" x14ac:dyDescent="0.25">
      <c r="P160" s="114"/>
      <c r="V160" s="105"/>
    </row>
    <row r="161" spans="16:22" x14ac:dyDescent="0.25">
      <c r="P161" s="114"/>
      <c r="V161" s="105"/>
    </row>
    <row r="162" spans="16:22" x14ac:dyDescent="0.25">
      <c r="P162" s="114"/>
      <c r="V162" s="105"/>
    </row>
    <row r="163" spans="16:22" x14ac:dyDescent="0.25">
      <c r="P163" s="114"/>
      <c r="V163" s="105"/>
    </row>
    <row r="164" spans="16:22" x14ac:dyDescent="0.25">
      <c r="P164" s="114"/>
      <c r="V164" s="105"/>
    </row>
    <row r="165" spans="16:22" x14ac:dyDescent="0.25">
      <c r="P165" s="114"/>
      <c r="V165" s="105"/>
    </row>
    <row r="166" spans="16:22" x14ac:dyDescent="0.25">
      <c r="P166" s="114"/>
      <c r="V166" s="105"/>
    </row>
    <row r="167" spans="16:22" x14ac:dyDescent="0.25">
      <c r="P167" s="114"/>
      <c r="V167" s="105"/>
    </row>
    <row r="168" spans="16:22" x14ac:dyDescent="0.25">
      <c r="P168" s="114"/>
      <c r="V168" s="105"/>
    </row>
    <row r="169" spans="16:22" x14ac:dyDescent="0.25">
      <c r="P169" s="114"/>
      <c r="V169" s="105"/>
    </row>
    <row r="170" spans="16:22" x14ac:dyDescent="0.25">
      <c r="P170" s="114"/>
      <c r="V170" s="105"/>
    </row>
    <row r="171" spans="16:22" x14ac:dyDescent="0.25">
      <c r="P171" s="114"/>
      <c r="V171" s="105"/>
    </row>
    <row r="172" spans="16:22" x14ac:dyDescent="0.25">
      <c r="P172" s="114"/>
      <c r="V172" s="105"/>
    </row>
    <row r="173" spans="16:22" x14ac:dyDescent="0.25">
      <c r="P173" s="114"/>
      <c r="V173" s="105"/>
    </row>
    <row r="174" spans="16:22" x14ac:dyDescent="0.25">
      <c r="P174" s="114"/>
      <c r="V174" s="105"/>
    </row>
    <row r="175" spans="16:22" x14ac:dyDescent="0.25">
      <c r="P175" s="114"/>
      <c r="V175" s="105"/>
    </row>
    <row r="176" spans="16:22" x14ac:dyDescent="0.25">
      <c r="P176" s="114"/>
      <c r="V176" s="105"/>
    </row>
    <row r="177" spans="16:22" x14ac:dyDescent="0.25">
      <c r="P177" s="114"/>
      <c r="V177" s="105"/>
    </row>
    <row r="178" spans="16:22" x14ac:dyDescent="0.25">
      <c r="P178" s="114"/>
      <c r="V178" s="105"/>
    </row>
    <row r="179" spans="16:22" x14ac:dyDescent="0.25">
      <c r="P179" s="114"/>
      <c r="V179" s="105"/>
    </row>
    <row r="180" spans="16:22" x14ac:dyDescent="0.25">
      <c r="P180" s="114"/>
      <c r="V180" s="105"/>
    </row>
    <row r="181" spans="16:22" x14ac:dyDescent="0.25">
      <c r="P181" s="114"/>
      <c r="V181" s="105"/>
    </row>
    <row r="182" spans="16:22" x14ac:dyDescent="0.25">
      <c r="P182" s="114"/>
      <c r="V182" s="105"/>
    </row>
    <row r="183" spans="16:22" x14ac:dyDescent="0.25">
      <c r="P183" s="114"/>
      <c r="V183" s="105"/>
    </row>
    <row r="184" spans="16:22" x14ac:dyDescent="0.25">
      <c r="P184" s="114"/>
      <c r="V184" s="105"/>
    </row>
    <row r="185" spans="16:22" x14ac:dyDescent="0.25">
      <c r="P185" s="114"/>
      <c r="V185" s="105"/>
    </row>
    <row r="186" spans="16:22" x14ac:dyDescent="0.25">
      <c r="P186" s="114"/>
      <c r="V186" s="105"/>
    </row>
    <row r="187" spans="16:22" x14ac:dyDescent="0.25">
      <c r="P187" s="114"/>
      <c r="V187" s="105"/>
    </row>
    <row r="188" spans="16:22" x14ac:dyDescent="0.25">
      <c r="P188" s="114"/>
      <c r="V188" s="105"/>
    </row>
    <row r="189" spans="16:22" x14ac:dyDescent="0.25">
      <c r="P189" s="114"/>
      <c r="V189" s="105"/>
    </row>
    <row r="190" spans="16:22" x14ac:dyDescent="0.25">
      <c r="P190" s="114"/>
      <c r="V190" s="105"/>
    </row>
    <row r="191" spans="16:22" x14ac:dyDescent="0.25">
      <c r="P191" s="114"/>
      <c r="V191" s="105"/>
    </row>
    <row r="192" spans="16:22" x14ac:dyDescent="0.25">
      <c r="P192" s="114"/>
      <c r="V192" s="105"/>
    </row>
    <row r="193" spans="16:22" x14ac:dyDescent="0.25">
      <c r="P193" s="114"/>
      <c r="V193" s="105"/>
    </row>
    <row r="194" spans="16:22" x14ac:dyDescent="0.25">
      <c r="P194" s="114"/>
      <c r="V194" s="105"/>
    </row>
    <row r="195" spans="16:22" x14ac:dyDescent="0.25">
      <c r="P195" s="114"/>
      <c r="V195" s="105"/>
    </row>
    <row r="196" spans="16:22" x14ac:dyDescent="0.25">
      <c r="P196" s="114"/>
      <c r="V196" s="105"/>
    </row>
    <row r="197" spans="16:22" x14ac:dyDescent="0.25">
      <c r="P197" s="114"/>
      <c r="V197" s="105"/>
    </row>
    <row r="198" spans="16:22" x14ac:dyDescent="0.25">
      <c r="P198" s="114"/>
      <c r="V198" s="105"/>
    </row>
    <row r="199" spans="16:22" x14ac:dyDescent="0.25">
      <c r="P199" s="114"/>
      <c r="V199" s="105"/>
    </row>
    <row r="200" spans="16:22" x14ac:dyDescent="0.25">
      <c r="P200" s="114"/>
      <c r="V200" s="105"/>
    </row>
    <row r="201" spans="16:22" x14ac:dyDescent="0.25">
      <c r="P201" s="114"/>
      <c r="V201" s="105"/>
    </row>
    <row r="202" spans="16:22" x14ac:dyDescent="0.25">
      <c r="P202" s="114"/>
      <c r="V202" s="105"/>
    </row>
    <row r="203" spans="16:22" x14ac:dyDescent="0.25">
      <c r="P203" s="114"/>
      <c r="V203" s="105"/>
    </row>
    <row r="204" spans="16:22" x14ac:dyDescent="0.25">
      <c r="P204" s="114"/>
      <c r="V204" s="105"/>
    </row>
    <row r="205" spans="16:22" x14ac:dyDescent="0.25">
      <c r="P205" s="114"/>
      <c r="V205" s="105"/>
    </row>
    <row r="206" spans="16:22" x14ac:dyDescent="0.25">
      <c r="P206" s="114"/>
      <c r="V206" s="105"/>
    </row>
    <row r="207" spans="16:22" x14ac:dyDescent="0.25">
      <c r="P207" s="114"/>
      <c r="V207" s="105"/>
    </row>
    <row r="208" spans="16:22" x14ac:dyDescent="0.25">
      <c r="P208" s="114"/>
      <c r="V208" s="105"/>
    </row>
    <row r="209" spans="16:22" x14ac:dyDescent="0.25">
      <c r="P209" s="114"/>
      <c r="V209" s="105"/>
    </row>
    <row r="210" spans="16:22" x14ac:dyDescent="0.25">
      <c r="P210" s="114"/>
      <c r="V210" s="105"/>
    </row>
    <row r="211" spans="16:22" x14ac:dyDescent="0.25">
      <c r="P211" s="114"/>
      <c r="V211" s="105"/>
    </row>
    <row r="212" spans="16:22" x14ac:dyDescent="0.25">
      <c r="P212" s="114"/>
      <c r="V212" s="105"/>
    </row>
    <row r="213" spans="16:22" x14ac:dyDescent="0.25">
      <c r="P213" s="114"/>
      <c r="V213" s="105"/>
    </row>
    <row r="214" spans="16:22" x14ac:dyDescent="0.25">
      <c r="P214" s="114"/>
      <c r="V214" s="105"/>
    </row>
    <row r="215" spans="16:22" x14ac:dyDescent="0.25">
      <c r="P215" s="114"/>
      <c r="V215" s="105"/>
    </row>
    <row r="216" spans="16:22" x14ac:dyDescent="0.25">
      <c r="P216" s="114"/>
      <c r="V216" s="105"/>
    </row>
    <row r="217" spans="16:22" x14ac:dyDescent="0.25">
      <c r="P217" s="114"/>
      <c r="V217" s="105"/>
    </row>
    <row r="218" spans="16:22" x14ac:dyDescent="0.25">
      <c r="P218" s="114"/>
      <c r="V218" s="105"/>
    </row>
    <row r="219" spans="16:22" x14ac:dyDescent="0.25">
      <c r="P219" s="114"/>
      <c r="V219" s="105"/>
    </row>
    <row r="220" spans="16:22" x14ac:dyDescent="0.25">
      <c r="P220" s="114"/>
      <c r="V220" s="105"/>
    </row>
    <row r="221" spans="16:22" x14ac:dyDescent="0.25">
      <c r="P221" s="114"/>
      <c r="V221" s="105"/>
    </row>
    <row r="222" spans="16:22" x14ac:dyDescent="0.25">
      <c r="P222" s="114"/>
      <c r="V222" s="105"/>
    </row>
    <row r="223" spans="16:22" x14ac:dyDescent="0.25">
      <c r="P223" s="114"/>
      <c r="V223" s="105"/>
    </row>
    <row r="224" spans="16:22" x14ac:dyDescent="0.25">
      <c r="P224" s="114"/>
      <c r="V224" s="105"/>
    </row>
    <row r="225" spans="16:22" x14ac:dyDescent="0.25">
      <c r="P225" s="114"/>
      <c r="V225" s="105"/>
    </row>
    <row r="226" spans="16:22" x14ac:dyDescent="0.25">
      <c r="P226" s="114"/>
      <c r="V226" s="105"/>
    </row>
    <row r="227" spans="16:22" x14ac:dyDescent="0.25">
      <c r="P227" s="114"/>
      <c r="V227" s="105"/>
    </row>
    <row r="228" spans="16:22" x14ac:dyDescent="0.25">
      <c r="P228" s="114"/>
      <c r="V228" s="105"/>
    </row>
    <row r="229" spans="16:22" x14ac:dyDescent="0.25">
      <c r="P229" s="114"/>
      <c r="V229" s="105"/>
    </row>
    <row r="230" spans="16:22" x14ac:dyDescent="0.25">
      <c r="P230" s="114"/>
      <c r="V230" s="105"/>
    </row>
    <row r="231" spans="16:22" x14ac:dyDescent="0.25">
      <c r="P231" s="114"/>
      <c r="V231" s="105"/>
    </row>
    <row r="232" spans="16:22" x14ac:dyDescent="0.25">
      <c r="P232" s="114"/>
      <c r="V232" s="105"/>
    </row>
    <row r="233" spans="16:22" x14ac:dyDescent="0.25">
      <c r="P233" s="114"/>
      <c r="V233" s="105"/>
    </row>
    <row r="234" spans="16:22" x14ac:dyDescent="0.25">
      <c r="P234" s="114"/>
      <c r="V234" s="105"/>
    </row>
    <row r="235" spans="16:22" x14ac:dyDescent="0.25">
      <c r="P235" s="114"/>
      <c r="V235" s="105"/>
    </row>
    <row r="236" spans="16:22" x14ac:dyDescent="0.25">
      <c r="P236" s="114"/>
      <c r="V236" s="105"/>
    </row>
    <row r="237" spans="16:22" x14ac:dyDescent="0.25">
      <c r="P237" s="114"/>
      <c r="V237" s="105"/>
    </row>
    <row r="238" spans="16:22" x14ac:dyDescent="0.25">
      <c r="P238" s="114"/>
      <c r="V238" s="105"/>
    </row>
    <row r="239" spans="16:22" x14ac:dyDescent="0.25">
      <c r="P239" s="114"/>
      <c r="V239" s="105"/>
    </row>
    <row r="240" spans="16:22" x14ac:dyDescent="0.25">
      <c r="P240" s="114"/>
      <c r="V240" s="105"/>
    </row>
    <row r="241" spans="16:22" x14ac:dyDescent="0.25">
      <c r="P241" s="114"/>
      <c r="V241" s="105"/>
    </row>
    <row r="242" spans="16:22" x14ac:dyDescent="0.25">
      <c r="P242" s="114"/>
      <c r="V242" s="105"/>
    </row>
    <row r="243" spans="16:22" x14ac:dyDescent="0.25">
      <c r="P243" s="114"/>
      <c r="V243" s="105"/>
    </row>
    <row r="244" spans="16:22" x14ac:dyDescent="0.25">
      <c r="P244" s="114"/>
      <c r="V244" s="105"/>
    </row>
    <row r="245" spans="16:22" x14ac:dyDescent="0.25">
      <c r="P245" s="114"/>
      <c r="V245" s="105"/>
    </row>
    <row r="246" spans="16:22" x14ac:dyDescent="0.25">
      <c r="P246" s="114"/>
      <c r="V246" s="105"/>
    </row>
    <row r="247" spans="16:22" x14ac:dyDescent="0.25">
      <c r="P247" s="114"/>
      <c r="V247" s="105"/>
    </row>
    <row r="248" spans="16:22" x14ac:dyDescent="0.25">
      <c r="P248" s="114"/>
      <c r="V248" s="105"/>
    </row>
    <row r="249" spans="16:22" x14ac:dyDescent="0.25">
      <c r="P249" s="114"/>
      <c r="V249" s="105"/>
    </row>
    <row r="250" spans="16:22" x14ac:dyDescent="0.25">
      <c r="P250" s="114"/>
      <c r="V250" s="105"/>
    </row>
    <row r="251" spans="16:22" x14ac:dyDescent="0.25">
      <c r="P251" s="114"/>
      <c r="V251" s="105"/>
    </row>
    <row r="252" spans="16:22" x14ac:dyDescent="0.25">
      <c r="P252" s="114"/>
      <c r="V252" s="105"/>
    </row>
    <row r="253" spans="16:22" x14ac:dyDescent="0.25">
      <c r="P253" s="114"/>
      <c r="V253" s="105"/>
    </row>
    <row r="254" spans="16:22" x14ac:dyDescent="0.25">
      <c r="P254" s="114"/>
      <c r="V254" s="105"/>
    </row>
    <row r="255" spans="16:22" x14ac:dyDescent="0.25">
      <c r="P255" s="114"/>
      <c r="V255" s="105"/>
    </row>
    <row r="256" spans="16:22" x14ac:dyDescent="0.25">
      <c r="P256" s="114"/>
      <c r="V256" s="105"/>
    </row>
    <row r="257" spans="16:22" x14ac:dyDescent="0.25">
      <c r="P257" s="114"/>
      <c r="V257" s="105"/>
    </row>
    <row r="258" spans="16:22" x14ac:dyDescent="0.25">
      <c r="P258" s="114"/>
      <c r="V258" s="105"/>
    </row>
    <row r="259" spans="16:22" x14ac:dyDescent="0.25">
      <c r="P259" s="114"/>
      <c r="V259" s="105"/>
    </row>
    <row r="260" spans="16:22" x14ac:dyDescent="0.25">
      <c r="P260" s="114"/>
      <c r="V260" s="105"/>
    </row>
    <row r="261" spans="16:22" x14ac:dyDescent="0.25">
      <c r="P261" s="114"/>
      <c r="V261" s="105"/>
    </row>
    <row r="262" spans="16:22" x14ac:dyDescent="0.25">
      <c r="P262" s="114"/>
      <c r="V262" s="105"/>
    </row>
    <row r="263" spans="16:22" x14ac:dyDescent="0.25">
      <c r="P263" s="114"/>
      <c r="V263" s="105"/>
    </row>
    <row r="264" spans="16:22" x14ac:dyDescent="0.25">
      <c r="P264" s="114"/>
      <c r="V264" s="105"/>
    </row>
    <row r="265" spans="16:22" x14ac:dyDescent="0.25">
      <c r="P265" s="114"/>
      <c r="V265" s="105"/>
    </row>
    <row r="266" spans="16:22" x14ac:dyDescent="0.25">
      <c r="P266" s="114"/>
      <c r="V266" s="105"/>
    </row>
    <row r="267" spans="16:22" x14ac:dyDescent="0.25">
      <c r="P267" s="114"/>
      <c r="V267" s="105"/>
    </row>
    <row r="268" spans="16:22" x14ac:dyDescent="0.25">
      <c r="P268" s="114"/>
      <c r="V268" s="105"/>
    </row>
    <row r="269" spans="16:22" x14ac:dyDescent="0.25">
      <c r="P269" s="114"/>
      <c r="V269" s="105"/>
    </row>
    <row r="270" spans="16:22" x14ac:dyDescent="0.25">
      <c r="P270" s="114"/>
      <c r="V270" s="105"/>
    </row>
    <row r="271" spans="16:22" x14ac:dyDescent="0.25">
      <c r="P271" s="114"/>
      <c r="V271" s="105"/>
    </row>
    <row r="272" spans="16:22" x14ac:dyDescent="0.25">
      <c r="P272" s="114"/>
      <c r="V272" s="105"/>
    </row>
    <row r="273" spans="16:22" x14ac:dyDescent="0.25">
      <c r="P273" s="114"/>
      <c r="V273" s="105"/>
    </row>
    <row r="274" spans="16:22" x14ac:dyDescent="0.25">
      <c r="P274" s="114"/>
      <c r="V274" s="105"/>
    </row>
    <row r="275" spans="16:22" x14ac:dyDescent="0.25">
      <c r="P275" s="114"/>
      <c r="V275" s="105"/>
    </row>
    <row r="276" spans="16:22" x14ac:dyDescent="0.25">
      <c r="P276" s="114"/>
      <c r="V276" s="105"/>
    </row>
    <row r="277" spans="16:22" x14ac:dyDescent="0.25">
      <c r="P277" s="114"/>
      <c r="V277" s="105"/>
    </row>
    <row r="278" spans="16:22" x14ac:dyDescent="0.25">
      <c r="P278" s="114"/>
      <c r="V278" s="105"/>
    </row>
    <row r="279" spans="16:22" x14ac:dyDescent="0.25">
      <c r="P279" s="114"/>
      <c r="V279" s="105"/>
    </row>
    <row r="280" spans="16:22" x14ac:dyDescent="0.25">
      <c r="P280" s="114"/>
      <c r="V280" s="105"/>
    </row>
    <row r="281" spans="16:22" x14ac:dyDescent="0.25">
      <c r="P281" s="114"/>
      <c r="V281" s="105"/>
    </row>
    <row r="282" spans="16:22" x14ac:dyDescent="0.25">
      <c r="P282" s="114"/>
      <c r="V282" s="105"/>
    </row>
    <row r="283" spans="16:22" x14ac:dyDescent="0.25">
      <c r="P283" s="114"/>
      <c r="V283" s="105"/>
    </row>
    <row r="284" spans="16:22" x14ac:dyDescent="0.25">
      <c r="P284" s="114"/>
      <c r="V284" s="105"/>
    </row>
    <row r="285" spans="16:22" x14ac:dyDescent="0.25">
      <c r="P285" s="114"/>
      <c r="V285" s="105"/>
    </row>
    <row r="286" spans="16:22" x14ac:dyDescent="0.25">
      <c r="P286" s="114"/>
      <c r="V286" s="105"/>
    </row>
    <row r="287" spans="16:22" x14ac:dyDescent="0.25">
      <c r="P287" s="114"/>
      <c r="V287" s="105"/>
    </row>
    <row r="288" spans="16:22" x14ac:dyDescent="0.25">
      <c r="P288" s="114"/>
      <c r="V288" s="105"/>
    </row>
    <row r="289" spans="16:22" x14ac:dyDescent="0.25">
      <c r="P289" s="114"/>
      <c r="V289" s="105"/>
    </row>
    <row r="290" spans="16:22" x14ac:dyDescent="0.25">
      <c r="P290" s="114"/>
      <c r="V290" s="105"/>
    </row>
    <row r="291" spans="16:22" x14ac:dyDescent="0.25">
      <c r="P291" s="114"/>
      <c r="V291" s="105"/>
    </row>
    <row r="292" spans="16:22" x14ac:dyDescent="0.25">
      <c r="P292" s="114"/>
      <c r="V292" s="105"/>
    </row>
    <row r="293" spans="16:22" x14ac:dyDescent="0.25">
      <c r="P293" s="114"/>
      <c r="V293" s="105"/>
    </row>
    <row r="294" spans="16:22" x14ac:dyDescent="0.25">
      <c r="P294" s="114"/>
      <c r="V294" s="105"/>
    </row>
    <row r="295" spans="16:22" x14ac:dyDescent="0.25">
      <c r="P295" s="114"/>
      <c r="V295" s="105"/>
    </row>
    <row r="296" spans="16:22" x14ac:dyDescent="0.25">
      <c r="P296" s="114"/>
      <c r="V296" s="105"/>
    </row>
    <row r="297" spans="16:22" x14ac:dyDescent="0.25">
      <c r="P297" s="114"/>
      <c r="V297" s="105"/>
    </row>
    <row r="298" spans="16:22" x14ac:dyDescent="0.25">
      <c r="P298" s="114"/>
      <c r="V298" s="105"/>
    </row>
    <row r="299" spans="16:22" x14ac:dyDescent="0.25">
      <c r="P299" s="114"/>
      <c r="V299" s="105"/>
    </row>
    <row r="300" spans="16:22" x14ac:dyDescent="0.25">
      <c r="P300" s="114"/>
      <c r="V300" s="105"/>
    </row>
    <row r="301" spans="16:22" x14ac:dyDescent="0.25">
      <c r="P301" s="114"/>
      <c r="V301" s="105"/>
    </row>
    <row r="302" spans="16:22" x14ac:dyDescent="0.25">
      <c r="P302" s="114"/>
      <c r="V302" s="105"/>
    </row>
    <row r="303" spans="16:22" x14ac:dyDescent="0.25">
      <c r="P303" s="114"/>
      <c r="V303" s="105"/>
    </row>
    <row r="304" spans="16:22" x14ac:dyDescent="0.25">
      <c r="P304" s="114"/>
      <c r="V304" s="105"/>
    </row>
    <row r="305" spans="16:22" x14ac:dyDescent="0.25">
      <c r="P305" s="114"/>
      <c r="V305" s="105"/>
    </row>
    <row r="306" spans="16:22" x14ac:dyDescent="0.25">
      <c r="P306" s="114"/>
      <c r="V306" s="105"/>
    </row>
    <row r="307" spans="16:22" x14ac:dyDescent="0.25">
      <c r="P307" s="114"/>
      <c r="V307" s="105"/>
    </row>
    <row r="308" spans="16:22" x14ac:dyDescent="0.25">
      <c r="P308" s="114"/>
      <c r="V308" s="105"/>
    </row>
    <row r="309" spans="16:22" x14ac:dyDescent="0.25">
      <c r="P309" s="114"/>
      <c r="V309" s="105"/>
    </row>
    <row r="310" spans="16:22" x14ac:dyDescent="0.25">
      <c r="P310" s="114"/>
      <c r="V310" s="105"/>
    </row>
    <row r="311" spans="16:22" x14ac:dyDescent="0.25">
      <c r="P311" s="114"/>
      <c r="V311" s="105"/>
    </row>
    <row r="312" spans="16:22" x14ac:dyDescent="0.25">
      <c r="P312" s="114"/>
      <c r="V312" s="105"/>
    </row>
    <row r="313" spans="16:22" x14ac:dyDescent="0.25">
      <c r="P313" s="114"/>
      <c r="V313" s="105"/>
    </row>
    <row r="314" spans="16:22" x14ac:dyDescent="0.25">
      <c r="P314" s="114"/>
      <c r="V314" s="105"/>
    </row>
    <row r="315" spans="16:22" x14ac:dyDescent="0.25">
      <c r="P315" s="114"/>
      <c r="V315" s="105"/>
    </row>
    <row r="316" spans="16:22" x14ac:dyDescent="0.25">
      <c r="P316" s="114"/>
      <c r="V316" s="105"/>
    </row>
    <row r="317" spans="16:22" x14ac:dyDescent="0.25">
      <c r="P317" s="114"/>
      <c r="V317" s="105"/>
    </row>
    <row r="318" spans="16:22" x14ac:dyDescent="0.25">
      <c r="P318" s="114"/>
      <c r="V318" s="105"/>
    </row>
    <row r="319" spans="16:22" x14ac:dyDescent="0.25">
      <c r="P319" s="114"/>
      <c r="V319" s="105"/>
    </row>
    <row r="320" spans="16:22" x14ac:dyDescent="0.25">
      <c r="P320" s="114"/>
      <c r="V320" s="105"/>
    </row>
    <row r="321" spans="16:22" x14ac:dyDescent="0.25">
      <c r="P321" s="114"/>
      <c r="V321" s="105"/>
    </row>
    <row r="322" spans="16:22" x14ac:dyDescent="0.25">
      <c r="P322" s="114"/>
      <c r="V322" s="105"/>
    </row>
    <row r="323" spans="16:22" x14ac:dyDescent="0.25">
      <c r="P323" s="114"/>
      <c r="V323" s="105"/>
    </row>
    <row r="324" spans="16:22" x14ac:dyDescent="0.25">
      <c r="P324" s="114"/>
      <c r="V324" s="105"/>
    </row>
    <row r="325" spans="16:22" x14ac:dyDescent="0.25">
      <c r="P325" s="114"/>
      <c r="V325" s="105"/>
    </row>
    <row r="326" spans="16:22" x14ac:dyDescent="0.25">
      <c r="P326" s="114"/>
      <c r="V326" s="105"/>
    </row>
    <row r="327" spans="16:22" x14ac:dyDescent="0.25">
      <c r="P327" s="114"/>
      <c r="V327" s="105"/>
    </row>
    <row r="328" spans="16:22" x14ac:dyDescent="0.25">
      <c r="P328" s="114"/>
      <c r="V328" s="105"/>
    </row>
    <row r="329" spans="16:22" x14ac:dyDescent="0.25">
      <c r="P329" s="114"/>
      <c r="V329" s="105"/>
    </row>
    <row r="330" spans="16:22" x14ac:dyDescent="0.25">
      <c r="P330" s="114"/>
      <c r="V330" s="105"/>
    </row>
    <row r="331" spans="16:22" x14ac:dyDescent="0.25">
      <c r="P331" s="114"/>
      <c r="V331" s="105"/>
    </row>
    <row r="332" spans="16:22" x14ac:dyDescent="0.25">
      <c r="P332" s="114"/>
      <c r="V332" s="105"/>
    </row>
    <row r="333" spans="16:22" x14ac:dyDescent="0.25">
      <c r="P333" s="114"/>
      <c r="V333" s="105"/>
    </row>
    <row r="334" spans="16:22" x14ac:dyDescent="0.25">
      <c r="P334" s="114"/>
      <c r="V334" s="105"/>
    </row>
    <row r="335" spans="16:22" x14ac:dyDescent="0.25">
      <c r="P335" s="114"/>
      <c r="V335" s="105"/>
    </row>
    <row r="336" spans="16:22" x14ac:dyDescent="0.25">
      <c r="P336" s="114"/>
      <c r="V336" s="105"/>
    </row>
    <row r="337" spans="16:22" x14ac:dyDescent="0.25">
      <c r="P337" s="114"/>
      <c r="V337" s="105"/>
    </row>
    <row r="338" spans="16:22" x14ac:dyDescent="0.25">
      <c r="P338" s="114"/>
      <c r="V338" s="105"/>
    </row>
    <row r="339" spans="16:22" x14ac:dyDescent="0.25">
      <c r="P339" s="114"/>
      <c r="V339" s="105"/>
    </row>
    <row r="340" spans="16:22" x14ac:dyDescent="0.25">
      <c r="P340" s="114"/>
      <c r="V340" s="105"/>
    </row>
    <row r="341" spans="16:22" x14ac:dyDescent="0.25">
      <c r="P341" s="114"/>
      <c r="V341" s="105"/>
    </row>
    <row r="342" spans="16:22" x14ac:dyDescent="0.25">
      <c r="P342" s="114"/>
      <c r="V342" s="105"/>
    </row>
    <row r="343" spans="16:22" x14ac:dyDescent="0.25">
      <c r="P343" s="114"/>
      <c r="V343" s="105"/>
    </row>
    <row r="344" spans="16:22" x14ac:dyDescent="0.25">
      <c r="P344" s="114"/>
      <c r="V344" s="105"/>
    </row>
    <row r="345" spans="16:22" x14ac:dyDescent="0.25">
      <c r="P345" s="114"/>
      <c r="V345" s="105"/>
    </row>
    <row r="346" spans="16:22" x14ac:dyDescent="0.25">
      <c r="P346" s="114"/>
      <c r="V346" s="105"/>
    </row>
    <row r="347" spans="16:22" x14ac:dyDescent="0.25">
      <c r="P347" s="114"/>
      <c r="V347" s="105"/>
    </row>
    <row r="348" spans="16:22" x14ac:dyDescent="0.25">
      <c r="P348" s="114"/>
      <c r="V348" s="105"/>
    </row>
    <row r="349" spans="16:22" x14ac:dyDescent="0.25">
      <c r="P349" s="114"/>
      <c r="V349" s="105"/>
    </row>
    <row r="350" spans="16:22" x14ac:dyDescent="0.25">
      <c r="P350" s="114"/>
      <c r="V350" s="105"/>
    </row>
    <row r="351" spans="16:22" x14ac:dyDescent="0.25">
      <c r="P351" s="114"/>
      <c r="V351" s="105"/>
    </row>
    <row r="352" spans="16:22" x14ac:dyDescent="0.25">
      <c r="P352" s="114"/>
      <c r="V352" s="105"/>
    </row>
    <row r="353" spans="16:22" x14ac:dyDescent="0.25">
      <c r="P353" s="114"/>
      <c r="V353" s="105"/>
    </row>
    <row r="354" spans="16:22" x14ac:dyDescent="0.25">
      <c r="P354" s="114"/>
      <c r="V354" s="105"/>
    </row>
    <row r="355" spans="16:22" x14ac:dyDescent="0.25">
      <c r="P355" s="114"/>
      <c r="V355" s="105"/>
    </row>
    <row r="356" spans="16:22" x14ac:dyDescent="0.25">
      <c r="P356" s="114"/>
      <c r="V356" s="105"/>
    </row>
    <row r="357" spans="16:22" x14ac:dyDescent="0.25">
      <c r="P357" s="114"/>
      <c r="V357" s="105"/>
    </row>
    <row r="358" spans="16:22" x14ac:dyDescent="0.25">
      <c r="P358" s="114"/>
      <c r="V358" s="105"/>
    </row>
    <row r="359" spans="16:22" x14ac:dyDescent="0.25">
      <c r="P359" s="114"/>
      <c r="V359" s="105"/>
    </row>
    <row r="360" spans="16:22" x14ac:dyDescent="0.25">
      <c r="P360" s="114"/>
      <c r="V360" s="105"/>
    </row>
    <row r="361" spans="16:22" x14ac:dyDescent="0.25">
      <c r="P361" s="114"/>
      <c r="V361" s="105"/>
    </row>
    <row r="362" spans="16:22" x14ac:dyDescent="0.25">
      <c r="P362" s="114"/>
      <c r="V362" s="105"/>
    </row>
    <row r="363" spans="16:22" x14ac:dyDescent="0.25">
      <c r="P363" s="114"/>
      <c r="V363" s="105"/>
    </row>
    <row r="364" spans="16:22" x14ac:dyDescent="0.25">
      <c r="P364" s="114"/>
      <c r="V364" s="105"/>
    </row>
    <row r="365" spans="16:22" x14ac:dyDescent="0.25">
      <c r="P365" s="114"/>
      <c r="V365" s="105"/>
    </row>
    <row r="366" spans="16:22" x14ac:dyDescent="0.25">
      <c r="P366" s="114"/>
      <c r="V366" s="105"/>
    </row>
    <row r="367" spans="16:22" x14ac:dyDescent="0.25">
      <c r="P367" s="114"/>
      <c r="V367" s="105"/>
    </row>
    <row r="368" spans="16:22" x14ac:dyDescent="0.25">
      <c r="P368" s="114"/>
      <c r="V368" s="105"/>
    </row>
    <row r="369" spans="16:22" x14ac:dyDescent="0.25">
      <c r="P369" s="114"/>
      <c r="V369" s="105"/>
    </row>
    <row r="370" spans="16:22" x14ac:dyDescent="0.25">
      <c r="P370" s="114"/>
      <c r="V370" s="105"/>
    </row>
    <row r="371" spans="16:22" x14ac:dyDescent="0.25">
      <c r="P371" s="114"/>
      <c r="V371" s="105"/>
    </row>
    <row r="372" spans="16:22" x14ac:dyDescent="0.25">
      <c r="P372" s="114"/>
      <c r="V372" s="105"/>
    </row>
    <row r="373" spans="16:22" x14ac:dyDescent="0.25">
      <c r="P373" s="114"/>
      <c r="V373" s="105"/>
    </row>
    <row r="374" spans="16:22" x14ac:dyDescent="0.25">
      <c r="P374" s="114"/>
      <c r="V374" s="105"/>
    </row>
    <row r="375" spans="16:22" x14ac:dyDescent="0.25">
      <c r="P375" s="114"/>
      <c r="V375" s="105"/>
    </row>
    <row r="376" spans="16:22" x14ac:dyDescent="0.25">
      <c r="P376" s="114"/>
      <c r="V376" s="105"/>
    </row>
    <row r="377" spans="16:22" x14ac:dyDescent="0.25">
      <c r="P377" s="114"/>
      <c r="V377" s="105"/>
    </row>
    <row r="378" spans="16:22" x14ac:dyDescent="0.25">
      <c r="P378" s="114"/>
      <c r="V378" s="105"/>
    </row>
    <row r="379" spans="16:22" x14ac:dyDescent="0.25">
      <c r="P379" s="114"/>
      <c r="V379" s="105"/>
    </row>
    <row r="380" spans="16:22" x14ac:dyDescent="0.25">
      <c r="P380" s="114"/>
      <c r="V380" s="105"/>
    </row>
    <row r="381" spans="16:22" x14ac:dyDescent="0.25">
      <c r="P381" s="114"/>
      <c r="V381" s="105"/>
    </row>
    <row r="382" spans="16:22" x14ac:dyDescent="0.25">
      <c r="P382" s="114"/>
      <c r="V382" s="105"/>
    </row>
    <row r="383" spans="16:22" x14ac:dyDescent="0.25">
      <c r="P383" s="114"/>
      <c r="V383" s="105"/>
    </row>
    <row r="384" spans="16:22" x14ac:dyDescent="0.25">
      <c r="P384" s="114"/>
      <c r="V384" s="105"/>
    </row>
    <row r="385" spans="16:22" x14ac:dyDescent="0.25">
      <c r="P385" s="114"/>
      <c r="V385" s="105"/>
    </row>
    <row r="386" spans="16:22" x14ac:dyDescent="0.25">
      <c r="P386" s="114"/>
      <c r="V386" s="105"/>
    </row>
    <row r="387" spans="16:22" x14ac:dyDescent="0.25">
      <c r="P387" s="114"/>
      <c r="V387" s="105"/>
    </row>
    <row r="388" spans="16:22" x14ac:dyDescent="0.25">
      <c r="P388" s="114"/>
      <c r="V388" s="105"/>
    </row>
    <row r="389" spans="16:22" x14ac:dyDescent="0.25">
      <c r="P389" s="114"/>
      <c r="V389" s="105"/>
    </row>
    <row r="390" spans="16:22" x14ac:dyDescent="0.25">
      <c r="P390" s="114"/>
      <c r="V390" s="105"/>
    </row>
    <row r="391" spans="16:22" x14ac:dyDescent="0.25">
      <c r="P391" s="114"/>
      <c r="V391" s="105"/>
    </row>
    <row r="392" spans="16:22" x14ac:dyDescent="0.25">
      <c r="P392" s="114"/>
      <c r="V392" s="105"/>
    </row>
    <row r="393" spans="16:22" x14ac:dyDescent="0.25">
      <c r="P393" s="114"/>
      <c r="V393" s="105"/>
    </row>
    <row r="394" spans="16:22" x14ac:dyDescent="0.25">
      <c r="P394" s="114"/>
      <c r="V394" s="105"/>
    </row>
    <row r="395" spans="16:22" x14ac:dyDescent="0.25">
      <c r="P395" s="114"/>
      <c r="V395" s="105"/>
    </row>
    <row r="396" spans="16:22" x14ac:dyDescent="0.25">
      <c r="P396" s="114"/>
      <c r="V396" s="105"/>
    </row>
    <row r="397" spans="16:22" x14ac:dyDescent="0.25">
      <c r="P397" s="114"/>
      <c r="V397" s="105"/>
    </row>
    <row r="398" spans="16:22" x14ac:dyDescent="0.25">
      <c r="P398" s="114"/>
      <c r="V398" s="105"/>
    </row>
    <row r="399" spans="16:22" x14ac:dyDescent="0.25">
      <c r="P399" s="114"/>
      <c r="V399" s="105"/>
    </row>
    <row r="400" spans="16:22" x14ac:dyDescent="0.25">
      <c r="P400" s="114"/>
      <c r="V400" s="105"/>
    </row>
    <row r="401" spans="16:22" x14ac:dyDescent="0.25">
      <c r="P401" s="114"/>
      <c r="V401" s="105"/>
    </row>
    <row r="402" spans="16:22" x14ac:dyDescent="0.25">
      <c r="P402" s="114"/>
      <c r="V402" s="105"/>
    </row>
    <row r="403" spans="16:22" x14ac:dyDescent="0.25">
      <c r="P403" s="114"/>
      <c r="V403" s="105"/>
    </row>
    <row r="404" spans="16:22" x14ac:dyDescent="0.25">
      <c r="P404" s="114"/>
      <c r="V404" s="105"/>
    </row>
    <row r="405" spans="16:22" x14ac:dyDescent="0.25">
      <c r="P405" s="114"/>
      <c r="V405" s="105"/>
    </row>
    <row r="406" spans="16:22" x14ac:dyDescent="0.25">
      <c r="P406" s="114"/>
      <c r="V406" s="105"/>
    </row>
    <row r="407" spans="16:22" x14ac:dyDescent="0.25">
      <c r="P407" s="114"/>
      <c r="V407" s="105"/>
    </row>
    <row r="408" spans="16:22" x14ac:dyDescent="0.25">
      <c r="P408" s="114"/>
      <c r="V408" s="105"/>
    </row>
    <row r="409" spans="16:22" x14ac:dyDescent="0.25">
      <c r="P409" s="114"/>
      <c r="V409" s="105"/>
    </row>
    <row r="410" spans="16:22" x14ac:dyDescent="0.25">
      <c r="P410" s="114"/>
      <c r="V410" s="105"/>
    </row>
    <row r="411" spans="16:22" x14ac:dyDescent="0.25">
      <c r="P411" s="114"/>
      <c r="V411" s="105"/>
    </row>
    <row r="412" spans="16:22" x14ac:dyDescent="0.25">
      <c r="P412" s="114"/>
      <c r="V412" s="105"/>
    </row>
    <row r="413" spans="16:22" x14ac:dyDescent="0.25">
      <c r="P413" s="114"/>
      <c r="V413" s="105"/>
    </row>
    <row r="414" spans="16:22" x14ac:dyDescent="0.25">
      <c r="P414" s="114"/>
      <c r="V414" s="105"/>
    </row>
    <row r="415" spans="16:22" x14ac:dyDescent="0.25">
      <c r="P415" s="114"/>
      <c r="V415" s="105"/>
    </row>
    <row r="416" spans="16:22" x14ac:dyDescent="0.25">
      <c r="P416" s="114"/>
      <c r="V416" s="105"/>
    </row>
    <row r="417" spans="16:22" x14ac:dyDescent="0.25">
      <c r="P417" s="114"/>
      <c r="V417" s="105"/>
    </row>
    <row r="418" spans="16:22" x14ac:dyDescent="0.25">
      <c r="P418" s="114"/>
      <c r="V418" s="105"/>
    </row>
    <row r="419" spans="16:22" x14ac:dyDescent="0.25">
      <c r="P419" s="114"/>
      <c r="V419" s="105"/>
    </row>
    <row r="420" spans="16:22" x14ac:dyDescent="0.25">
      <c r="P420" s="114"/>
      <c r="V420" s="105"/>
    </row>
    <row r="421" spans="16:22" x14ac:dyDescent="0.25">
      <c r="P421" s="114"/>
      <c r="V421" s="105"/>
    </row>
    <row r="422" spans="16:22" x14ac:dyDescent="0.25">
      <c r="P422" s="114"/>
      <c r="V422" s="105"/>
    </row>
    <row r="423" spans="16:22" x14ac:dyDescent="0.25">
      <c r="P423" s="114"/>
      <c r="V423" s="105"/>
    </row>
    <row r="424" spans="16:22" x14ac:dyDescent="0.25">
      <c r="P424" s="114"/>
      <c r="V424" s="105"/>
    </row>
    <row r="425" spans="16:22" x14ac:dyDescent="0.25">
      <c r="P425" s="114"/>
      <c r="V425" s="105"/>
    </row>
    <row r="426" spans="16:22" x14ac:dyDescent="0.25">
      <c r="P426" s="114"/>
      <c r="V426" s="105"/>
    </row>
    <row r="427" spans="16:22" x14ac:dyDescent="0.25">
      <c r="P427" s="114"/>
      <c r="V427" s="105"/>
    </row>
    <row r="428" spans="16:22" x14ac:dyDescent="0.25">
      <c r="P428" s="114"/>
      <c r="V428" s="105"/>
    </row>
    <row r="429" spans="16:22" x14ac:dyDescent="0.25">
      <c r="P429" s="114"/>
      <c r="V429" s="105"/>
    </row>
    <row r="430" spans="16:22" x14ac:dyDescent="0.25">
      <c r="P430" s="114"/>
      <c r="V430" s="105"/>
    </row>
    <row r="431" spans="16:22" x14ac:dyDescent="0.25">
      <c r="P431" s="114"/>
      <c r="V431" s="105"/>
    </row>
    <row r="432" spans="16:22" x14ac:dyDescent="0.25">
      <c r="P432" s="114"/>
      <c r="V432" s="105"/>
    </row>
    <row r="433" spans="16:22" x14ac:dyDescent="0.25">
      <c r="P433" s="114"/>
      <c r="V433" s="105"/>
    </row>
    <row r="434" spans="16:22" x14ac:dyDescent="0.25">
      <c r="P434" s="114"/>
      <c r="V434" s="105"/>
    </row>
    <row r="435" spans="16:22" x14ac:dyDescent="0.25">
      <c r="P435" s="114"/>
      <c r="V435" s="105"/>
    </row>
    <row r="436" spans="16:22" x14ac:dyDescent="0.25">
      <c r="P436" s="114"/>
      <c r="V436" s="105"/>
    </row>
    <row r="437" spans="16:22" x14ac:dyDescent="0.25">
      <c r="P437" s="114"/>
      <c r="V437" s="105"/>
    </row>
    <row r="438" spans="16:22" x14ac:dyDescent="0.25">
      <c r="P438" s="114"/>
      <c r="V438" s="105"/>
    </row>
    <row r="439" spans="16:22" x14ac:dyDescent="0.25">
      <c r="P439" s="114"/>
      <c r="V439" s="105"/>
    </row>
    <row r="440" spans="16:22" x14ac:dyDescent="0.25">
      <c r="P440" s="114"/>
      <c r="V440" s="105"/>
    </row>
    <row r="441" spans="16:22" x14ac:dyDescent="0.25">
      <c r="P441" s="114"/>
      <c r="V441" s="105"/>
    </row>
    <row r="442" spans="16:22" x14ac:dyDescent="0.25">
      <c r="P442" s="114"/>
      <c r="V442" s="105"/>
    </row>
    <row r="443" spans="16:22" x14ac:dyDescent="0.25">
      <c r="P443" s="114"/>
      <c r="V443" s="105"/>
    </row>
    <row r="444" spans="16:22" x14ac:dyDescent="0.25">
      <c r="P444" s="114"/>
      <c r="V444" s="105"/>
    </row>
    <row r="445" spans="16:22" x14ac:dyDescent="0.25">
      <c r="P445" s="114"/>
      <c r="V445" s="105"/>
    </row>
    <row r="446" spans="16:22" x14ac:dyDescent="0.25">
      <c r="P446" s="114"/>
      <c r="V446" s="105"/>
    </row>
    <row r="447" spans="16:22" x14ac:dyDescent="0.25">
      <c r="P447" s="114"/>
      <c r="V447" s="105"/>
    </row>
    <row r="448" spans="16:22" x14ac:dyDescent="0.25">
      <c r="P448" s="114"/>
      <c r="V448" s="105"/>
    </row>
    <row r="449" spans="16:22" x14ac:dyDescent="0.25">
      <c r="P449" s="114"/>
      <c r="V449" s="105"/>
    </row>
    <row r="450" spans="16:22" x14ac:dyDescent="0.25">
      <c r="P450" s="114"/>
      <c r="V450" s="105"/>
    </row>
    <row r="451" spans="16:22" x14ac:dyDescent="0.25">
      <c r="P451" s="114"/>
      <c r="V451" s="105"/>
    </row>
    <row r="452" spans="16:22" x14ac:dyDescent="0.25">
      <c r="P452" s="114"/>
      <c r="V452" s="105"/>
    </row>
    <row r="453" spans="16:22" x14ac:dyDescent="0.25">
      <c r="P453" s="114"/>
      <c r="V453" s="105"/>
    </row>
    <row r="454" spans="16:22" x14ac:dyDescent="0.25">
      <c r="P454" s="114"/>
      <c r="V454" s="105"/>
    </row>
    <row r="455" spans="16:22" x14ac:dyDescent="0.25">
      <c r="P455" s="114"/>
      <c r="V455" s="105"/>
    </row>
    <row r="456" spans="16:22" x14ac:dyDescent="0.25">
      <c r="P456" s="114"/>
      <c r="V456" s="105"/>
    </row>
    <row r="457" spans="16:22" x14ac:dyDescent="0.25">
      <c r="P457" s="114"/>
      <c r="V457" s="105"/>
    </row>
    <row r="458" spans="16:22" x14ac:dyDescent="0.25">
      <c r="P458" s="114"/>
      <c r="V458" s="105"/>
    </row>
    <row r="459" spans="16:22" x14ac:dyDescent="0.25">
      <c r="P459" s="114"/>
      <c r="V459" s="105"/>
    </row>
    <row r="460" spans="16:22" x14ac:dyDescent="0.25">
      <c r="P460" s="114"/>
      <c r="V460" s="105"/>
    </row>
    <row r="461" spans="16:22" x14ac:dyDescent="0.25">
      <c r="P461" s="114"/>
      <c r="V461" s="105"/>
    </row>
    <row r="462" spans="16:22" x14ac:dyDescent="0.25">
      <c r="P462" s="114"/>
      <c r="V462" s="105"/>
    </row>
    <row r="463" spans="16:22" x14ac:dyDescent="0.25">
      <c r="P463" s="114"/>
      <c r="V463" s="105"/>
    </row>
    <row r="464" spans="16:22" x14ac:dyDescent="0.25">
      <c r="P464" s="114"/>
      <c r="V464" s="105"/>
    </row>
    <row r="465" spans="16:22" x14ac:dyDescent="0.25">
      <c r="P465" s="114"/>
      <c r="V465" s="105"/>
    </row>
    <row r="466" spans="16:22" x14ac:dyDescent="0.25">
      <c r="P466" s="114"/>
      <c r="V466" s="105"/>
    </row>
    <row r="467" spans="16:22" x14ac:dyDescent="0.25">
      <c r="P467" s="114"/>
      <c r="V467" s="105"/>
    </row>
    <row r="468" spans="16:22" x14ac:dyDescent="0.25">
      <c r="P468" s="114"/>
      <c r="V468" s="105"/>
    </row>
    <row r="469" spans="16:22" x14ac:dyDescent="0.25">
      <c r="P469" s="114"/>
      <c r="V469" s="105"/>
    </row>
    <row r="470" spans="16:22" x14ac:dyDescent="0.25">
      <c r="P470" s="114"/>
      <c r="V470" s="105"/>
    </row>
    <row r="471" spans="16:22" x14ac:dyDescent="0.25">
      <c r="P471" s="114"/>
      <c r="V471" s="105"/>
    </row>
    <row r="472" spans="16:22" x14ac:dyDescent="0.25">
      <c r="P472" s="114"/>
      <c r="V472" s="105"/>
    </row>
    <row r="473" spans="16:22" x14ac:dyDescent="0.25">
      <c r="P473" s="114"/>
      <c r="V473" s="105"/>
    </row>
    <row r="474" spans="16:22" x14ac:dyDescent="0.25">
      <c r="P474" s="114"/>
      <c r="V474" s="105"/>
    </row>
    <row r="475" spans="16:22" x14ac:dyDescent="0.25">
      <c r="P475" s="114"/>
      <c r="V475" s="105"/>
    </row>
    <row r="476" spans="16:22" x14ac:dyDescent="0.25">
      <c r="P476" s="114"/>
      <c r="V476" s="105"/>
    </row>
    <row r="477" spans="16:22" x14ac:dyDescent="0.25">
      <c r="P477" s="114"/>
      <c r="V477" s="105"/>
    </row>
    <row r="478" spans="16:22" x14ac:dyDescent="0.25">
      <c r="P478" s="114"/>
      <c r="V478" s="105"/>
    </row>
    <row r="479" spans="16:22" x14ac:dyDescent="0.25">
      <c r="P479" s="114"/>
      <c r="V479" s="105"/>
    </row>
    <row r="480" spans="16:22" x14ac:dyDescent="0.25">
      <c r="P480" s="114"/>
      <c r="V480" s="105"/>
    </row>
    <row r="481" spans="16:22" x14ac:dyDescent="0.25">
      <c r="P481" s="114"/>
      <c r="V481" s="105"/>
    </row>
    <row r="482" spans="16:22" x14ac:dyDescent="0.25">
      <c r="P482" s="114"/>
      <c r="V482" s="105"/>
    </row>
    <row r="483" spans="16:22" x14ac:dyDescent="0.25">
      <c r="P483" s="114"/>
      <c r="V483" s="105"/>
    </row>
    <row r="484" spans="16:22" x14ac:dyDescent="0.25">
      <c r="P484" s="114"/>
      <c r="V484" s="105"/>
    </row>
    <row r="485" spans="16:22" x14ac:dyDescent="0.25">
      <c r="P485" s="114"/>
      <c r="V485" s="105"/>
    </row>
    <row r="486" spans="16:22" x14ac:dyDescent="0.25">
      <c r="P486" s="114"/>
      <c r="V486" s="105"/>
    </row>
    <row r="487" spans="16:22" x14ac:dyDescent="0.25">
      <c r="P487" s="114"/>
      <c r="V487" s="105"/>
    </row>
    <row r="488" spans="16:22" x14ac:dyDescent="0.25">
      <c r="P488" s="114"/>
      <c r="V488" s="105"/>
    </row>
    <row r="489" spans="16:22" x14ac:dyDescent="0.25">
      <c r="P489" s="114"/>
      <c r="V489" s="105"/>
    </row>
    <row r="490" spans="16:22" x14ac:dyDescent="0.25">
      <c r="P490" s="114"/>
      <c r="V490" s="105"/>
    </row>
    <row r="491" spans="16:22" x14ac:dyDescent="0.25">
      <c r="P491" s="114"/>
      <c r="V491" s="105"/>
    </row>
    <row r="492" spans="16:22" x14ac:dyDescent="0.25">
      <c r="P492" s="114"/>
      <c r="V492" s="105"/>
    </row>
    <row r="493" spans="16:22" x14ac:dyDescent="0.25">
      <c r="P493" s="114"/>
      <c r="V493" s="105"/>
    </row>
    <row r="494" spans="16:22" x14ac:dyDescent="0.25">
      <c r="P494" s="114"/>
      <c r="V494" s="105"/>
    </row>
    <row r="495" spans="16:22" x14ac:dyDescent="0.25">
      <c r="P495" s="114"/>
      <c r="V495" s="105"/>
    </row>
    <row r="496" spans="16:22" x14ac:dyDescent="0.25">
      <c r="P496" s="114"/>
      <c r="V496" s="105"/>
    </row>
    <row r="497" spans="16:22" x14ac:dyDescent="0.25">
      <c r="P497" s="114"/>
      <c r="V497" s="105"/>
    </row>
    <row r="498" spans="16:22" x14ac:dyDescent="0.25">
      <c r="P498" s="114"/>
      <c r="V498" s="105"/>
    </row>
    <row r="499" spans="16:22" x14ac:dyDescent="0.25">
      <c r="P499" s="114"/>
      <c r="V499" s="105"/>
    </row>
    <row r="500" spans="16:22" x14ac:dyDescent="0.25">
      <c r="P500" s="114"/>
      <c r="V500" s="105"/>
    </row>
    <row r="501" spans="16:22" x14ac:dyDescent="0.25">
      <c r="P501" s="114"/>
      <c r="V501" s="105"/>
    </row>
    <row r="502" spans="16:22" x14ac:dyDescent="0.25">
      <c r="P502" s="114"/>
      <c r="V502" s="105"/>
    </row>
    <row r="503" spans="16:22" x14ac:dyDescent="0.25">
      <c r="P503" s="114"/>
      <c r="V503" s="105"/>
    </row>
    <row r="504" spans="16:22" x14ac:dyDescent="0.25">
      <c r="P504" s="114"/>
      <c r="V504" s="105"/>
    </row>
  </sheetData>
  <mergeCells count="7">
    <mergeCell ref="B2:F2"/>
    <mergeCell ref="B11:D11"/>
    <mergeCell ref="Q11:V11"/>
    <mergeCell ref="B12:D12"/>
    <mergeCell ref="L11:M11"/>
    <mergeCell ref="I11:J11"/>
    <mergeCell ref="F11:G1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5979-96BB-43EA-B643-331EE87761B1}">
  <dimension ref="B1:S31"/>
  <sheetViews>
    <sheetView showGridLines="0" zoomScale="85" zoomScaleNormal="85" workbookViewId="0">
      <selection activeCell="I4" sqref="I4"/>
    </sheetView>
  </sheetViews>
  <sheetFormatPr defaultRowHeight="15" x14ac:dyDescent="0.25"/>
  <cols>
    <col min="1" max="1" width="2.28515625" style="59" customWidth="1"/>
    <col min="2" max="2" width="12.5703125" style="141" customWidth="1"/>
    <col min="3" max="3" width="15" style="59" customWidth="1"/>
    <col min="4" max="4" width="10.85546875" style="59" bestFit="1" customWidth="1"/>
    <col min="5" max="5" width="9.140625" style="59"/>
    <col min="6" max="6" width="21.85546875" style="59" bestFit="1" customWidth="1"/>
    <col min="7" max="7" width="9.140625" style="59"/>
    <col min="8" max="8" width="8.140625" style="59" bestFit="1" customWidth="1"/>
    <col min="9" max="14" width="9.140625" style="59"/>
    <col min="15" max="15" width="9.85546875" style="59" bestFit="1" customWidth="1"/>
    <col min="16" max="16" width="9.140625" style="59"/>
    <col min="17" max="17" width="10.85546875" style="59" bestFit="1" customWidth="1"/>
    <col min="18" max="16384" width="9.140625" style="59"/>
  </cols>
  <sheetData>
    <row r="1" spans="2:19" x14ac:dyDescent="0.25">
      <c r="B1" s="149"/>
      <c r="C1" s="64"/>
      <c r="D1" s="64"/>
      <c r="E1" s="64"/>
      <c r="F1" s="64"/>
      <c r="G1" s="64"/>
      <c r="H1" s="64"/>
      <c r="I1" s="64"/>
      <c r="J1" s="64"/>
      <c r="K1" s="64"/>
    </row>
    <row r="2" spans="2:19" ht="15.75" x14ac:dyDescent="0.25">
      <c r="B2" s="150"/>
      <c r="C2" s="151"/>
      <c r="D2" s="64"/>
      <c r="E2" s="64"/>
      <c r="F2" s="64"/>
      <c r="G2" s="64"/>
      <c r="H2" s="64"/>
      <c r="I2" s="64"/>
      <c r="J2" s="64"/>
      <c r="K2" s="64"/>
      <c r="O2" s="61"/>
      <c r="P2" s="61"/>
      <c r="Q2" s="61"/>
    </row>
    <row r="3" spans="2:19" x14ac:dyDescent="0.25">
      <c r="B3" s="59"/>
      <c r="H3" s="64"/>
      <c r="I3" s="64"/>
      <c r="J3" s="64"/>
      <c r="K3" s="64"/>
      <c r="O3" s="61"/>
      <c r="P3" s="61"/>
      <c r="Q3" s="61"/>
    </row>
    <row r="4" spans="2:19" ht="21" x14ac:dyDescent="0.35">
      <c r="B4" s="185" t="s">
        <v>305</v>
      </c>
      <c r="C4" s="186"/>
      <c r="D4" s="186"/>
      <c r="E4" s="186"/>
      <c r="F4" s="186"/>
      <c r="H4" s="64"/>
      <c r="I4" s="64"/>
      <c r="J4" s="64"/>
      <c r="K4" s="64"/>
      <c r="O4" s="61"/>
      <c r="P4" s="61"/>
      <c r="Q4" s="61"/>
    </row>
    <row r="5" spans="2:19" ht="21" x14ac:dyDescent="0.35">
      <c r="B5" s="187"/>
      <c r="C5" s="187"/>
      <c r="D5" s="187"/>
      <c r="E5" s="187"/>
      <c r="F5" s="188"/>
      <c r="H5" s="64"/>
      <c r="I5" s="64"/>
      <c r="J5" s="64"/>
      <c r="K5" s="64"/>
    </row>
    <row r="6" spans="2:19" x14ac:dyDescent="0.25">
      <c r="B6" s="59" t="s">
        <v>303</v>
      </c>
      <c r="F6" s="136">
        <f>4.275%</f>
        <v>4.2750000000000003E-2</v>
      </c>
      <c r="H6" s="64"/>
      <c r="I6" s="64"/>
      <c r="J6" s="64"/>
      <c r="K6" s="64"/>
    </row>
    <row r="7" spans="2:19" x14ac:dyDescent="0.25">
      <c r="B7" s="59" t="s">
        <v>354</v>
      </c>
      <c r="F7" s="60">
        <f>D19</f>
        <v>7.3083565739857193E-2</v>
      </c>
      <c r="H7" s="155"/>
      <c r="I7" s="64"/>
      <c r="J7" s="64"/>
      <c r="K7" s="64"/>
    </row>
    <row r="8" spans="2:19" x14ac:dyDescent="0.25">
      <c r="B8" s="143"/>
      <c r="C8" s="87"/>
      <c r="D8" s="87"/>
      <c r="E8" s="80"/>
      <c r="F8" s="92"/>
      <c r="H8" s="64"/>
      <c r="I8" s="64"/>
      <c r="J8" s="64"/>
      <c r="K8" s="64"/>
      <c r="N8"/>
      <c r="O8" s="72"/>
      <c r="P8" s="64"/>
      <c r="Q8" s="64"/>
      <c r="R8" s="64"/>
      <c r="S8" s="64"/>
    </row>
    <row r="9" spans="2:19" ht="16.5" thickBot="1" x14ac:dyDescent="0.3">
      <c r="B9" s="143" t="s">
        <v>305</v>
      </c>
      <c r="C9" s="142"/>
      <c r="D9" s="144"/>
      <c r="E9" s="142"/>
      <c r="F9" s="144">
        <f>F7-F6</f>
        <v>3.0333565739857189E-2</v>
      </c>
      <c r="H9" s="64"/>
      <c r="I9" s="64"/>
      <c r="J9" s="64"/>
      <c r="K9" s="64"/>
      <c r="N9"/>
      <c r="O9" s="64"/>
      <c r="P9" s="64"/>
      <c r="Q9" s="64"/>
      <c r="R9" s="64"/>
      <c r="S9" s="116"/>
    </row>
    <row r="10" spans="2:19" ht="15.75" thickTop="1" x14ac:dyDescent="0.25">
      <c r="B10"/>
      <c r="C10"/>
      <c r="D10"/>
      <c r="E10"/>
      <c r="F10"/>
      <c r="H10" s="152"/>
      <c r="I10" s="64"/>
      <c r="J10" s="64"/>
      <c r="K10" s="64"/>
      <c r="N10"/>
      <c r="O10" s="64"/>
      <c r="P10" s="64"/>
      <c r="Q10" s="64"/>
      <c r="R10" s="64"/>
      <c r="S10" s="156"/>
    </row>
    <row r="11" spans="2:19" x14ac:dyDescent="0.25">
      <c r="B11"/>
      <c r="C11"/>
      <c r="D11"/>
      <c r="E11"/>
      <c r="F11"/>
      <c r="H11" s="101"/>
      <c r="I11" s="64"/>
      <c r="J11" s="64"/>
      <c r="K11" s="64"/>
      <c r="N11"/>
      <c r="O11" s="64"/>
      <c r="P11" s="64"/>
      <c r="Q11" s="64"/>
      <c r="R11" s="64"/>
      <c r="S11" s="152"/>
    </row>
    <row r="12" spans="2:19" ht="21" x14ac:dyDescent="0.35">
      <c r="B12" s="189" t="s">
        <v>334</v>
      </c>
      <c r="C12" s="189" t="s">
        <v>351</v>
      </c>
      <c r="D12" s="189" t="s">
        <v>352</v>
      </c>
      <c r="E12" s="190"/>
      <c r="F12"/>
      <c r="H12" s="64"/>
      <c r="I12" s="64"/>
      <c r="J12" s="64"/>
      <c r="K12" s="64"/>
      <c r="N12"/>
      <c r="O12" s="72"/>
      <c r="P12" s="64"/>
      <c r="Q12" s="64"/>
      <c r="R12" s="64"/>
      <c r="S12" s="128"/>
    </row>
    <row r="13" spans="2:19" ht="21" x14ac:dyDescent="0.35">
      <c r="B13" s="191"/>
      <c r="C13" s="191"/>
      <c r="D13" s="191"/>
      <c r="E13" s="192"/>
      <c r="F13"/>
      <c r="H13" s="153"/>
      <c r="I13" s="64"/>
      <c r="J13" s="64"/>
      <c r="K13" s="154"/>
      <c r="N13"/>
      <c r="O13" s="72"/>
      <c r="P13" s="117"/>
      <c r="Q13" s="157"/>
      <c r="R13" s="117"/>
      <c r="S13" s="157"/>
    </row>
    <row r="14" spans="2:19" x14ac:dyDescent="0.25">
      <c r="B14" s="121">
        <v>31048</v>
      </c>
      <c r="C14">
        <v>1985</v>
      </c>
      <c r="D14" s="35">
        <v>1097.02</v>
      </c>
      <c r="E14"/>
      <c r="F14"/>
      <c r="H14" s="64"/>
      <c r="I14" s="64"/>
      <c r="J14" s="64"/>
      <c r="K14" s="64"/>
      <c r="N14"/>
      <c r="O14" s="5"/>
      <c r="P14" s="5"/>
      <c r="Q14" s="5"/>
      <c r="R14" s="5"/>
      <c r="S14" s="5"/>
    </row>
    <row r="15" spans="2:19" x14ac:dyDescent="0.25">
      <c r="B15" s="121">
        <v>45342</v>
      </c>
      <c r="C15">
        <v>2024</v>
      </c>
      <c r="D15">
        <v>17340.169999999998</v>
      </c>
      <c r="E15"/>
      <c r="F15"/>
      <c r="H15" s="64"/>
      <c r="I15" s="64"/>
      <c r="J15" s="64"/>
      <c r="K15" s="64"/>
      <c r="N15"/>
      <c r="O15" s="5"/>
      <c r="P15" s="5"/>
      <c r="Q15" s="5"/>
      <c r="R15" s="5"/>
      <c r="S15" s="5"/>
    </row>
    <row r="16" spans="2:19" x14ac:dyDescent="0.25">
      <c r="B16"/>
      <c r="C16"/>
      <c r="D16"/>
      <c r="E16"/>
      <c r="F16"/>
      <c r="H16" s="155"/>
      <c r="I16" s="64"/>
      <c r="J16" s="64"/>
      <c r="K16" s="64"/>
      <c r="N16"/>
      <c r="O16" s="5"/>
      <c r="P16" s="5"/>
      <c r="Q16" s="5"/>
      <c r="R16" s="5"/>
      <c r="S16" s="5"/>
    </row>
    <row r="17" spans="2:19" x14ac:dyDescent="0.25">
      <c r="B17" s="28" t="s">
        <v>37</v>
      </c>
      <c r="C17"/>
      <c r="D17" s="9"/>
      <c r="E17"/>
      <c r="F17"/>
      <c r="H17" s="64"/>
      <c r="I17" s="64"/>
      <c r="J17" s="64"/>
      <c r="K17" s="64"/>
      <c r="N17"/>
      <c r="O17" s="5"/>
      <c r="P17" s="5"/>
      <c r="Q17" s="5"/>
      <c r="R17" s="5"/>
      <c r="S17" s="5"/>
    </row>
    <row r="18" spans="2:19" x14ac:dyDescent="0.25">
      <c r="B18" s="42" t="s">
        <v>355</v>
      </c>
      <c r="C18" s="138"/>
      <c r="D18" s="139">
        <f>YEARFRAC(B14,B15,1)</f>
        <v>39.134839151266256</v>
      </c>
      <c r="E18"/>
      <c r="F18"/>
      <c r="H18" s="152"/>
      <c r="I18" s="64"/>
      <c r="J18" s="64"/>
      <c r="K18" s="64"/>
      <c r="N18"/>
      <c r="O18" s="158"/>
      <c r="P18" s="5"/>
      <c r="Q18" s="159"/>
      <c r="R18" s="5"/>
      <c r="S18" s="5"/>
    </row>
    <row r="19" spans="2:19" x14ac:dyDescent="0.25">
      <c r="B19" s="42" t="s">
        <v>353</v>
      </c>
      <c r="C19" s="140"/>
      <c r="D19" s="140">
        <f>(D15/D14)^(1/D18)-1</f>
        <v>7.3083565739857193E-2</v>
      </c>
      <c r="E19"/>
      <c r="F19"/>
      <c r="H19" s="152"/>
      <c r="I19" s="64"/>
      <c r="J19" s="64"/>
      <c r="K19" s="64"/>
      <c r="N19"/>
      <c r="O19" s="158"/>
      <c r="P19" s="5"/>
      <c r="Q19" s="5"/>
      <c r="R19" s="5"/>
      <c r="S19" s="5"/>
    </row>
    <row r="20" spans="2:19" x14ac:dyDescent="0.25">
      <c r="B20" t="s">
        <v>391</v>
      </c>
      <c r="C20"/>
      <c r="D20" s="19">
        <v>0.27</v>
      </c>
      <c r="E20"/>
      <c r="F20"/>
      <c r="H20" s="64"/>
      <c r="I20" s="64"/>
      <c r="J20" s="64"/>
      <c r="K20" s="64"/>
      <c r="N20"/>
      <c r="O20" s="5"/>
      <c r="P20" s="5"/>
      <c r="Q20" s="5"/>
      <c r="R20" s="5"/>
      <c r="S20" s="5"/>
    </row>
    <row r="21" spans="2:19" x14ac:dyDescent="0.25">
      <c r="B21" t="s">
        <v>392</v>
      </c>
      <c r="C21"/>
      <c r="D21"/>
      <c r="E21"/>
      <c r="F21"/>
      <c r="H21" s="152"/>
      <c r="I21" s="64"/>
      <c r="J21" s="64"/>
      <c r="K21" s="64"/>
      <c r="N21"/>
      <c r="O21" s="160"/>
      <c r="P21" s="5"/>
      <c r="Q21" s="161"/>
      <c r="R21" s="5"/>
      <c r="S21" s="5"/>
    </row>
    <row r="22" spans="2:19" x14ac:dyDescent="0.25">
      <c r="B22" s="42"/>
      <c r="C22" s="140"/>
      <c r="D22" s="140"/>
      <c r="E22"/>
      <c r="F22"/>
      <c r="H22" s="64"/>
      <c r="I22" s="64"/>
      <c r="J22" s="64"/>
      <c r="K22" s="64"/>
      <c r="N22"/>
      <c r="O22" s="5"/>
      <c r="P22" s="162"/>
      <c r="Q22" s="160"/>
      <c r="R22" s="5"/>
      <c r="S22" s="5"/>
    </row>
    <row r="23" spans="2:19" x14ac:dyDescent="0.25">
      <c r="B23"/>
      <c r="C23"/>
      <c r="D23"/>
      <c r="E23"/>
      <c r="F23"/>
      <c r="H23" s="64"/>
      <c r="I23" s="64"/>
      <c r="J23" s="64"/>
      <c r="K23" s="64"/>
      <c r="N23"/>
      <c r="O23" s="5"/>
      <c r="P23" s="163"/>
      <c r="Q23" s="163"/>
      <c r="R23" s="5"/>
      <c r="S23" s="5"/>
    </row>
    <row r="24" spans="2:19" x14ac:dyDescent="0.25">
      <c r="B24"/>
      <c r="C24"/>
      <c r="D24"/>
      <c r="E24"/>
      <c r="F24"/>
      <c r="H24" s="64"/>
      <c r="I24" s="64"/>
      <c r="J24" s="64"/>
      <c r="K24" s="64"/>
      <c r="N24"/>
      <c r="O24" s="5"/>
      <c r="P24" s="5"/>
      <c r="Q24" s="164"/>
      <c r="R24" s="5"/>
      <c r="S24" s="5"/>
    </row>
    <row r="25" spans="2:19" x14ac:dyDescent="0.25">
      <c r="B25"/>
      <c r="C25"/>
      <c r="D25"/>
      <c r="E25"/>
      <c r="F25"/>
      <c r="H25" s="64"/>
      <c r="I25" s="64"/>
      <c r="J25" s="64"/>
      <c r="K25" s="64"/>
      <c r="N25"/>
      <c r="O25" s="5"/>
      <c r="P25" s="5"/>
      <c r="Q25" s="5"/>
      <c r="R25" s="5"/>
      <c r="S25" s="5"/>
    </row>
    <row r="26" spans="2:19" x14ac:dyDescent="0.25">
      <c r="B26"/>
      <c r="C26"/>
      <c r="D26"/>
      <c r="E26"/>
      <c r="F26"/>
      <c r="H26" s="64"/>
      <c r="I26" s="64"/>
      <c r="J26" s="64"/>
      <c r="K26" s="64"/>
      <c r="N26"/>
      <c r="O26" s="5"/>
      <c r="P26" s="163"/>
      <c r="Q26" s="163"/>
      <c r="R26" s="5"/>
      <c r="S26" s="5"/>
    </row>
    <row r="27" spans="2:19" ht="15.75" x14ac:dyDescent="0.25">
      <c r="B27" s="40"/>
      <c r="C27" s="40"/>
      <c r="D27" s="40"/>
      <c r="E27" s="40"/>
      <c r="F27" s="40"/>
      <c r="H27" s="64"/>
      <c r="I27" s="64"/>
      <c r="J27" s="64"/>
      <c r="K27" s="64"/>
      <c r="N27"/>
      <c r="O27" s="5"/>
      <c r="P27" s="5"/>
      <c r="Q27" s="5"/>
      <c r="R27" s="5"/>
      <c r="S27" s="5"/>
    </row>
    <row r="28" spans="2:19" x14ac:dyDescent="0.25">
      <c r="B28" s="59"/>
      <c r="H28" s="64"/>
      <c r="I28" s="64"/>
      <c r="J28" s="64"/>
      <c r="K28" s="64"/>
      <c r="N28"/>
      <c r="O28" s="5"/>
      <c r="P28" s="5"/>
      <c r="Q28" s="5"/>
      <c r="R28" s="5"/>
      <c r="S28" s="5"/>
    </row>
    <row r="29" spans="2:19" x14ac:dyDescent="0.25">
      <c r="B29" s="59"/>
      <c r="N29"/>
      <c r="O29" s="5"/>
      <c r="P29" s="5"/>
      <c r="Q29" s="5"/>
      <c r="R29" s="5"/>
      <c r="S29" s="5"/>
    </row>
    <row r="30" spans="2:19" x14ac:dyDescent="0.25">
      <c r="N30"/>
      <c r="O30" s="5"/>
      <c r="P30" s="5"/>
      <c r="Q30" s="5"/>
      <c r="R30" s="5"/>
      <c r="S30" s="5"/>
    </row>
    <row r="31" spans="2:19" ht="15.75" x14ac:dyDescent="0.25">
      <c r="N31"/>
      <c r="O31" s="165"/>
      <c r="P31" s="165"/>
      <c r="Q31" s="165"/>
      <c r="R31" s="165"/>
      <c r="S31" s="165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F6A0-CD68-4A59-9FA6-6CA6C1B479C7}">
  <dimension ref="B3:J16"/>
  <sheetViews>
    <sheetView showGridLines="0" workbookViewId="0">
      <selection activeCell="M12" sqref="M12"/>
    </sheetView>
  </sheetViews>
  <sheetFormatPr defaultRowHeight="15" x14ac:dyDescent="0.25"/>
  <cols>
    <col min="1" max="1" width="2.28515625" customWidth="1"/>
    <col min="2" max="2" width="16.28515625" customWidth="1"/>
    <col min="3" max="3" width="13" customWidth="1"/>
    <col min="4" max="4" width="13.5703125" customWidth="1"/>
    <col min="6" max="6" width="5.28515625" customWidth="1"/>
    <col min="8" max="8" width="21" customWidth="1"/>
    <col min="9" max="9" width="14.7109375" customWidth="1"/>
  </cols>
  <sheetData>
    <row r="3" spans="2:10" ht="18.75" x14ac:dyDescent="0.3">
      <c r="B3" s="281" t="s">
        <v>299</v>
      </c>
      <c r="C3" s="281"/>
      <c r="D3" s="281"/>
      <c r="G3" s="281" t="s">
        <v>299</v>
      </c>
      <c r="H3" s="281"/>
      <c r="I3" s="281"/>
    </row>
    <row r="4" spans="2:10" ht="18.75" x14ac:dyDescent="0.3">
      <c r="B4" s="283" t="s">
        <v>389</v>
      </c>
      <c r="C4" s="283"/>
      <c r="D4" s="283"/>
      <c r="G4" s="283" t="s">
        <v>388</v>
      </c>
      <c r="H4" s="283"/>
      <c r="I4" s="283"/>
    </row>
    <row r="5" spans="2:10" x14ac:dyDescent="0.25">
      <c r="B5" s="146"/>
      <c r="C5" s="146"/>
      <c r="D5" s="146"/>
      <c r="G5" s="146"/>
      <c r="H5" s="146"/>
      <c r="I5" s="146"/>
    </row>
    <row r="7" spans="2:10" x14ac:dyDescent="0.25">
      <c r="B7" s="5"/>
      <c r="G7" t="s">
        <v>386</v>
      </c>
      <c r="I7" s="20">
        <f>RM!F6</f>
        <v>4.2750000000000003E-2</v>
      </c>
    </row>
    <row r="8" spans="2:10" x14ac:dyDescent="0.25">
      <c r="B8" s="5" t="s">
        <v>384</v>
      </c>
      <c r="D8">
        <v>100</v>
      </c>
      <c r="G8" t="s">
        <v>387</v>
      </c>
      <c r="I8">
        <f>0.92%</f>
        <v>9.1999999999999998E-3</v>
      </c>
    </row>
    <row r="9" spans="2:10" ht="15.75" thickBot="1" x14ac:dyDescent="0.3">
      <c r="B9" t="s">
        <v>379</v>
      </c>
      <c r="D9">
        <f>130.444</f>
        <v>130.44399999999999</v>
      </c>
      <c r="G9" s="11" t="s">
        <v>390</v>
      </c>
      <c r="H9" s="11"/>
      <c r="I9" s="148">
        <f>I8+I7</f>
        <v>5.1950000000000003E-2</v>
      </c>
      <c r="J9" s="3"/>
    </row>
    <row r="10" spans="2:10" ht="15.75" thickTop="1" x14ac:dyDescent="0.25">
      <c r="B10" t="s">
        <v>380</v>
      </c>
      <c r="D10" s="121">
        <v>70704</v>
      </c>
      <c r="G10" t="s">
        <v>37</v>
      </c>
    </row>
    <row r="11" spans="2:10" x14ac:dyDescent="0.25">
      <c r="B11" t="s">
        <v>381</v>
      </c>
      <c r="D11" s="121">
        <v>45342</v>
      </c>
    </row>
    <row r="12" spans="2:10" x14ac:dyDescent="0.25">
      <c r="B12" t="s">
        <v>382</v>
      </c>
      <c r="D12" s="28">
        <f>YEARFRAC(D11,D10,1)</f>
        <v>69.436013767209005</v>
      </c>
    </row>
    <row r="13" spans="2:10" x14ac:dyDescent="0.25">
      <c r="B13" t="s">
        <v>383</v>
      </c>
      <c r="D13" s="20">
        <v>7.3749999999999996E-2</v>
      </c>
    </row>
    <row r="14" spans="2:10" x14ac:dyDescent="0.25">
      <c r="B14" t="s">
        <v>385</v>
      </c>
      <c r="D14" s="28">
        <v>7.38</v>
      </c>
    </row>
    <row r="15" spans="2:10" ht="15.75" thickBot="1" x14ac:dyDescent="0.3">
      <c r="B15" s="11" t="s">
        <v>390</v>
      </c>
      <c r="C15" s="11"/>
      <c r="D15" s="147">
        <f>RATE(D12,D14,-D9,D8,0)</f>
        <v>5.6275945255483198E-2</v>
      </c>
    </row>
    <row r="16" spans="2:10" ht="15.75" thickTop="1" x14ac:dyDescent="0.25"/>
  </sheetData>
  <mergeCells count="4">
    <mergeCell ref="B3:D3"/>
    <mergeCell ref="B4:D4"/>
    <mergeCell ref="G3:I3"/>
    <mergeCell ref="G4:I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Title (2)</vt:lpstr>
      <vt:lpstr>revenues</vt:lpstr>
      <vt:lpstr>P&amp;L</vt:lpstr>
      <vt:lpstr>CapEx</vt:lpstr>
      <vt:lpstr>BS</vt:lpstr>
      <vt:lpstr>debt schedule</vt:lpstr>
      <vt:lpstr>FCFF</vt:lpstr>
      <vt:lpstr>Wacc (2)</vt:lpstr>
      <vt:lpstr>cf</vt:lpstr>
      <vt:lpstr>Regression Beta</vt:lpstr>
      <vt:lpstr>RM</vt:lpstr>
      <vt:lpstr>Cost of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valuation</dc:creator>
  <cp:lastModifiedBy>waqas amed</cp:lastModifiedBy>
  <dcterms:created xsi:type="dcterms:W3CDTF">2024-08-22T19:41:43Z</dcterms:created>
  <dcterms:modified xsi:type="dcterms:W3CDTF">2024-10-28T14:36:45Z</dcterms:modified>
</cp:coreProperties>
</file>