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yashshah/Downloads/"/>
    </mc:Choice>
  </mc:AlternateContent>
  <xr:revisionPtr revIDLastSave="0" documentId="13_ncr:1_{6C224DC6-BD51-8640-BF1A-107AA8C530CF}" xr6:coauthVersionLast="47" xr6:coauthVersionMax="47" xr10:uidLastSave="{00000000-0000-0000-0000-000000000000}"/>
  <bookViews>
    <workbookView xWindow="0" yWindow="0" windowWidth="25600" windowHeight="16000" xr2:uid="{F77346C9-D785-412D-A3CE-AFB3A1A4C1A3}"/>
  </bookViews>
  <sheets>
    <sheet name="Calcul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2" l="1"/>
  <c r="B26" i="2"/>
  <c r="C14" i="2"/>
  <c r="B14" i="2"/>
  <c r="I35" i="2"/>
  <c r="C18" i="2"/>
  <c r="D18" i="2" s="1"/>
  <c r="C38" i="2"/>
  <c r="C21" i="2"/>
  <c r="C37" i="2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C35" i="2"/>
  <c r="D35" i="2" s="1"/>
  <c r="E35" i="2" s="1"/>
  <c r="F35" i="2" s="1"/>
  <c r="G35" i="2" s="1"/>
  <c r="H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B34" i="2"/>
  <c r="B42" i="2" s="1"/>
  <c r="C20" i="2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C19" i="2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B17" i="2"/>
  <c r="B25" i="2" s="1"/>
  <c r="B30" i="2" s="1"/>
  <c r="E18" i="2" l="1"/>
  <c r="D22" i="2"/>
  <c r="C22" i="2"/>
  <c r="C23" i="2" s="1"/>
  <c r="C24" i="2" s="1"/>
  <c r="C25" i="2" s="1"/>
  <c r="C39" i="2"/>
  <c r="D38" i="2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B47" i="2"/>
  <c r="C40" i="2"/>
  <c r="C30" i="2" l="1"/>
  <c r="D23" i="2"/>
  <c r="D24" i="2" s="1"/>
  <c r="D25" i="2" s="1"/>
  <c r="F18" i="2"/>
  <c r="E22" i="2"/>
  <c r="D39" i="2"/>
  <c r="D40" i="2" s="1"/>
  <c r="D41" i="2" s="1"/>
  <c r="D42" i="2" s="1"/>
  <c r="C41" i="2"/>
  <c r="C42" i="2" s="1"/>
  <c r="E39" i="2"/>
  <c r="E40" i="2" s="1"/>
  <c r="E23" i="2" l="1"/>
  <c r="E24" i="2" s="1"/>
  <c r="E25" i="2" s="1"/>
  <c r="G18" i="2"/>
  <c r="F22" i="2"/>
  <c r="D30" i="2"/>
  <c r="C47" i="2"/>
  <c r="D47" i="2" s="1"/>
  <c r="F39" i="2"/>
  <c r="F40" i="2" s="1"/>
  <c r="E41" i="2"/>
  <c r="E42" i="2" s="1"/>
  <c r="F23" i="2" l="1"/>
  <c r="F24" i="2" s="1"/>
  <c r="F25" i="2" s="1"/>
  <c r="E30" i="2"/>
  <c r="H18" i="2"/>
  <c r="G22" i="2"/>
  <c r="E47" i="2"/>
  <c r="F41" i="2"/>
  <c r="F42" i="2" s="1"/>
  <c r="G39" i="2"/>
  <c r="G40" i="2" s="1"/>
  <c r="G23" i="2" l="1"/>
  <c r="G24" i="2" s="1"/>
  <c r="G25" i="2" s="1"/>
  <c r="I18" i="2"/>
  <c r="H22" i="2"/>
  <c r="F30" i="2"/>
  <c r="F47" i="2"/>
  <c r="H39" i="2"/>
  <c r="H40" i="2" s="1"/>
  <c r="G41" i="2"/>
  <c r="G42" i="2" s="1"/>
  <c r="G30" i="2" l="1"/>
  <c r="H23" i="2"/>
  <c r="H24" i="2" s="1"/>
  <c r="H25" i="2" s="1"/>
  <c r="J18" i="2"/>
  <c r="I22" i="2"/>
  <c r="G47" i="2"/>
  <c r="H41" i="2"/>
  <c r="H42" i="2" s="1"/>
  <c r="I39" i="2"/>
  <c r="I40" i="2" s="1"/>
  <c r="I23" i="2" l="1"/>
  <c r="I24" i="2"/>
  <c r="I25" i="2" s="1"/>
  <c r="K18" i="2"/>
  <c r="J22" i="2"/>
  <c r="H30" i="2"/>
  <c r="I30" i="2" s="1"/>
  <c r="H47" i="2"/>
  <c r="J39" i="2"/>
  <c r="J40" i="2" s="1"/>
  <c r="I41" i="2"/>
  <c r="I42" i="2" s="1"/>
  <c r="L18" i="2" l="1"/>
  <c r="K22" i="2"/>
  <c r="J23" i="2"/>
  <c r="J24" i="2" s="1"/>
  <c r="J25" i="2" s="1"/>
  <c r="J30" i="2" s="1"/>
  <c r="I47" i="2"/>
  <c r="K39" i="2"/>
  <c r="K40" i="2" s="1"/>
  <c r="J41" i="2"/>
  <c r="J42" i="2" s="1"/>
  <c r="K23" i="2" l="1"/>
  <c r="K24" i="2" s="1"/>
  <c r="K25" i="2" s="1"/>
  <c r="K30" i="2" s="1"/>
  <c r="M18" i="2"/>
  <c r="L22" i="2"/>
  <c r="J47" i="2"/>
  <c r="L39" i="2"/>
  <c r="L40" i="2" s="1"/>
  <c r="K41" i="2"/>
  <c r="K42" i="2" s="1"/>
  <c r="L23" i="2" l="1"/>
  <c r="L24" i="2" s="1"/>
  <c r="L25" i="2" s="1"/>
  <c r="L30" i="2" s="1"/>
  <c r="N18" i="2"/>
  <c r="M22" i="2"/>
  <c r="K47" i="2"/>
  <c r="M39" i="2"/>
  <c r="M40" i="2" s="1"/>
  <c r="L41" i="2"/>
  <c r="L42" i="2" s="1"/>
  <c r="M23" i="2" l="1"/>
  <c r="M24" i="2" s="1"/>
  <c r="M25" i="2" s="1"/>
  <c r="M30" i="2" s="1"/>
  <c r="O18" i="2"/>
  <c r="N22" i="2"/>
  <c r="L47" i="2"/>
  <c r="M41" i="2"/>
  <c r="M42" i="2" s="1"/>
  <c r="N39" i="2"/>
  <c r="N40" i="2" s="1"/>
  <c r="N23" i="2" l="1"/>
  <c r="N24" i="2" s="1"/>
  <c r="N25" i="2" s="1"/>
  <c r="N30" i="2" s="1"/>
  <c r="P18" i="2"/>
  <c r="O22" i="2"/>
  <c r="M47" i="2"/>
  <c r="N41" i="2"/>
  <c r="N42" i="2" s="1"/>
  <c r="O39" i="2"/>
  <c r="O40" i="2" s="1"/>
  <c r="O23" i="2" l="1"/>
  <c r="O24" i="2" s="1"/>
  <c r="O25" i="2" s="1"/>
  <c r="O30" i="2" s="1"/>
  <c r="Q18" i="2"/>
  <c r="P22" i="2"/>
  <c r="N47" i="2"/>
  <c r="P39" i="2"/>
  <c r="P40" i="2" s="1"/>
  <c r="O41" i="2"/>
  <c r="O42" i="2" s="1"/>
  <c r="P23" i="2" l="1"/>
  <c r="P24" i="2" s="1"/>
  <c r="P25" i="2" s="1"/>
  <c r="P30" i="2" s="1"/>
  <c r="R18" i="2"/>
  <c r="Q22" i="2"/>
  <c r="O47" i="2"/>
  <c r="Q39" i="2"/>
  <c r="Q40" i="2" s="1"/>
  <c r="P41" i="2"/>
  <c r="P42" i="2" s="1"/>
  <c r="Q23" i="2" l="1"/>
  <c r="Q24" i="2" s="1"/>
  <c r="Q25" i="2" s="1"/>
  <c r="Q30" i="2" s="1"/>
  <c r="S18" i="2"/>
  <c r="R22" i="2"/>
  <c r="P47" i="2"/>
  <c r="R39" i="2"/>
  <c r="R40" i="2" s="1"/>
  <c r="Q41" i="2"/>
  <c r="Q42" i="2" s="1"/>
  <c r="R23" i="2" l="1"/>
  <c r="R24" i="2" s="1"/>
  <c r="R25" i="2" s="1"/>
  <c r="R30" i="2" s="1"/>
  <c r="T18" i="2"/>
  <c r="S22" i="2"/>
  <c r="Q47" i="2"/>
  <c r="S39" i="2"/>
  <c r="S40" i="2" s="1"/>
  <c r="R41" i="2"/>
  <c r="R42" i="2" s="1"/>
  <c r="S23" i="2" l="1"/>
  <c r="S24" i="2" s="1"/>
  <c r="S25" i="2" s="1"/>
  <c r="S30" i="2" s="1"/>
  <c r="U18" i="2"/>
  <c r="T22" i="2"/>
  <c r="R47" i="2"/>
  <c r="T39" i="2"/>
  <c r="T40" i="2" s="1"/>
  <c r="S41" i="2"/>
  <c r="S42" i="2" s="1"/>
  <c r="T23" i="2" l="1"/>
  <c r="T24" i="2" s="1"/>
  <c r="T25" i="2" s="1"/>
  <c r="T30" i="2" s="1"/>
  <c r="V18" i="2"/>
  <c r="V22" i="2" s="1"/>
  <c r="U22" i="2"/>
  <c r="S47" i="2"/>
  <c r="V39" i="2"/>
  <c r="V40" i="2" s="1"/>
  <c r="U39" i="2"/>
  <c r="U40" i="2" s="1"/>
  <c r="T41" i="2"/>
  <c r="T42" i="2" s="1"/>
  <c r="U23" i="2" l="1"/>
  <c r="U24" i="2" s="1"/>
  <c r="U25" i="2" s="1"/>
  <c r="U30" i="2" s="1"/>
  <c r="V23" i="2"/>
  <c r="V24" i="2" s="1"/>
  <c r="V25" i="2" s="1"/>
  <c r="T47" i="2"/>
  <c r="U41" i="2"/>
  <c r="U42" i="2" s="1"/>
  <c r="V41" i="2"/>
  <c r="V42" i="2" s="1"/>
  <c r="B45" i="2" l="1"/>
  <c r="B46" i="2" s="1"/>
  <c r="V30" i="2"/>
  <c r="B28" i="2"/>
  <c r="B29" i="2" s="1"/>
  <c r="B27" i="2"/>
  <c r="U47" i="2"/>
  <c r="V47" i="2" s="1"/>
  <c r="B44" i="2"/>
</calcChain>
</file>

<file path=xl/sharedStrings.xml><?xml version="1.0" encoding="utf-8"?>
<sst xmlns="http://schemas.openxmlformats.org/spreadsheetml/2006/main" count="87" uniqueCount="53">
  <si>
    <t>Cap-ex (Yr 0)</t>
  </si>
  <si>
    <t>Project life (yrs)</t>
  </si>
  <si>
    <t>Salvage % of Cap-ex</t>
  </si>
  <si>
    <t>Year-1 rev / cost-saving</t>
  </si>
  <si>
    <t>Rev escalator</t>
  </si>
  <si>
    <t>Year-1 O&amp;M</t>
  </si>
  <si>
    <t>O&amp;M escalator</t>
  </si>
  <si>
    <t>Year-1 labour</t>
  </si>
  <si>
    <t>Labour escalator</t>
  </si>
  <si>
    <t>Tax rate</t>
  </si>
  <si>
    <t>MARR (hurdle)</t>
  </si>
  <si>
    <t>Depreciation life (yrs)</t>
  </si>
  <si>
    <t>Year 0</t>
  </si>
  <si>
    <t xml:space="preserve">Year 1 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</si>
  <si>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</si>
  <si>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</si>
  <si>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</si>
  <si>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</si>
  <si>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</si>
  <si>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</si>
  <si>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</si>
  <si>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</si>
  <si>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</si>
  <si>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</si>
  <si>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</si>
  <si>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</si>
  <si>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</si>
  <si>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</si>
  <si>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</si>
  <si>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</si>
  <si>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</si>
  <si>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</si>
  <si>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</si>
  <si>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CapEx</t>
  </si>
  <si>
    <t>Revenue / savings</t>
  </si>
  <si>
    <t>O&amp;M</t>
  </si>
  <si>
    <t>Labour</t>
  </si>
  <si>
    <t>Depreciation</t>
  </si>
  <si>
    <t>EBIT</t>
  </si>
  <si>
    <t>Taxes</t>
  </si>
  <si>
    <t>Net Income</t>
  </si>
  <si>
    <t>CFAT</t>
  </si>
  <si>
    <t>IRR</t>
  </si>
  <si>
    <t>NPV</t>
  </si>
  <si>
    <t>AV</t>
  </si>
  <si>
    <t>Discounted Payback</t>
  </si>
  <si>
    <t>Option A Plano</t>
  </si>
  <si>
    <t>Plano</t>
  </si>
  <si>
    <t>Option B Columbus</t>
  </si>
  <si>
    <t>Columbus</t>
  </si>
  <si>
    <t>Effective tax rate</t>
  </si>
  <si>
    <t>After Tax SV</t>
  </si>
  <si>
    <t xml:space="preserve"> After Tax Salv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</si>
</sst>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"/>
    <numFmt numFmtId="166" formatCode="_(&quot;$&quot;* #,##0_);_(&quot;$&quot;* \(#,##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9" fontId="0" fillId="0" borderId="0" xfId="0" applyNumberFormat="1"/>
    <xf numFmtId="0" fontId="2" fillId="2" borderId="1" xfId="0" applyFont="1" applyFill="1" applyBorder="1" applyAlignment="1">
      <alignment horizontal="left" vertical="top" wrapText="1"/>
    </xf>
    <xf numFmtId="3" fontId="0" fillId="2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9" fontId="0" fillId="2" borderId="1" xfId="0" applyNumberFormat="1" applyFill="1" applyBorder="1" applyAlignment="1">
      <alignment horizontal="left" vertical="top" wrapText="1"/>
    </xf>
    <xf numFmtId="1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2" fillId="3" borderId="0" xfId="0" applyFont="1" applyFill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874C1-797A-4117-A50D-8670702A123E}">
  <dimension ref="A1:W47"/>
  <sheetViews>
    <sheetView tabSelected="1" topLeftCell="A7" zoomScaleNormal="100" workbookViewId="0">
      <selection activeCell="B44" sqref="B44"/>
    </sheetView>
  </sheetViews>
  <sheetFormatPr baseColWidth="10" defaultColWidth="8.83203125" defaultRowHeight="15" x14ac:dyDescent="0.2"/>
  <cols>
    <col min="1" max="1" width="16.6640625" customWidth="1"/>
    <col min="2" max="3" width="15.33203125" customWidth="1"/>
    <col min="4" max="4" width="14.5" customWidth="1"/>
    <col min="5" max="8" width="12.6640625" customWidth="1"/>
    <col min="9" max="9" width="15.1640625" customWidth="1"/>
    <col min="10" max="11" width="15.33203125" customWidth="1"/>
    <col min="12" max="12" width="15" customWidth="1"/>
    <col min="13" max="13" width="17.1640625" customWidth="1"/>
    <col min="14" max="14" width="15.1640625" customWidth="1"/>
    <col min="15" max="15" width="15.6640625" customWidth="1"/>
    <col min="16" max="16" width="15.83203125" customWidth="1"/>
    <col min="17" max="17" width="15" customWidth="1"/>
    <col min="18" max="18" width="15.5" customWidth="1"/>
    <col min="19" max="19" width="15" customWidth="1"/>
    <col min="20" max="20" width="14.83203125" customWidth="1"/>
    <col min="21" max="21" width="15.5" customWidth="1"/>
    <col min="22" max="22" width="15.1640625" customWidth="1"/>
  </cols>
  <sheetData>
    <row r="1" spans="1:22" ht="32" x14ac:dyDescent="0.2">
      <c r="A1" s="4"/>
      <c r="B1" s="4" t="s">
        <v>46</v>
      </c>
      <c r="C1" s="4" t="s">
        <v>48</v>
      </c>
    </row>
    <row r="2" spans="1:22" ht="16" x14ac:dyDescent="0.2">
      <c r="A2" s="4" t="s">
        <v>0</v>
      </c>
      <c r="B2" s="5">
        <v>500000000</v>
      </c>
      <c r="C2" s="5">
        <v>450000000</v>
      </c>
    </row>
    <row r="3" spans="1:22" ht="16" x14ac:dyDescent="0.2">
      <c r="A3" s="4" t="s">
        <v>1</v>
      </c>
      <c r="B3" s="6">
        <v>20</v>
      </c>
      <c r="C3" s="6">
        <v>20</v>
      </c>
    </row>
    <row r="4" spans="1:22" ht="16" x14ac:dyDescent="0.2">
      <c r="A4" s="4" t="s">
        <v>2</v>
      </c>
      <c r="B4" s="7">
        <v>0.2</v>
      </c>
      <c r="C4" s="7">
        <v>0.2</v>
      </c>
    </row>
    <row r="5" spans="1:22" ht="32" x14ac:dyDescent="0.2">
      <c r="A5" s="4" t="s">
        <v>3</v>
      </c>
      <c r="B5" s="5">
        <v>900000000</v>
      </c>
      <c r="C5" s="5">
        <v>825000000</v>
      </c>
    </row>
    <row r="6" spans="1:22" ht="16" x14ac:dyDescent="0.2">
      <c r="A6" s="4" t="s">
        <v>4</v>
      </c>
      <c r="B6" s="7">
        <v>0.02</v>
      </c>
      <c r="C6" s="7">
        <v>0.02</v>
      </c>
    </row>
    <row r="7" spans="1:22" ht="16" x14ac:dyDescent="0.2">
      <c r="A7" s="4" t="s">
        <v>5</v>
      </c>
      <c r="B7" s="5">
        <v>20570000</v>
      </c>
      <c r="C7" s="5">
        <v>16600000</v>
      </c>
    </row>
    <row r="8" spans="1:22" ht="16" x14ac:dyDescent="0.2">
      <c r="A8" s="4" t="s">
        <v>6</v>
      </c>
      <c r="B8" s="7">
        <v>0.02</v>
      </c>
      <c r="C8" s="7">
        <v>0.02</v>
      </c>
    </row>
    <row r="9" spans="1:22" ht="16" x14ac:dyDescent="0.2">
      <c r="A9" s="4" t="s">
        <v>7</v>
      </c>
      <c r="B9" s="5">
        <v>624000000</v>
      </c>
      <c r="C9" s="5">
        <v>539000000</v>
      </c>
    </row>
    <row r="10" spans="1:22" ht="16" x14ac:dyDescent="0.2">
      <c r="A10" s="4" t="s">
        <v>8</v>
      </c>
      <c r="B10" s="7">
        <v>0.03</v>
      </c>
      <c r="C10" s="7">
        <v>0.03</v>
      </c>
    </row>
    <row r="11" spans="1:22" ht="16" x14ac:dyDescent="0.2">
      <c r="A11" s="4" t="s">
        <v>9</v>
      </c>
      <c r="B11" s="7">
        <v>0.21</v>
      </c>
      <c r="C11" s="7">
        <v>0.21</v>
      </c>
    </row>
    <row r="12" spans="1:22" ht="16" x14ac:dyDescent="0.2">
      <c r="A12" s="4" t="s">
        <v>10</v>
      </c>
      <c r="B12" s="7">
        <v>0.08</v>
      </c>
      <c r="C12" s="7">
        <v>0.08</v>
      </c>
    </row>
    <row r="13" spans="1:22" ht="32" x14ac:dyDescent="0.2">
      <c r="A13" s="4" t="s">
        <v>11</v>
      </c>
      <c r="B13" s="6">
        <v>20</v>
      </c>
      <c r="C13" s="6">
        <v>20</v>
      </c>
    </row>
    <row r="14" spans="1:22" ht="16" x14ac:dyDescent="0.2">
      <c r="A14" s="4" t="s">
        <v>50</v>
      </c>
      <c r="B14" s="6">
        <f>B11/ MAX(39,0)</f>
        <v>5.3846153846153844E-3</v>
      </c>
      <c r="C14" s="6">
        <f>B11/ MAX(22,0)</f>
        <v>9.5454545454545445E-3</v>
      </c>
    </row>
    <row r="16" spans="1:22" ht="16" x14ac:dyDescent="0.2">
      <c r="A16" s="11" t="s">
        <v>49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 t="s">
        <v>20</v>
      </c>
      <c r="K16" t="s">
        <v>21</v>
      </c>
      <c r="L16" t="s">
        <v>22</v>
      </c>
      <c r="M16" t="s">
        <v>23</v>
      </c>
      <c r="N16" t="s">
        <v>24</v>
      </c>
      <c r="O16" t="s">
        <v>25</v>
      </c>
      <c r="P16" t="s">
        <v>26</v>
      </c>
      <c r="Q16" t="s">
        <v>27</v>
      </c>
      <c r="R16" t="s">
        <v>28</v>
      </c>
      <c r="S16" t="s">
        <v>29</v>
      </c>
      <c r="T16" t="s">
        <v>30</v>
      </c>
      <c r="U16" t="s">
        <v>31</v>
      </c>
      <c r="V16" t="s">
        <v>32</v>
      </c>
    </row>
    <row r="17" spans="1:23" ht="16" x14ac:dyDescent="0.2">
      <c r="A17" s="1" t="s">
        <v>33</v>
      </c>
      <c r="B17" s="9">
        <f>-C2</f>
        <v>-450000000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</row>
    <row r="18" spans="1:23" ht="16" x14ac:dyDescent="0.2">
      <c r="A18" s="1" t="s">
        <v>34</v>
      </c>
      <c r="B18" s="9"/>
      <c r="C18" s="9">
        <f>C5</f>
        <v>825000000</v>
      </c>
      <c r="D18" s="9">
        <f>C18*(1+$C$6)</f>
        <v>841500000</v>
      </c>
      <c r="E18" s="9">
        <f t="shared" ref="E18:V18" si="0">D18*(1+$C$6)</f>
        <v>858330000</v>
      </c>
      <c r="F18" s="9">
        <f t="shared" si="0"/>
        <v>875496600</v>
      </c>
      <c r="G18" s="9">
        <f t="shared" si="0"/>
        <v>893006532</v>
      </c>
      <c r="H18" s="9">
        <f t="shared" si="0"/>
        <v>910866662.63999999</v>
      </c>
      <c r="I18" s="9">
        <f t="shared" si="0"/>
        <v>929083995.89279997</v>
      </c>
      <c r="J18" s="9">
        <f t="shared" si="0"/>
        <v>947665675.81065595</v>
      </c>
      <c r="K18" s="9">
        <f t="shared" si="0"/>
        <v>966618989.32686913</v>
      </c>
      <c r="L18" s="9">
        <f t="shared" si="0"/>
        <v>985951369.11340654</v>
      </c>
      <c r="M18" s="9">
        <f t="shared" si="0"/>
        <v>1005670396.4956747</v>
      </c>
      <c r="N18" s="9">
        <f t="shared" si="0"/>
        <v>1025783804.4255883</v>
      </c>
      <c r="O18" s="9">
        <f t="shared" si="0"/>
        <v>1046299480.5141001</v>
      </c>
      <c r="P18" s="9">
        <f t="shared" si="0"/>
        <v>1067225470.1243821</v>
      </c>
      <c r="Q18" s="9">
        <f t="shared" si="0"/>
        <v>1088569979.5268698</v>
      </c>
      <c r="R18" s="9">
        <f t="shared" si="0"/>
        <v>1110341379.1174071</v>
      </c>
      <c r="S18" s="9">
        <f t="shared" si="0"/>
        <v>1132548206.6997552</v>
      </c>
      <c r="T18" s="9">
        <f t="shared" si="0"/>
        <v>1155199170.8337502</v>
      </c>
      <c r="U18" s="9">
        <f t="shared" si="0"/>
        <v>1178303154.2504253</v>
      </c>
      <c r="V18" s="9">
        <f t="shared" si="0"/>
        <v>1201869217.335434</v>
      </c>
      <c r="W18" s="8"/>
    </row>
    <row r="19" spans="1:23" ht="16" x14ac:dyDescent="0.2">
      <c r="A19" s="1" t="s">
        <v>35</v>
      </c>
      <c r="B19" s="9"/>
      <c r="C19" s="9">
        <f>C7</f>
        <v>16600000</v>
      </c>
      <c r="D19" s="9">
        <f>C19*(1+$C$8)</f>
        <v>16932000</v>
      </c>
      <c r="E19" s="9">
        <f t="shared" ref="E19:V19" si="1">D19*(1+$C$8)</f>
        <v>17270640</v>
      </c>
      <c r="F19" s="9">
        <f t="shared" si="1"/>
        <v>17616052.800000001</v>
      </c>
      <c r="G19" s="9">
        <f t="shared" si="1"/>
        <v>17968373.856000002</v>
      </c>
      <c r="H19" s="9">
        <f t="shared" si="1"/>
        <v>18327741.333120003</v>
      </c>
      <c r="I19" s="9">
        <f t="shared" si="1"/>
        <v>18694296.159782402</v>
      </c>
      <c r="J19" s="9">
        <f t="shared" si="1"/>
        <v>19068182.082978051</v>
      </c>
      <c r="K19" s="9">
        <f t="shared" si="1"/>
        <v>19449545.724637613</v>
      </c>
      <c r="L19" s="9">
        <f t="shared" si="1"/>
        <v>19838536.639130365</v>
      </c>
      <c r="M19" s="9">
        <f t="shared" si="1"/>
        <v>20235307.371912971</v>
      </c>
      <c r="N19" s="9">
        <f t="shared" si="1"/>
        <v>20640013.519351229</v>
      </c>
      <c r="O19" s="9">
        <f t="shared" si="1"/>
        <v>21052813.789738253</v>
      </c>
      <c r="P19" s="9">
        <f t="shared" si="1"/>
        <v>21473870.06553302</v>
      </c>
      <c r="Q19" s="9">
        <f t="shared" si="1"/>
        <v>21903347.46684368</v>
      </c>
      <c r="R19" s="9">
        <f t="shared" si="1"/>
        <v>22341414.416180555</v>
      </c>
      <c r="S19" s="9">
        <f t="shared" si="1"/>
        <v>22788242.704504166</v>
      </c>
      <c r="T19" s="9">
        <f t="shared" si="1"/>
        <v>23244007.558594249</v>
      </c>
      <c r="U19" s="9">
        <f t="shared" si="1"/>
        <v>23708887.709766135</v>
      </c>
      <c r="V19" s="9">
        <f t="shared" si="1"/>
        <v>24183065.463961456</v>
      </c>
    </row>
    <row r="20" spans="1:23" ht="16" x14ac:dyDescent="0.2">
      <c r="A20" s="1" t="s">
        <v>36</v>
      </c>
      <c r="B20" s="9"/>
      <c r="C20" s="9">
        <f>C9</f>
        <v>539000000</v>
      </c>
      <c r="D20" s="9">
        <f>C20*(1+$C$10)</f>
        <v>555170000</v>
      </c>
      <c r="E20" s="9">
        <f t="shared" ref="E20:V20" si="2">D20*(1+$C$10)</f>
        <v>571825100</v>
      </c>
      <c r="F20" s="9">
        <f t="shared" si="2"/>
        <v>588979853</v>
      </c>
      <c r="G20" s="9">
        <f t="shared" si="2"/>
        <v>606649248.59000003</v>
      </c>
      <c r="H20" s="9">
        <f t="shared" si="2"/>
        <v>624848726.04770005</v>
      </c>
      <c r="I20" s="9">
        <f t="shared" si="2"/>
        <v>643594187.82913101</v>
      </c>
      <c r="J20" s="9">
        <f t="shared" si="2"/>
        <v>662902013.46400499</v>
      </c>
      <c r="K20" s="9">
        <f t="shared" si="2"/>
        <v>682789073.86792517</v>
      </c>
      <c r="L20" s="9">
        <f t="shared" si="2"/>
        <v>703272746.08396292</v>
      </c>
      <c r="M20" s="9">
        <f t="shared" si="2"/>
        <v>724370928.4664818</v>
      </c>
      <c r="N20" s="9">
        <f t="shared" si="2"/>
        <v>746102056.32047629</v>
      </c>
      <c r="O20" s="9">
        <f t="shared" si="2"/>
        <v>768485118.01009059</v>
      </c>
      <c r="P20" s="9">
        <f t="shared" si="2"/>
        <v>791539671.55039334</v>
      </c>
      <c r="Q20" s="9">
        <f t="shared" si="2"/>
        <v>815285861.69690514</v>
      </c>
      <c r="R20" s="9">
        <f t="shared" si="2"/>
        <v>839744437.54781234</v>
      </c>
      <c r="S20" s="9">
        <f t="shared" si="2"/>
        <v>864936770.67424679</v>
      </c>
      <c r="T20" s="9">
        <f t="shared" si="2"/>
        <v>890884873.79447424</v>
      </c>
      <c r="U20" s="9">
        <f t="shared" si="2"/>
        <v>917611420.00830853</v>
      </c>
      <c r="V20" s="9">
        <f t="shared" si="2"/>
        <v>945139762.60855782</v>
      </c>
    </row>
    <row r="21" spans="1:23" ht="16" x14ac:dyDescent="0.2">
      <c r="A21" s="1" t="s">
        <v>37</v>
      </c>
      <c r="B21" s="9"/>
      <c r="C21" s="9">
        <f>C2/C13</f>
        <v>22500000</v>
      </c>
      <c r="D21" s="9">
        <v>8717948.717948718</v>
      </c>
      <c r="E21" s="9">
        <v>8717948.717948718</v>
      </c>
      <c r="F21" s="9">
        <v>8717948.717948718</v>
      </c>
      <c r="G21" s="9">
        <v>8717948.717948718</v>
      </c>
      <c r="H21" s="9">
        <v>8717948.717948718</v>
      </c>
      <c r="I21" s="9">
        <v>8717948.717948718</v>
      </c>
      <c r="J21" s="9">
        <v>8717948.717948718</v>
      </c>
      <c r="K21" s="9">
        <v>8717948.717948718</v>
      </c>
      <c r="L21" s="9">
        <v>8717948.717948718</v>
      </c>
      <c r="M21" s="9">
        <v>8717948.717948718</v>
      </c>
      <c r="N21" s="9">
        <v>8717948.717948718</v>
      </c>
      <c r="O21" s="9">
        <v>8717948.717948718</v>
      </c>
      <c r="P21" s="9">
        <v>8717948.717948718</v>
      </c>
      <c r="Q21" s="9">
        <v>8717948.717948718</v>
      </c>
      <c r="R21" s="9">
        <v>8717948.717948718</v>
      </c>
      <c r="S21" s="9">
        <v>8717948.717948718</v>
      </c>
      <c r="T21" s="9">
        <v>8717948.717948718</v>
      </c>
      <c r="U21" s="9">
        <v>8717948.717948718</v>
      </c>
      <c r="V21" s="9">
        <v>8717948.717948718</v>
      </c>
    </row>
    <row r="22" spans="1:23" ht="16" x14ac:dyDescent="0.2">
      <c r="A22" s="2" t="s">
        <v>38</v>
      </c>
      <c r="B22" s="9">
        <v>0</v>
      </c>
      <c r="C22" s="9">
        <f>C18-C19-C20-C21</f>
        <v>246900000</v>
      </c>
      <c r="D22" s="9">
        <f t="shared" ref="D22:V22" si="3">D18-D19-D20-D21</f>
        <v>260680051.2820513</v>
      </c>
      <c r="E22" s="9">
        <f t="shared" si="3"/>
        <v>260516311.2820513</v>
      </c>
      <c r="F22" s="9">
        <f t="shared" si="3"/>
        <v>260182745.48205134</v>
      </c>
      <c r="G22" s="9">
        <f t="shared" si="3"/>
        <v>259670960.83605132</v>
      </c>
      <c r="H22" s="9">
        <f t="shared" si="3"/>
        <v>258972246.54123124</v>
      </c>
      <c r="I22" s="9">
        <f t="shared" si="3"/>
        <v>258077563.18593785</v>
      </c>
      <c r="J22" s="9">
        <f t="shared" si="3"/>
        <v>256977531.54572424</v>
      </c>
      <c r="K22" s="9">
        <f t="shared" si="3"/>
        <v>255662421.01635763</v>
      </c>
      <c r="L22" s="9">
        <f t="shared" si="3"/>
        <v>254122137.67236456</v>
      </c>
      <c r="M22" s="9">
        <f t="shared" si="3"/>
        <v>252346211.93933126</v>
      </c>
      <c r="N22" s="9">
        <f t="shared" si="3"/>
        <v>250323785.86781201</v>
      </c>
      <c r="O22" s="9">
        <f t="shared" si="3"/>
        <v>248043599.99632248</v>
      </c>
      <c r="P22" s="9">
        <f t="shared" si="3"/>
        <v>245493979.79050705</v>
      </c>
      <c r="Q22" s="9">
        <f t="shared" si="3"/>
        <v>242662821.64517221</v>
      </c>
      <c r="R22" s="9">
        <f t="shared" si="3"/>
        <v>239537578.43546543</v>
      </c>
      <c r="S22" s="9">
        <f t="shared" si="3"/>
        <v>236105244.60305545</v>
      </c>
      <c r="T22" s="9">
        <f t="shared" si="3"/>
        <v>232352340.76273307</v>
      </c>
      <c r="U22" s="9">
        <f t="shared" si="3"/>
        <v>228264897.81440195</v>
      </c>
      <c r="V22" s="9">
        <f t="shared" si="3"/>
        <v>223828440.54496607</v>
      </c>
    </row>
    <row r="23" spans="1:23" ht="16" x14ac:dyDescent="0.2">
      <c r="A23" s="1" t="s">
        <v>39</v>
      </c>
      <c r="B23" s="9"/>
      <c r="C23" s="9">
        <f>MAX(0, C22*$C$11)</f>
        <v>51849000</v>
      </c>
      <c r="D23" s="9">
        <f t="shared" ref="D23:V23" si="4">MAX(0, D22*$C$11)</f>
        <v>54742810.769230768</v>
      </c>
      <c r="E23" s="9">
        <f t="shared" si="4"/>
        <v>54708425.36923077</v>
      </c>
      <c r="F23" s="9">
        <f t="shared" si="4"/>
        <v>54638376.551230781</v>
      </c>
      <c r="G23" s="9">
        <f t="shared" si="4"/>
        <v>54530901.775570773</v>
      </c>
      <c r="H23" s="9">
        <f t="shared" si="4"/>
        <v>54384171.773658559</v>
      </c>
      <c r="I23" s="9">
        <f t="shared" si="4"/>
        <v>54196288.269046947</v>
      </c>
      <c r="J23" s="9">
        <f t="shared" si="4"/>
        <v>53965281.624602087</v>
      </c>
      <c r="K23" s="9">
        <f t="shared" si="4"/>
        <v>53689108.413435102</v>
      </c>
      <c r="L23" s="9">
        <f t="shared" si="4"/>
        <v>53365648.91119656</v>
      </c>
      <c r="M23" s="9">
        <f t="shared" si="4"/>
        <v>52992704.507259563</v>
      </c>
      <c r="N23" s="9">
        <f t="shared" si="4"/>
        <v>52567995.032240517</v>
      </c>
      <c r="O23" s="9">
        <f t="shared" si="4"/>
        <v>52089155.999227718</v>
      </c>
      <c r="P23" s="9">
        <f t="shared" si="4"/>
        <v>51553735.756006479</v>
      </c>
      <c r="Q23" s="9">
        <f t="shared" si="4"/>
        <v>50959192.54548616</v>
      </c>
      <c r="R23" s="9">
        <f t="shared" si="4"/>
        <v>50302891.471447736</v>
      </c>
      <c r="S23" s="9">
        <f t="shared" si="4"/>
        <v>49582101.366641641</v>
      </c>
      <c r="T23" s="9">
        <f t="shared" si="4"/>
        <v>48793991.560173944</v>
      </c>
      <c r="U23" s="9">
        <f t="shared" si="4"/>
        <v>47935628.541024409</v>
      </c>
      <c r="V23" s="9">
        <f t="shared" si="4"/>
        <v>47003972.514442876</v>
      </c>
    </row>
    <row r="24" spans="1:23" ht="16" x14ac:dyDescent="0.2">
      <c r="A24" s="1" t="s">
        <v>40</v>
      </c>
      <c r="B24" s="9"/>
      <c r="C24" s="9">
        <f>C22-C23</f>
        <v>195051000</v>
      </c>
      <c r="D24" s="9">
        <f t="shared" ref="D24:V24" si="5">D22-D23</f>
        <v>205937240.51282054</v>
      </c>
      <c r="E24" s="9">
        <f t="shared" si="5"/>
        <v>205807885.91282052</v>
      </c>
      <c r="F24" s="9">
        <f t="shared" si="5"/>
        <v>205544368.93082055</v>
      </c>
      <c r="G24" s="9">
        <f t="shared" si="5"/>
        <v>205140059.06048054</v>
      </c>
      <c r="H24" s="9">
        <f t="shared" si="5"/>
        <v>204588074.7675727</v>
      </c>
      <c r="I24" s="9">
        <f t="shared" si="5"/>
        <v>203881274.91689092</v>
      </c>
      <c r="J24" s="9">
        <f t="shared" si="5"/>
        <v>203012249.92112216</v>
      </c>
      <c r="K24" s="9">
        <f t="shared" si="5"/>
        <v>201973312.60292253</v>
      </c>
      <c r="L24" s="9">
        <f t="shared" si="5"/>
        <v>200756488.761168</v>
      </c>
      <c r="M24" s="9">
        <f t="shared" si="5"/>
        <v>199353507.43207169</v>
      </c>
      <c r="N24" s="9">
        <f t="shared" si="5"/>
        <v>197755790.8355715</v>
      </c>
      <c r="O24" s="9">
        <f t="shared" si="5"/>
        <v>195954443.99709475</v>
      </c>
      <c r="P24" s="9">
        <f t="shared" si="5"/>
        <v>193940244.03450057</v>
      </c>
      <c r="Q24" s="9">
        <f t="shared" si="5"/>
        <v>191703629.09968606</v>
      </c>
      <c r="R24" s="9">
        <f t="shared" si="5"/>
        <v>189234686.96401769</v>
      </c>
      <c r="S24" s="9">
        <f t="shared" si="5"/>
        <v>186523143.23641381</v>
      </c>
      <c r="T24" s="9">
        <f t="shared" si="5"/>
        <v>183558349.20255911</v>
      </c>
      <c r="U24" s="9">
        <f t="shared" si="5"/>
        <v>180329269.27337754</v>
      </c>
      <c r="V24" s="9">
        <f t="shared" si="5"/>
        <v>176824468.03052318</v>
      </c>
    </row>
    <row r="25" spans="1:23" ht="16" x14ac:dyDescent="0.2">
      <c r="A25" s="2" t="s">
        <v>41</v>
      </c>
      <c r="B25" s="9">
        <f>B17</f>
        <v>-450000000</v>
      </c>
      <c r="C25" s="9">
        <f>C24+C21</f>
        <v>217551000</v>
      </c>
      <c r="D25" s="9">
        <f t="shared" ref="D25:U25" si="6">D24+D21</f>
        <v>214655189.23076925</v>
      </c>
      <c r="E25" s="9">
        <f t="shared" si="6"/>
        <v>214525834.63076922</v>
      </c>
      <c r="F25" s="9">
        <f t="shared" si="6"/>
        <v>214262317.64876926</v>
      </c>
      <c r="G25" s="9">
        <f t="shared" si="6"/>
        <v>213858007.77842924</v>
      </c>
      <c r="H25" s="9">
        <f t="shared" si="6"/>
        <v>213306023.48552141</v>
      </c>
      <c r="I25" s="9">
        <f t="shared" si="6"/>
        <v>212599223.63483962</v>
      </c>
      <c r="J25" s="9">
        <f t="shared" si="6"/>
        <v>211730198.63907087</v>
      </c>
      <c r="K25" s="9">
        <f t="shared" si="6"/>
        <v>210691261.32087123</v>
      </c>
      <c r="L25" s="9">
        <f t="shared" si="6"/>
        <v>209474437.47911671</v>
      </c>
      <c r="M25" s="9">
        <f t="shared" si="6"/>
        <v>208071456.15002039</v>
      </c>
      <c r="N25" s="9">
        <f t="shared" si="6"/>
        <v>206473739.5535202</v>
      </c>
      <c r="O25" s="9">
        <f t="shared" si="6"/>
        <v>204672392.71504346</v>
      </c>
      <c r="P25" s="9">
        <f t="shared" si="6"/>
        <v>202658192.75244927</v>
      </c>
      <c r="Q25" s="9">
        <f t="shared" si="6"/>
        <v>200421577.81763476</v>
      </c>
      <c r="R25" s="9">
        <f t="shared" si="6"/>
        <v>197952635.68196639</v>
      </c>
      <c r="S25" s="9">
        <f t="shared" si="6"/>
        <v>195241091.95436251</v>
      </c>
      <c r="T25" s="9">
        <f t="shared" si="6"/>
        <v>192276297.92050782</v>
      </c>
      <c r="U25" s="9">
        <f t="shared" si="6"/>
        <v>189047217.99132624</v>
      </c>
      <c r="V25" s="9">
        <f>V24+V21+C2*C4</f>
        <v>275542416.74847186</v>
      </c>
    </row>
    <row r="26" spans="1:23" ht="16" x14ac:dyDescent="0.2">
      <c r="A26" s="1" t="s">
        <v>51</v>
      </c>
      <c r="B26">
        <f>C2*C4*(1-C11)</f>
        <v>71100000</v>
      </c>
    </row>
    <row r="27" spans="1:23" x14ac:dyDescent="0.2">
      <c r="A27" t="s">
        <v>42</v>
      </c>
      <c r="B27" s="3">
        <f>IRR(B25:V25)</f>
        <v>0.47758391489075391</v>
      </c>
    </row>
    <row r="28" spans="1:23" x14ac:dyDescent="0.2">
      <c r="A28" t="s">
        <v>43</v>
      </c>
      <c r="B28" s="10">
        <f>NPV(C12, C25:V25) +B25</f>
        <v>1624342949.2792883</v>
      </c>
    </row>
    <row r="29" spans="1:23" x14ac:dyDescent="0.2">
      <c r="A29" t="s">
        <v>44</v>
      </c>
      <c r="B29" s="10">
        <f>B28*C12/(1-(1+C12)^-C3)</f>
        <v>165442917.2704064</v>
      </c>
    </row>
    <row r="30" spans="1:23" x14ac:dyDescent="0.2">
      <c r="A30" t="s">
        <v>45</v>
      </c>
      <c r="B30" s="9">
        <f>B25</f>
        <v>-450000000</v>
      </c>
      <c r="C30" s="9">
        <f>B30+C25/(1+$C$12)^1</f>
        <v>-248563888.8888889</v>
      </c>
      <c r="D30" s="9">
        <f>C30+D25/(1+$C$12)^2</f>
        <v>-64531662.182125151</v>
      </c>
      <c r="E30" s="9">
        <f>D30+E25/(1+$C$12)^3</f>
        <v>105765861.87954068</v>
      </c>
      <c r="F30" s="9">
        <f>E30+F25/(1+$C$12)^4</f>
        <v>263255061.68074247</v>
      </c>
      <c r="G30" s="9">
        <f>F30+G25/(1+$C$12)^5</f>
        <v>408803228.32585508</v>
      </c>
      <c r="H30" s="9">
        <f>G30+H25/(1+$C$12)^6</f>
        <v>543222205.55764484</v>
      </c>
      <c r="I30" s="9">
        <f>H30+I25/(1+$C$12)^7</f>
        <v>667271810.58876014</v>
      </c>
      <c r="J30" s="9">
        <f>I30+J25/(1+$C$12)^8</f>
        <v>781663048.82287264</v>
      </c>
      <c r="K30" s="9">
        <f>J30+K25/(1+$C$12)^9</f>
        <v>887061134.68226278</v>
      </c>
      <c r="L30" s="9">
        <f>K30+L25/(1+$C$12)^10</f>
        <v>984088330.04279196</v>
      </c>
      <c r="M30" s="9">
        <f>L30+M25/(1+$C$12)^11</f>
        <v>1073326611.1029655</v>
      </c>
      <c r="N30" s="9">
        <f>M30+N25/(1+$C$12)^12</f>
        <v>1155320173.8787575</v>
      </c>
      <c r="O30" s="9">
        <f>N30+O25/(1+$C$12)^13</f>
        <v>1230577787.9177754</v>
      </c>
      <c r="P30" s="9">
        <f>O30+P25/(1+$C$12)^14</f>
        <v>1299575007.2630506</v>
      </c>
      <c r="Q30" s="9">
        <f>P30+Q25/(1+$C$12)^15</f>
        <v>1362756247.1662354</v>
      </c>
      <c r="R30" s="9">
        <f>Q30+R25/(1+$C$12)^16</f>
        <v>1420536734.5503788</v>
      </c>
      <c r="S30" s="9">
        <f>R30+S25/(1+$C$12)^17</f>
        <v>1473304339.7519352</v>
      </c>
      <c r="T30" s="9">
        <f>S30+T25/(1+$C$12)^18</f>
        <v>1521421296.6285787</v>
      </c>
      <c r="U30" s="9">
        <f>T30+U25/(1+$C$12)^19</f>
        <v>1565225817.7021227</v>
      </c>
      <c r="V30" s="9">
        <f>U30+V25/(1+$C$12)^20</f>
        <v>1624342949.2792888</v>
      </c>
    </row>
    <row r="33" spans="1:22" ht="16" x14ac:dyDescent="0.2">
      <c r="A33" s="11" t="s">
        <v>47</v>
      </c>
      <c r="B33" t="s">
        <v>12</v>
      </c>
      <c r="C33" t="s">
        <v>13</v>
      </c>
      <c r="D33" t="s">
        <v>14</v>
      </c>
      <c r="E33" t="s">
        <v>15</v>
      </c>
      <c r="F33" t="s">
        <v>16</v>
      </c>
      <c r="G33" t="s">
        <v>17</v>
      </c>
      <c r="H33" t="s">
        <v>18</v>
      </c>
      <c r="I33" t="s">
        <v>19</v>
      </c>
      <c r="J33" t="s">
        <v>20</v>
      </c>
      <c r="K33" t="s">
        <v>21</v>
      </c>
      <c r="L33" t="s">
        <v>22</v>
      </c>
      <c r="M33" t="s">
        <v>23</v>
      </c>
      <c r="N33" t="s">
        <v>24</v>
      </c>
      <c r="O33" t="s">
        <v>25</v>
      </c>
      <c r="P33" t="s">
        <v>26</v>
      </c>
      <c r="Q33" t="s">
        <v>27</v>
      </c>
      <c r="R33" t="s">
        <v>28</v>
      </c>
      <c r="S33" t="s">
        <v>29</v>
      </c>
      <c r="T33" t="s">
        <v>30</v>
      </c>
      <c r="U33" t="s">
        <v>31</v>
      </c>
      <c r="V33" t="s">
        <v>32</v>
      </c>
    </row>
    <row r="34" spans="1:22" ht="16" x14ac:dyDescent="0.2">
      <c r="A34" s="1" t="s">
        <v>33</v>
      </c>
      <c r="B34" s="9">
        <f>-B2</f>
        <v>-500000000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</row>
    <row r="35" spans="1:22" ht="16" x14ac:dyDescent="0.2">
      <c r="A35" s="1" t="s">
        <v>34</v>
      </c>
      <c r="B35" s="9"/>
      <c r="C35" s="9">
        <f>B5</f>
        <v>900000000</v>
      </c>
      <c r="D35" s="9">
        <f>C35*(1+$B$6)</f>
        <v>918000000</v>
      </c>
      <c r="E35" s="9">
        <f t="shared" ref="E35:V35" si="7">D35*(1+$B$6)</f>
        <v>936360000</v>
      </c>
      <c r="F35" s="9">
        <f t="shared" si="7"/>
        <v>955087200</v>
      </c>
      <c r="G35" s="9">
        <f t="shared" si="7"/>
        <v>974188944</v>
      </c>
      <c r="H35" s="9">
        <f t="shared" si="7"/>
        <v>993672722.88</v>
      </c>
      <c r="I35" s="9">
        <f>H35*(1+$B$6)</f>
        <v>1013546177.3376</v>
      </c>
      <c r="J35" s="9">
        <f t="shared" si="7"/>
        <v>1033817100.884352</v>
      </c>
      <c r="K35" s="9">
        <f t="shared" si="7"/>
        <v>1054493442.9020391</v>
      </c>
      <c r="L35" s="9">
        <f t="shared" si="7"/>
        <v>1075583311.7600799</v>
      </c>
      <c r="M35" s="9">
        <f t="shared" si="7"/>
        <v>1097094977.9952815</v>
      </c>
      <c r="N35" s="9">
        <f t="shared" si="7"/>
        <v>1119036877.5551872</v>
      </c>
      <c r="O35" s="9">
        <f t="shared" si="7"/>
        <v>1141417615.1062911</v>
      </c>
      <c r="P35" s="9">
        <f t="shared" si="7"/>
        <v>1164245967.408417</v>
      </c>
      <c r="Q35" s="9">
        <f t="shared" si="7"/>
        <v>1187530886.7565854</v>
      </c>
      <c r="R35" s="9">
        <f t="shared" si="7"/>
        <v>1211281504.4917171</v>
      </c>
      <c r="S35" s="9">
        <f t="shared" si="7"/>
        <v>1235507134.5815516</v>
      </c>
      <c r="T35" s="9">
        <f t="shared" si="7"/>
        <v>1260217277.2731826</v>
      </c>
      <c r="U35" s="9">
        <f t="shared" si="7"/>
        <v>1285421622.8186462</v>
      </c>
      <c r="V35" s="9">
        <f t="shared" si="7"/>
        <v>1311130055.2750192</v>
      </c>
    </row>
    <row r="36" spans="1:22" ht="16" x14ac:dyDescent="0.2">
      <c r="A36" s="1" t="s">
        <v>35</v>
      </c>
      <c r="B36" s="9"/>
      <c r="C36" s="9">
        <f>B7</f>
        <v>20570000</v>
      </c>
      <c r="D36" s="9">
        <f>C36*(1+$B$8)</f>
        <v>20981400</v>
      </c>
      <c r="E36" s="9">
        <f t="shared" ref="E36:V36" si="8">D36*(1+$B$8)</f>
        <v>21401028</v>
      </c>
      <c r="F36" s="9">
        <f t="shared" si="8"/>
        <v>21829048.559999999</v>
      </c>
      <c r="G36" s="9">
        <f t="shared" si="8"/>
        <v>22265629.531199999</v>
      </c>
      <c r="H36" s="9">
        <f t="shared" si="8"/>
        <v>22710942.121824</v>
      </c>
      <c r="I36" s="9">
        <f t="shared" si="8"/>
        <v>23165160.964260481</v>
      </c>
      <c r="J36" s="9">
        <f t="shared" si="8"/>
        <v>23628464.18354569</v>
      </c>
      <c r="K36" s="9">
        <f t="shared" si="8"/>
        <v>24101033.467216603</v>
      </c>
      <c r="L36" s="9">
        <f t="shared" si="8"/>
        <v>24583054.136560936</v>
      </c>
      <c r="M36" s="9">
        <f t="shared" si="8"/>
        <v>25074715.219292156</v>
      </c>
      <c r="N36" s="9">
        <f t="shared" si="8"/>
        <v>25576209.523678001</v>
      </c>
      <c r="O36" s="9">
        <f t="shared" si="8"/>
        <v>26087733.714151561</v>
      </c>
      <c r="P36" s="9">
        <f t="shared" si="8"/>
        <v>26609488.388434593</v>
      </c>
      <c r="Q36" s="9">
        <f t="shared" si="8"/>
        <v>27141678.156203285</v>
      </c>
      <c r="R36" s="9">
        <f t="shared" si="8"/>
        <v>27684511.719327349</v>
      </c>
      <c r="S36" s="9">
        <f t="shared" si="8"/>
        <v>28238201.953713898</v>
      </c>
      <c r="T36" s="9">
        <f t="shared" si="8"/>
        <v>28802965.992788177</v>
      </c>
      <c r="U36" s="9">
        <f t="shared" si="8"/>
        <v>29379025.312643941</v>
      </c>
      <c r="V36" s="9">
        <f t="shared" si="8"/>
        <v>29966605.818896823</v>
      </c>
    </row>
    <row r="37" spans="1:22" ht="16" x14ac:dyDescent="0.2">
      <c r="A37" s="1" t="s">
        <v>36</v>
      </c>
      <c r="B37" s="9"/>
      <c r="C37" s="9">
        <f>B9</f>
        <v>624000000</v>
      </c>
      <c r="D37" s="9">
        <f>C37*(1+$B$10)</f>
        <v>642720000</v>
      </c>
      <c r="E37" s="9">
        <f t="shared" ref="E37:V37" si="9">D37*(1+$B$10)</f>
        <v>662001600</v>
      </c>
      <c r="F37" s="9">
        <f t="shared" si="9"/>
        <v>681861648</v>
      </c>
      <c r="G37" s="9">
        <f t="shared" si="9"/>
        <v>702317497.44000006</v>
      </c>
      <c r="H37" s="9">
        <f t="shared" si="9"/>
        <v>723387022.36320007</v>
      </c>
      <c r="I37" s="9">
        <f t="shared" si="9"/>
        <v>745088633.03409612</v>
      </c>
      <c r="J37" s="9">
        <f t="shared" si="9"/>
        <v>767441292.02511907</v>
      </c>
      <c r="K37" s="9">
        <f t="shared" si="9"/>
        <v>790464530.7858727</v>
      </c>
      <c r="L37" s="9">
        <f t="shared" si="9"/>
        <v>814178466.70944893</v>
      </c>
      <c r="M37" s="9">
        <f t="shared" si="9"/>
        <v>838603820.71073246</v>
      </c>
      <c r="N37" s="9">
        <f t="shared" si="9"/>
        <v>863761935.3320545</v>
      </c>
      <c r="O37" s="9">
        <f t="shared" si="9"/>
        <v>889674793.39201617</v>
      </c>
      <c r="P37" s="9">
        <f t="shared" si="9"/>
        <v>916365037.19377673</v>
      </c>
      <c r="Q37" s="9">
        <f t="shared" si="9"/>
        <v>943855988.3095901</v>
      </c>
      <c r="R37" s="9">
        <f t="shared" si="9"/>
        <v>972171667.9588778</v>
      </c>
      <c r="S37" s="9">
        <f t="shared" si="9"/>
        <v>1001336817.9976442</v>
      </c>
      <c r="T37" s="9">
        <f t="shared" si="9"/>
        <v>1031376922.5375736</v>
      </c>
      <c r="U37" s="9">
        <f t="shared" si="9"/>
        <v>1062318230.2137008</v>
      </c>
      <c r="V37" s="9">
        <f t="shared" si="9"/>
        <v>1094187777.1201117</v>
      </c>
    </row>
    <row r="38" spans="1:22" s="9" customFormat="1" ht="16" x14ac:dyDescent="0.2">
      <c r="A38" s="1" t="s">
        <v>37</v>
      </c>
      <c r="C38" s="9">
        <f>B2/B13</f>
        <v>25000000</v>
      </c>
      <c r="D38" s="9">
        <f>C38</f>
        <v>25000000</v>
      </c>
      <c r="E38" s="9">
        <f t="shared" ref="E38:BP38" si="10">D38</f>
        <v>25000000</v>
      </c>
      <c r="F38" s="9">
        <f t="shared" si="10"/>
        <v>25000000</v>
      </c>
      <c r="G38" s="9">
        <f t="shared" si="10"/>
        <v>25000000</v>
      </c>
      <c r="H38" s="9">
        <f t="shared" si="10"/>
        <v>25000000</v>
      </c>
      <c r="I38" s="9">
        <f t="shared" si="10"/>
        <v>25000000</v>
      </c>
      <c r="J38" s="9">
        <f t="shared" si="10"/>
        <v>25000000</v>
      </c>
      <c r="K38" s="9">
        <f t="shared" si="10"/>
        <v>25000000</v>
      </c>
      <c r="L38" s="9">
        <f t="shared" si="10"/>
        <v>25000000</v>
      </c>
      <c r="M38" s="9">
        <f t="shared" si="10"/>
        <v>25000000</v>
      </c>
      <c r="N38" s="9">
        <f t="shared" si="10"/>
        <v>25000000</v>
      </c>
      <c r="O38" s="9">
        <f t="shared" si="10"/>
        <v>25000000</v>
      </c>
      <c r="P38" s="9">
        <f t="shared" si="10"/>
        <v>25000000</v>
      </c>
      <c r="Q38" s="9">
        <f t="shared" si="10"/>
        <v>25000000</v>
      </c>
      <c r="R38" s="9">
        <f t="shared" si="10"/>
        <v>25000000</v>
      </c>
      <c r="S38" s="9">
        <f t="shared" si="10"/>
        <v>25000000</v>
      </c>
      <c r="T38" s="9">
        <f t="shared" si="10"/>
        <v>25000000</v>
      </c>
      <c r="U38" s="9">
        <f t="shared" si="10"/>
        <v>25000000</v>
      </c>
      <c r="V38" s="9">
        <f t="shared" si="10"/>
        <v>25000000</v>
      </c>
    </row>
    <row r="39" spans="1:22" ht="16" x14ac:dyDescent="0.2">
      <c r="A39" s="2" t="s">
        <v>38</v>
      </c>
      <c r="B39" s="9">
        <v>0</v>
      </c>
      <c r="C39" s="9">
        <f>C35-C36-C37-C38</f>
        <v>230430000</v>
      </c>
      <c r="D39" s="9">
        <f t="shared" ref="D39" si="11">D35-D36-D37-D38</f>
        <v>229298600</v>
      </c>
      <c r="E39" s="9">
        <f t="shared" ref="E39" si="12">E35-E36-E37-E38</f>
        <v>227957372</v>
      </c>
      <c r="F39" s="9">
        <f t="shared" ref="F39" si="13">F35-F36-F37-F38</f>
        <v>226396503.44000006</v>
      </c>
      <c r="G39" s="9">
        <f t="shared" ref="G39" si="14">G35-G36-G37-G38</f>
        <v>224605817.02879989</v>
      </c>
      <c r="H39" s="9">
        <f t="shared" ref="H39" si="15">H35-H36-H37-H38</f>
        <v>222574758.3949759</v>
      </c>
      <c r="I39" s="9">
        <f t="shared" ref="I39" si="16">I35-I36-I37-I38</f>
        <v>220292383.33924341</v>
      </c>
      <c r="J39" s="9">
        <f t="shared" ref="J39" si="17">J35-J36-J37-J38</f>
        <v>217747344.67568719</v>
      </c>
      <c r="K39" s="9">
        <f t="shared" ref="K39" si="18">K35-K36-K37-K38</f>
        <v>214927878.64894974</v>
      </c>
      <c r="L39" s="9">
        <f t="shared" ref="L39" si="19">L35-L36-L37-L38</f>
        <v>211821790.91407001</v>
      </c>
      <c r="M39" s="9">
        <f t="shared" ref="M39" si="20">M35-M36-M37-M38</f>
        <v>208416442.06525683</v>
      </c>
      <c r="N39" s="9">
        <f t="shared" ref="N39" si="21">N35-N36-N37-N38</f>
        <v>204698732.69945467</v>
      </c>
      <c r="O39" s="9">
        <f t="shared" ref="O39" si="22">O35-O36-O37-O38</f>
        <v>200655088.00012326</v>
      </c>
      <c r="P39" s="9">
        <f t="shared" ref="P39" si="23">P35-P36-P37-P38</f>
        <v>196271441.82620561</v>
      </c>
      <c r="Q39" s="9">
        <f t="shared" ref="Q39" si="24">Q35-Q36-Q37-Q38</f>
        <v>191533220.29079199</v>
      </c>
      <c r="R39" s="9">
        <f t="shared" ref="R39" si="25">R35-R36-R37-R38</f>
        <v>186425324.81351185</v>
      </c>
      <c r="S39" s="9">
        <f t="shared" ref="S39" si="26">S35-S36-S37-S38</f>
        <v>180932114.63019347</v>
      </c>
      <c r="T39" s="9">
        <f t="shared" ref="T39" si="27">T35-T36-T37-T38</f>
        <v>175037388.74282098</v>
      </c>
      <c r="U39" s="9">
        <f t="shared" ref="U39" si="28">U35-U36-U37-U38</f>
        <v>168724367.29230142</v>
      </c>
      <c r="V39" s="9">
        <f t="shared" ref="V39" si="29">V35-V36-V37-V38</f>
        <v>161975672.33601069</v>
      </c>
    </row>
    <row r="40" spans="1:22" ht="16" x14ac:dyDescent="0.2">
      <c r="A40" s="1" t="s">
        <v>39</v>
      </c>
      <c r="B40" s="9"/>
      <c r="C40" s="9">
        <f>MAX(0, C39*$B$11)</f>
        <v>48390300</v>
      </c>
      <c r="D40" s="9">
        <f t="shared" ref="D40:V40" si="30">MAX(0, D39*$B$11)</f>
        <v>48152706</v>
      </c>
      <c r="E40" s="9">
        <f t="shared" si="30"/>
        <v>47871048.119999997</v>
      </c>
      <c r="F40" s="9">
        <f t="shared" si="30"/>
        <v>47543265.72240001</v>
      </c>
      <c r="G40" s="9">
        <f t="shared" si="30"/>
        <v>47167221.576047972</v>
      </c>
      <c r="H40" s="9">
        <f t="shared" si="30"/>
        <v>46740699.262944937</v>
      </c>
      <c r="I40" s="9">
        <f t="shared" si="30"/>
        <v>46261400.501241118</v>
      </c>
      <c r="J40" s="9">
        <f t="shared" si="30"/>
        <v>45726942.381894305</v>
      </c>
      <c r="K40" s="9">
        <f t="shared" si="30"/>
        <v>45134854.516279444</v>
      </c>
      <c r="L40" s="9">
        <f t="shared" si="30"/>
        <v>44482576.091954701</v>
      </c>
      <c r="M40" s="9">
        <f t="shared" si="30"/>
        <v>43767452.833703935</v>
      </c>
      <c r="N40" s="9">
        <f t="shared" si="30"/>
        <v>42986733.866885476</v>
      </c>
      <c r="O40" s="9">
        <f t="shared" si="30"/>
        <v>42137568.48002588</v>
      </c>
      <c r="P40" s="9">
        <f t="shared" si="30"/>
        <v>41217002.783503175</v>
      </c>
      <c r="Q40" s="9">
        <f t="shared" si="30"/>
        <v>40221976.261066318</v>
      </c>
      <c r="R40" s="9">
        <f t="shared" si="30"/>
        <v>39149318.210837483</v>
      </c>
      <c r="S40" s="9">
        <f t="shared" si="30"/>
        <v>37995744.07234063</v>
      </c>
      <c r="T40" s="9">
        <f t="shared" si="30"/>
        <v>36757851.6359924</v>
      </c>
      <c r="U40" s="9">
        <f t="shared" si="30"/>
        <v>35432117.1313833</v>
      </c>
      <c r="V40" s="9">
        <f t="shared" si="30"/>
        <v>34014891.190562248</v>
      </c>
    </row>
    <row r="41" spans="1:22" ht="16" x14ac:dyDescent="0.2">
      <c r="A41" s="1" t="s">
        <v>40</v>
      </c>
      <c r="B41" s="9"/>
      <c r="C41" s="9">
        <f>C39-C40</f>
        <v>182039700</v>
      </c>
      <c r="D41" s="9">
        <f t="shared" ref="D41" si="31">D39-D40</f>
        <v>181145894</v>
      </c>
      <c r="E41" s="9">
        <f t="shared" ref="E41" si="32">E39-E40</f>
        <v>180086323.88</v>
      </c>
      <c r="F41" s="9">
        <f t="shared" ref="F41" si="33">F39-F40</f>
        <v>178853237.71760005</v>
      </c>
      <c r="G41" s="9">
        <f t="shared" ref="G41" si="34">G39-G40</f>
        <v>177438595.45275193</v>
      </c>
      <c r="H41" s="9">
        <f t="shared" ref="H41" si="35">H39-H40</f>
        <v>175834059.13203096</v>
      </c>
      <c r="I41" s="9">
        <f t="shared" ref="I41" si="36">I39-I40</f>
        <v>174030982.83800229</v>
      </c>
      <c r="J41" s="9">
        <f t="shared" ref="J41" si="37">J39-J40</f>
        <v>172020402.2937929</v>
      </c>
      <c r="K41" s="9">
        <f t="shared" ref="K41" si="38">K39-K40</f>
        <v>169793024.13267028</v>
      </c>
      <c r="L41" s="9">
        <f t="shared" ref="L41" si="39">L39-L40</f>
        <v>167339214.8221153</v>
      </c>
      <c r="M41" s="9">
        <f t="shared" ref="M41" si="40">M39-M40</f>
        <v>164648989.2315529</v>
      </c>
      <c r="N41" s="9">
        <f t="shared" ref="N41" si="41">N39-N40</f>
        <v>161711998.83256918</v>
      </c>
      <c r="O41" s="9">
        <f t="shared" ref="O41" si="42">O39-O40</f>
        <v>158517519.52009737</v>
      </c>
      <c r="P41" s="9">
        <f t="shared" ref="P41" si="43">P39-P40</f>
        <v>155054439.04270244</v>
      </c>
      <c r="Q41" s="9">
        <f t="shared" ref="Q41" si="44">Q39-Q40</f>
        <v>151311244.02972567</v>
      </c>
      <c r="R41" s="9">
        <f t="shared" ref="R41" si="45">R39-R40</f>
        <v>147276006.60267437</v>
      </c>
      <c r="S41" s="9">
        <f t="shared" ref="S41" si="46">S39-S40</f>
        <v>142936370.55785283</v>
      </c>
      <c r="T41" s="9">
        <f t="shared" ref="T41" si="47">T39-T40</f>
        <v>138279537.10682857</v>
      </c>
      <c r="U41" s="9">
        <f t="shared" ref="U41" si="48">U39-U40</f>
        <v>133292250.16091812</v>
      </c>
      <c r="V41" s="9">
        <f t="shared" ref="V41" si="49">V39-V40</f>
        <v>127960781.14544845</v>
      </c>
    </row>
    <row r="42" spans="1:22" ht="16" x14ac:dyDescent="0.2">
      <c r="A42" s="2" t="s">
        <v>41</v>
      </c>
      <c r="B42" s="9">
        <f>B34</f>
        <v>-500000000</v>
      </c>
      <c r="C42" s="9">
        <f>C41+C38</f>
        <v>207039700</v>
      </c>
      <c r="D42" s="9">
        <f t="shared" ref="D42" si="50">D41+D38</f>
        <v>206145894</v>
      </c>
      <c r="E42" s="9">
        <f t="shared" ref="E42" si="51">E41+E38</f>
        <v>205086323.88</v>
      </c>
      <c r="F42" s="9">
        <f t="shared" ref="F42" si="52">F41+F38</f>
        <v>203853237.71760005</v>
      </c>
      <c r="G42" s="9">
        <f t="shared" ref="G42" si="53">G41+G38</f>
        <v>202438595.45275193</v>
      </c>
      <c r="H42" s="9">
        <f t="shared" ref="H42" si="54">H41+H38</f>
        <v>200834059.13203096</v>
      </c>
      <c r="I42" s="9">
        <f t="shared" ref="I42" si="55">I41+I38</f>
        <v>199030982.83800229</v>
      </c>
      <c r="J42" s="9">
        <f t="shared" ref="J42" si="56">J41+J38</f>
        <v>197020402.2937929</v>
      </c>
      <c r="K42" s="9">
        <f t="shared" ref="K42" si="57">K41+K38</f>
        <v>194793024.13267028</v>
      </c>
      <c r="L42" s="9">
        <f t="shared" ref="L42" si="58">L41+L38</f>
        <v>192339214.8221153</v>
      </c>
      <c r="M42" s="9">
        <f t="shared" ref="M42" si="59">M41+M38</f>
        <v>189648989.2315529</v>
      </c>
      <c r="N42" s="9">
        <f t="shared" ref="N42" si="60">N41+N38</f>
        <v>186711998.83256918</v>
      </c>
      <c r="O42" s="9">
        <f t="shared" ref="O42" si="61">O41+O38</f>
        <v>183517519.52009737</v>
      </c>
      <c r="P42" s="9">
        <f t="shared" ref="P42" si="62">P41+P38</f>
        <v>180054439.04270244</v>
      </c>
      <c r="Q42" s="9">
        <f t="shared" ref="Q42" si="63">Q41+Q38</f>
        <v>176311244.02972567</v>
      </c>
      <c r="R42" s="9">
        <f t="shared" ref="R42" si="64">R41+R38</f>
        <v>172276006.60267437</v>
      </c>
      <c r="S42" s="9">
        <f t="shared" ref="S42" si="65">S41+S38</f>
        <v>167936370.55785283</v>
      </c>
      <c r="T42" s="9">
        <f t="shared" ref="T42" si="66">T41+T38</f>
        <v>163279537.10682857</v>
      </c>
      <c r="U42" s="9">
        <f t="shared" ref="U42" si="67">U41+U38</f>
        <v>158292250.16091812</v>
      </c>
      <c r="V42" s="9">
        <f>V41+V38+B2*B4</f>
        <v>252960781.14544845</v>
      </c>
    </row>
    <row r="43" spans="1:22" ht="16" x14ac:dyDescent="0.2">
      <c r="A43" s="1" t="s">
        <v>52</v>
      </c>
      <c r="B43">
        <f>B2*B4*(1-B11)</f>
        <v>79000000</v>
      </c>
    </row>
    <row r="44" spans="1:22" x14ac:dyDescent="0.2">
      <c r="A44" t="s">
        <v>42</v>
      </c>
      <c r="B44" s="3">
        <f>IRR(B42:V42)</f>
        <v>0.40724653131241606</v>
      </c>
    </row>
    <row r="45" spans="1:22" x14ac:dyDescent="0.2">
      <c r="A45" t="s">
        <v>43</v>
      </c>
      <c r="B45" s="10">
        <f>NPV(B12, C42:V42) +B42</f>
        <v>1421859483.3981256</v>
      </c>
    </row>
    <row r="46" spans="1:22" x14ac:dyDescent="0.2">
      <c r="A46" t="s">
        <v>44</v>
      </c>
      <c r="B46" s="10">
        <f>B45*B12/(1-(1+B12)^-B3)</f>
        <v>144819529.02024293</v>
      </c>
    </row>
    <row r="47" spans="1:22" x14ac:dyDescent="0.2">
      <c r="A47" t="s">
        <v>45</v>
      </c>
      <c r="B47" s="9">
        <f>B42</f>
        <v>-500000000</v>
      </c>
      <c r="C47" s="9">
        <f>B47+C42/(1+$B$12)^1</f>
        <v>-308296574.07407409</v>
      </c>
      <c r="D47" s="9">
        <f>C47+D42/(1+$C$12)^2</f>
        <v>-131559696.50205764</v>
      </c>
      <c r="E47" s="9">
        <f>D47+E42/(1+$C$12)^3</f>
        <v>31244439.586191088</v>
      </c>
      <c r="F47" s="9">
        <f>E47+F42/(1+$C$12)^4</f>
        <v>181082654.89783904</v>
      </c>
      <c r="G47" s="9">
        <f>F47+G42/(1+$C$12)^5</f>
        <v>318858961.39409554</v>
      </c>
      <c r="H47" s="9">
        <f>G47+H42/(1+$C$12)^6</f>
        <v>445418485.50274682</v>
      </c>
      <c r="I47" s="9">
        <f>H47+I42/(1+$C$12)^7</f>
        <v>561551152.34830379</v>
      </c>
      <c r="J47" s="9">
        <f>I47+J42/(1+$C$12)^8</f>
        <v>667995145.31970179</v>
      </c>
      <c r="K47" s="9">
        <f>J47+K42/(1+$C$12)^9</f>
        <v>765440154.44648349</v>
      </c>
      <c r="L47" s="9">
        <f>K47+L42/(1+$C$12)^10</f>
        <v>854530426.25540853</v>
      </c>
      <c r="M47" s="9">
        <f>L47+M42/(1+$C$12)^11</f>
        <v>935867627.02753603</v>
      </c>
      <c r="N47" s="9">
        <f>M47+N42/(1+$C$12)^12</f>
        <v>1010013530.6682435</v>
      </c>
      <c r="O47" s="9">
        <f>N47+O42/(1+$C$12)^13</f>
        <v>1077492541.7367759</v>
      </c>
      <c r="P47" s="9">
        <f>O47+P42/(1+$C$12)^14</f>
        <v>1138794063.5553141</v>
      </c>
      <c r="Q47" s="9">
        <f>P47+Q42/(1+$C$12)^15</f>
        <v>1194374720.7279019</v>
      </c>
      <c r="R47" s="9">
        <f>Q47+R42/(1+$C$12)^16</f>
        <v>1244660444.8447001</v>
      </c>
      <c r="S47" s="9">
        <f>R47+S42/(1+$C$12)^17</f>
        <v>1290048431.6249137</v>
      </c>
      <c r="T47" s="9">
        <f>S47+T42/(1+$C$12)^18</f>
        <v>1330908977.2604225</v>
      </c>
      <c r="U47" s="9">
        <f>T47+U42/(1+$C$12)^19</f>
        <v>1367587201.2598403</v>
      </c>
      <c r="V47" s="9">
        <f>U47+V42/(1+$C$12)^20</f>
        <v>1421859483.3981261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Waghela</dc:creator>
  <cp:lastModifiedBy>shahyash1963@gmail.com</cp:lastModifiedBy>
  <dcterms:created xsi:type="dcterms:W3CDTF">2025-04-30T14:10:23Z</dcterms:created>
  <dcterms:modified xsi:type="dcterms:W3CDTF">2025-05-09T17:14:19Z</dcterms:modified>
</cp:coreProperties>
</file>