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-op Shaheeer R\code\"/>
    </mc:Choice>
  </mc:AlternateContent>
  <xr:revisionPtr revIDLastSave="0" documentId="13_ncr:1_{C839FC2F-F72C-4A8D-B27D-760758B15389}" xr6:coauthVersionLast="47" xr6:coauthVersionMax="47" xr10:uidLastSave="{00000000-0000-0000-0000-000000000000}"/>
  <bookViews>
    <workbookView xWindow="22020" yWindow="0" windowWidth="16320" windowHeight="17085" activeTab="4" xr2:uid="{123C8E70-5E88-486D-BEC0-EE819F103977}"/>
  </bookViews>
  <sheets>
    <sheet name="2 Cascading Inverting Opamps" sheetId="1" r:id="rId1"/>
    <sheet name="Non-Inverting Op Amp" sheetId="5" r:id="rId2"/>
    <sheet name="ADC" sheetId="6" r:id="rId3"/>
    <sheet name="OVS" sheetId="7" r:id="rId4"/>
    <sheet name="OVS with Non-Inverting Op Amp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" i="6"/>
  <c r="E5" i="6"/>
  <c r="E6" i="6"/>
  <c r="E7" i="6"/>
  <c r="E8" i="6"/>
  <c r="E9" i="6"/>
  <c r="E10" i="6"/>
  <c r="G10" i="6" s="1"/>
  <c r="E11" i="6"/>
  <c r="E12" i="6"/>
  <c r="G12" i="6" s="1"/>
  <c r="E13" i="6"/>
  <c r="E14" i="6"/>
  <c r="E15" i="6"/>
  <c r="G15" i="6" s="1"/>
  <c r="E16" i="6"/>
  <c r="E17" i="6"/>
  <c r="E18" i="6"/>
  <c r="E19" i="6"/>
  <c r="E20" i="6"/>
  <c r="E21" i="6"/>
  <c r="E22" i="6"/>
  <c r="G22" i="6" s="1"/>
  <c r="E23" i="6"/>
  <c r="E24" i="6"/>
  <c r="G24" i="6" s="1"/>
  <c r="E25" i="6"/>
  <c r="E26" i="6"/>
  <c r="E27" i="6"/>
  <c r="G27" i="6" s="1"/>
  <c r="E28" i="6"/>
  <c r="E29" i="6"/>
  <c r="E30" i="6"/>
  <c r="E31" i="6"/>
  <c r="E32" i="6"/>
  <c r="E33" i="6"/>
  <c r="E34" i="6"/>
  <c r="G34" i="6" s="1"/>
  <c r="E35" i="6"/>
  <c r="E36" i="6"/>
  <c r="G36" i="6" s="1"/>
  <c r="E37" i="6"/>
  <c r="E38" i="6"/>
  <c r="E39" i="6"/>
  <c r="G39" i="6" s="1"/>
  <c r="E40" i="6"/>
  <c r="E41" i="6"/>
  <c r="E42" i="6"/>
  <c r="E43" i="6"/>
  <c r="E44" i="6"/>
  <c r="E45" i="6"/>
  <c r="E46" i="6"/>
  <c r="G46" i="6" s="1"/>
  <c r="E47" i="6"/>
  <c r="E48" i="6"/>
  <c r="G48" i="6" s="1"/>
  <c r="E49" i="6"/>
  <c r="E50" i="6"/>
  <c r="E51" i="6"/>
  <c r="G51" i="6" s="1"/>
  <c r="E52" i="6"/>
  <c r="E3" i="6"/>
  <c r="G4" i="6" s="1"/>
  <c r="F3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2" i="7"/>
  <c r="F3" i="6"/>
  <c r="E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2" i="7"/>
  <c r="D52" i="7"/>
  <c r="D3" i="7"/>
  <c r="D4" i="7"/>
  <c r="E4" i="7" s="1"/>
  <c r="F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E39" i="7" s="1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" i="6"/>
  <c r="C39" i="5"/>
  <c r="D39" i="5" s="1"/>
  <c r="G5" i="6"/>
  <c r="G6" i="6"/>
  <c r="G7" i="6"/>
  <c r="G8" i="6"/>
  <c r="G9" i="6"/>
  <c r="G11" i="6"/>
  <c r="G13" i="6"/>
  <c r="G14" i="6"/>
  <c r="G16" i="6"/>
  <c r="G17" i="6"/>
  <c r="G18" i="6"/>
  <c r="G19" i="6"/>
  <c r="G20" i="6"/>
  <c r="G21" i="6"/>
  <c r="G23" i="6"/>
  <c r="G25" i="6"/>
  <c r="G26" i="6"/>
  <c r="G28" i="6"/>
  <c r="G29" i="6"/>
  <c r="G30" i="6"/>
  <c r="G31" i="6"/>
  <c r="G32" i="6"/>
  <c r="G33" i="6"/>
  <c r="G35" i="6"/>
  <c r="G37" i="6"/>
  <c r="G38" i="6"/>
  <c r="G40" i="6"/>
  <c r="G41" i="6"/>
  <c r="G42" i="6"/>
  <c r="G43" i="6"/>
  <c r="G44" i="6"/>
  <c r="G45" i="6"/>
  <c r="G47" i="6"/>
  <c r="G49" i="6"/>
  <c r="G50" i="6"/>
  <c r="G52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C14" i="6"/>
  <c r="D52" i="6"/>
  <c r="C52" i="6"/>
  <c r="C51" i="6"/>
  <c r="C50" i="6"/>
  <c r="C49" i="6"/>
  <c r="C48" i="6"/>
  <c r="C47" i="6"/>
  <c r="D47" i="6" s="1"/>
  <c r="C46" i="6"/>
  <c r="D46" i="6" s="1"/>
  <c r="C45" i="6"/>
  <c r="C44" i="6"/>
  <c r="C43" i="6"/>
  <c r="C42" i="6"/>
  <c r="D42" i="6" s="1"/>
  <c r="C41" i="6"/>
  <c r="D41" i="6" s="1"/>
  <c r="C40" i="6"/>
  <c r="C39" i="6"/>
  <c r="D39" i="6" s="1"/>
  <c r="C38" i="6"/>
  <c r="C36" i="6"/>
  <c r="D36" i="6"/>
  <c r="C35" i="6"/>
  <c r="D7" i="6"/>
  <c r="D4" i="6"/>
  <c r="D5" i="6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7" i="6"/>
  <c r="D38" i="6"/>
  <c r="D40" i="6"/>
  <c r="D43" i="6"/>
  <c r="D44" i="6"/>
  <c r="D45" i="6"/>
  <c r="D48" i="6"/>
  <c r="D49" i="6"/>
  <c r="D50" i="6"/>
  <c r="D51" i="6"/>
  <c r="D3" i="6"/>
  <c r="D2" i="6"/>
  <c r="E2" i="6" s="1"/>
  <c r="E53" i="6"/>
  <c r="C37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3" i="6"/>
  <c r="C12" i="6"/>
  <c r="C11" i="6"/>
  <c r="C10" i="6"/>
  <c r="C9" i="6"/>
  <c r="C8" i="6"/>
  <c r="C7" i="6"/>
  <c r="C6" i="6"/>
  <c r="C5" i="6"/>
  <c r="C4" i="6"/>
  <c r="C3" i="6"/>
  <c r="A3" i="6"/>
  <c r="A4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C25" i="5"/>
  <c r="D25" i="5" s="1"/>
  <c r="C24" i="5"/>
  <c r="D24" i="5" s="1"/>
  <c r="C23" i="5"/>
  <c r="D23" i="5" s="1"/>
  <c r="C21" i="5"/>
  <c r="C20" i="5"/>
  <c r="D20" i="5" s="1"/>
  <c r="C19" i="5"/>
  <c r="D19" i="5" s="1"/>
  <c r="C18" i="5"/>
  <c r="D18" i="5" s="1"/>
  <c r="C17" i="5"/>
  <c r="C16" i="5"/>
  <c r="D16" i="5" s="1"/>
  <c r="C15" i="5"/>
  <c r="D15" i="5" s="1"/>
  <c r="C14" i="5"/>
  <c r="C13" i="5"/>
  <c r="C11" i="5"/>
  <c r="D11" i="5" s="1"/>
  <c r="C10" i="5"/>
  <c r="D10" i="5" s="1"/>
  <c r="C9" i="5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6" i="5"/>
  <c r="D26" i="5" s="1"/>
  <c r="C27" i="5"/>
  <c r="C28" i="5"/>
  <c r="C29" i="5"/>
  <c r="D29" i="5" s="1"/>
  <c r="C30" i="5"/>
  <c r="D30" i="5" s="1"/>
  <c r="C31" i="5"/>
  <c r="C33" i="5"/>
  <c r="C34" i="5"/>
  <c r="C35" i="5"/>
  <c r="D35" i="5" s="1"/>
  <c r="C37" i="5"/>
  <c r="D37" i="5" s="1"/>
  <c r="C38" i="5"/>
  <c r="D38" i="5" s="1"/>
  <c r="C36" i="5"/>
  <c r="D36" i="5" s="1"/>
  <c r="C22" i="5"/>
  <c r="D22" i="5" s="1"/>
  <c r="C12" i="5"/>
  <c r="D12" i="5" s="1"/>
  <c r="C2" i="5"/>
  <c r="D2" i="5" s="1"/>
  <c r="F2" i="5" s="1"/>
  <c r="D9" i="5"/>
  <c r="D13" i="5"/>
  <c r="D14" i="5"/>
  <c r="D17" i="5"/>
  <c r="D21" i="5"/>
  <c r="D27" i="5"/>
  <c r="D28" i="5"/>
  <c r="D31" i="5"/>
  <c r="D33" i="5"/>
  <c r="D34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C32" i="5"/>
  <c r="D32" i="5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2" i="1"/>
  <c r="C3" i="1"/>
  <c r="C4" i="1"/>
  <c r="C5" i="1"/>
  <c r="C6" i="1"/>
  <c r="A3" i="5"/>
  <c r="F3" i="5" s="1"/>
  <c r="E10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E9" i="1"/>
  <c r="C52" i="1"/>
  <c r="C42" i="1"/>
  <c r="C32" i="1"/>
  <c r="C22" i="1"/>
  <c r="C1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5" l="1"/>
  <c r="E4" i="1"/>
  <c r="E2" i="1"/>
  <c r="E18" i="1"/>
  <c r="E8" i="1"/>
  <c r="E7" i="1"/>
  <c r="E5" i="1"/>
  <c r="E6" i="1"/>
  <c r="E17" i="1"/>
  <c r="E16" i="1"/>
  <c r="E15" i="1"/>
  <c r="E14" i="1"/>
  <c r="E13" i="1"/>
  <c r="E3" i="1"/>
  <c r="E12" i="1"/>
  <c r="E11" i="1"/>
  <c r="A19" i="1"/>
  <c r="A5" i="5" l="1"/>
  <c r="G4" i="5"/>
  <c r="G3" i="5"/>
  <c r="F4" i="5"/>
  <c r="A20" i="1"/>
  <c r="E19" i="1"/>
  <c r="A6" i="5" l="1"/>
  <c r="F5" i="5"/>
  <c r="G5" i="5"/>
  <c r="A21" i="1"/>
  <c r="E20" i="1"/>
  <c r="A7" i="5" l="1"/>
  <c r="F6" i="5"/>
  <c r="A22" i="1"/>
  <c r="E21" i="1"/>
  <c r="G6" i="5" l="1"/>
  <c r="A8" i="5"/>
  <c r="F7" i="5"/>
  <c r="G7" i="5"/>
  <c r="A23" i="1"/>
  <c r="E22" i="1"/>
  <c r="A9" i="5" l="1"/>
  <c r="F8" i="5"/>
  <c r="G8" i="5"/>
  <c r="A24" i="1"/>
  <c r="E23" i="1"/>
  <c r="A10" i="5" l="1"/>
  <c r="F9" i="5"/>
  <c r="G9" i="5"/>
  <c r="A25" i="1"/>
  <c r="E24" i="1"/>
  <c r="A11" i="5" l="1"/>
  <c r="G10" i="5"/>
  <c r="F10" i="5"/>
  <c r="A26" i="1"/>
  <c r="E25" i="1"/>
  <c r="A12" i="5" l="1"/>
  <c r="G11" i="5"/>
  <c r="F11" i="5"/>
  <c r="A27" i="1"/>
  <c r="E26" i="1"/>
  <c r="A13" i="5" l="1"/>
  <c r="F12" i="5"/>
  <c r="G12" i="5"/>
  <c r="A28" i="1"/>
  <c r="E27" i="1"/>
  <c r="A14" i="5" l="1"/>
  <c r="G13" i="5"/>
  <c r="F13" i="5"/>
  <c r="A29" i="1"/>
  <c r="E28" i="1"/>
  <c r="A15" i="5" l="1"/>
  <c r="G14" i="5"/>
  <c r="F14" i="5"/>
  <c r="A30" i="1"/>
  <c r="E29" i="1"/>
  <c r="A16" i="5" l="1"/>
  <c r="F15" i="5"/>
  <c r="G15" i="5"/>
  <c r="A31" i="1"/>
  <c r="E30" i="1"/>
  <c r="A17" i="5" l="1"/>
  <c r="F16" i="5"/>
  <c r="G16" i="5"/>
  <c r="A32" i="1"/>
  <c r="E31" i="1"/>
  <c r="A18" i="5" l="1"/>
  <c r="G17" i="5"/>
  <c r="F17" i="5"/>
  <c r="A33" i="1"/>
  <c r="E32" i="1"/>
  <c r="A19" i="5" l="1"/>
  <c r="G18" i="5"/>
  <c r="F18" i="5"/>
  <c r="A34" i="1"/>
  <c r="E33" i="1"/>
  <c r="A20" i="5" l="1"/>
  <c r="F19" i="5"/>
  <c r="G19" i="5"/>
  <c r="A35" i="1"/>
  <c r="E34" i="1"/>
  <c r="F20" i="5" l="1"/>
  <c r="G20" i="5"/>
  <c r="A21" i="5"/>
  <c r="A36" i="1"/>
  <c r="E35" i="1"/>
  <c r="A22" i="5" l="1"/>
  <c r="F21" i="5"/>
  <c r="G21" i="5"/>
  <c r="A37" i="1"/>
  <c r="E36" i="1"/>
  <c r="A23" i="5" l="1"/>
  <c r="F22" i="5"/>
  <c r="G22" i="5"/>
  <c r="A38" i="1"/>
  <c r="E37" i="1"/>
  <c r="A24" i="5" l="1"/>
  <c r="F23" i="5"/>
  <c r="G23" i="5"/>
  <c r="A39" i="1"/>
  <c r="E38" i="1"/>
  <c r="A25" i="5" l="1"/>
  <c r="G24" i="5"/>
  <c r="F24" i="5"/>
  <c r="A40" i="1"/>
  <c r="E39" i="1"/>
  <c r="A26" i="5" l="1"/>
  <c r="F25" i="5"/>
  <c r="G25" i="5"/>
  <c r="A41" i="1"/>
  <c r="E40" i="1"/>
  <c r="A27" i="5" l="1"/>
  <c r="F26" i="5"/>
  <c r="G26" i="5"/>
  <c r="A42" i="1"/>
  <c r="E41" i="1"/>
  <c r="A28" i="5" l="1"/>
  <c r="F27" i="5"/>
  <c r="G27" i="5"/>
  <c r="A43" i="1"/>
  <c r="E42" i="1"/>
  <c r="A29" i="5" l="1"/>
  <c r="F28" i="5"/>
  <c r="G28" i="5"/>
  <c r="A44" i="1"/>
  <c r="E43" i="1"/>
  <c r="A30" i="5" l="1"/>
  <c r="F29" i="5"/>
  <c r="G29" i="5"/>
  <c r="A45" i="1"/>
  <c r="E44" i="1"/>
  <c r="A31" i="5" l="1"/>
  <c r="F30" i="5"/>
  <c r="G30" i="5"/>
  <c r="A46" i="1"/>
  <c r="E45" i="1"/>
  <c r="A32" i="5" l="1"/>
  <c r="F31" i="5"/>
  <c r="G31" i="5"/>
  <c r="A47" i="1"/>
  <c r="E46" i="1"/>
  <c r="A33" i="5" l="1"/>
  <c r="G32" i="5"/>
  <c r="F32" i="5"/>
  <c r="A48" i="1"/>
  <c r="E47" i="1"/>
  <c r="A34" i="5" l="1"/>
  <c r="F33" i="5"/>
  <c r="G33" i="5"/>
  <c r="A49" i="1"/>
  <c r="E48" i="1"/>
  <c r="A35" i="5" l="1"/>
  <c r="G34" i="5"/>
  <c r="F34" i="5"/>
  <c r="A50" i="1"/>
  <c r="E49" i="1"/>
  <c r="A36" i="5" l="1"/>
  <c r="F35" i="5"/>
  <c r="G35" i="5"/>
  <c r="A51" i="1"/>
  <c r="E50" i="1"/>
  <c r="A37" i="5" l="1"/>
  <c r="G36" i="5"/>
  <c r="F36" i="5"/>
  <c r="A52" i="1"/>
  <c r="E52" i="1" s="1"/>
  <c r="E51" i="1"/>
  <c r="A38" i="5" l="1"/>
  <c r="G37" i="5"/>
  <c r="F37" i="5"/>
  <c r="A39" i="5" l="1"/>
  <c r="F38" i="5"/>
  <c r="G38" i="5" l="1"/>
  <c r="A40" i="5"/>
  <c r="F39" i="5"/>
  <c r="G39" i="5"/>
  <c r="A41" i="5" l="1"/>
  <c r="A42" i="5" l="1"/>
  <c r="A43" i="5" l="1"/>
  <c r="A44" i="5" l="1"/>
  <c r="A45" i="5" l="1"/>
  <c r="A46" i="5" l="1"/>
  <c r="A47" i="5" l="1"/>
  <c r="A48" i="5" l="1"/>
  <c r="A49" i="5" l="1"/>
  <c r="A50" i="5" l="1"/>
  <c r="A51" i="5" l="1"/>
  <c r="A52" i="5" l="1"/>
</calcChain>
</file>

<file path=xl/sharedStrings.xml><?xml version="1.0" encoding="utf-8"?>
<sst xmlns="http://schemas.openxmlformats.org/spreadsheetml/2006/main" count="46" uniqueCount="15">
  <si>
    <t>Input Voltage (mV)</t>
  </si>
  <si>
    <t>Parameters</t>
  </si>
  <si>
    <t>2.5V Ref Voltage</t>
  </si>
  <si>
    <t>Raw total</t>
  </si>
  <si>
    <t>Sampled Voltage (mv)</t>
  </si>
  <si>
    <t>=</t>
  </si>
  <si>
    <t>Reported Input Voltage (mV)</t>
  </si>
  <si>
    <t>2330 - 2340</t>
  </si>
  <si>
    <t>Error (mV)</t>
  </si>
  <si>
    <t>Ratio</t>
  </si>
  <si>
    <t>Difference in Error</t>
  </si>
  <si>
    <t>Real Input Voltage (mV)</t>
  </si>
  <si>
    <t>Output Sample</t>
  </si>
  <si>
    <t>Output Votlage (mV)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</si>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</sst>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'Non-Inverting Op Amp'!$E$1</c:f>
              <c:strCache>
                <c:ptCount val="1"/>
                <c:pt idx="0">
                  <c:v>Error (mV)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'Non-Inverting Op Amp'!$C$2:$C$39</c:f>
              <c:numCache>
                <c:formatCode>General</c:formatCode>
                <c:ptCount val="38"/>
                <c:pt idx="0">
                  <c:v>15</c:v>
                </c:pt>
                <c:pt idx="1">
                  <c:v>779</c:v>
                </c:pt>
                <c:pt idx="2">
                  <c:v>1701</c:v>
                </c:pt>
                <c:pt idx="3">
                  <c:v>2616</c:v>
                </c:pt>
                <c:pt idx="4">
                  <c:v>3532</c:v>
                </c:pt>
                <c:pt idx="5">
                  <c:v>4437</c:v>
                </c:pt>
                <c:pt idx="6">
                  <c:v>5125</c:v>
                </c:pt>
                <c:pt idx="7">
                  <c:v>6041</c:v>
                </c:pt>
                <c:pt idx="8">
                  <c:v>6952</c:v>
                </c:pt>
                <c:pt idx="9">
                  <c:v>7872</c:v>
                </c:pt>
                <c:pt idx="10">
                  <c:v>8787</c:v>
                </c:pt>
                <c:pt idx="11">
                  <c:v>9703</c:v>
                </c:pt>
                <c:pt idx="12">
                  <c:v>10387</c:v>
                </c:pt>
                <c:pt idx="13">
                  <c:v>11301</c:v>
                </c:pt>
                <c:pt idx="14">
                  <c:v>12219</c:v>
                </c:pt>
                <c:pt idx="15">
                  <c:v>13129</c:v>
                </c:pt>
                <c:pt idx="16">
                  <c:v>14051</c:v>
                </c:pt>
                <c:pt idx="17">
                  <c:v>14961</c:v>
                </c:pt>
                <c:pt idx="18">
                  <c:v>15649</c:v>
                </c:pt>
                <c:pt idx="19">
                  <c:v>16570</c:v>
                </c:pt>
                <c:pt idx="20">
                  <c:v>17482</c:v>
                </c:pt>
                <c:pt idx="21">
                  <c:v>18401</c:v>
                </c:pt>
                <c:pt idx="22">
                  <c:v>19314</c:v>
                </c:pt>
                <c:pt idx="23">
                  <c:v>20245</c:v>
                </c:pt>
                <c:pt idx="24">
                  <c:v>20924</c:v>
                </c:pt>
                <c:pt idx="25">
                  <c:v>21843</c:v>
                </c:pt>
                <c:pt idx="26">
                  <c:v>22759</c:v>
                </c:pt>
                <c:pt idx="27">
                  <c:v>23673</c:v>
                </c:pt>
                <c:pt idx="28">
                  <c:v>24583</c:v>
                </c:pt>
                <c:pt idx="29">
                  <c:v>25270</c:v>
                </c:pt>
                <c:pt idx="30">
                  <c:v>26182</c:v>
                </c:pt>
                <c:pt idx="31">
                  <c:v>27097</c:v>
                </c:pt>
                <c:pt idx="32">
                  <c:v>28010</c:v>
                </c:pt>
                <c:pt idx="33">
                  <c:v>28944</c:v>
                </c:pt>
                <c:pt idx="34">
                  <c:v>29876</c:v>
                </c:pt>
                <c:pt idx="35">
                  <c:v>30558</c:v>
                </c:pt>
                <c:pt idx="36">
                  <c:v>31469</c:v>
                </c:pt>
                <c:pt idx="37">
                  <c:v>32390</c:v>
                </c:pt>
              </c:numCache>
            </c:numRef>
          </c:xVal>
          <c:yVal>
            <c:numRef>
              <c:f>'Non-Inverting Op Amp'!$E$2:$E$39</c:f>
              <c:numCache>
                <c:formatCode>General</c:formatCode>
                <c:ptCount val="38"/>
                <c:pt idx="0">
                  <c:v>-0.86045802984022557</c:v>
                </c:pt>
                <c:pt idx="1">
                  <c:v>-0.6864536830357153</c:v>
                </c:pt>
                <c:pt idx="2">
                  <c:v>-1.5759405838815752</c:v>
                </c:pt>
                <c:pt idx="3">
                  <c:v>-2.0638804041353183</c:v>
                </c:pt>
                <c:pt idx="4">
                  <c:v>-2.6091840930451156</c:v>
                </c:pt>
                <c:pt idx="5">
                  <c:v>-1.5234852267386998</c:v>
                </c:pt>
                <c:pt idx="6">
                  <c:v>-1.9898268620770523</c:v>
                </c:pt>
                <c:pt idx="7">
                  <c:v>-2.5351305509868212</c:v>
                </c:pt>
                <c:pt idx="8">
                  <c:v>-1.793614896616532</c:v>
                </c:pt>
                <c:pt idx="9">
                  <c:v>-2.5683740601503473</c:v>
                </c:pt>
                <c:pt idx="10">
                  <c:v>-2.0563138804041046</c:v>
                </c:pt>
                <c:pt idx="11">
                  <c:v>-2.6016175693139303</c:v>
                </c:pt>
                <c:pt idx="12">
                  <c:v>-2.838503730028151</c:v>
                </c:pt>
                <c:pt idx="13">
                  <c:v>-3.2690796816259535</c:v>
                </c:pt>
                <c:pt idx="14">
                  <c:v>-2.9291111078476888</c:v>
                </c:pt>
                <c:pt idx="15">
                  <c:v>-3.1302315848214448</c:v>
                </c:pt>
                <c:pt idx="16">
                  <c:v>-4.0197184856672266</c:v>
                </c:pt>
                <c:pt idx="17">
                  <c:v>-4.2208389626409826</c:v>
                </c:pt>
                <c:pt idx="18">
                  <c:v>-4.6871805979792498</c:v>
                </c:pt>
                <c:pt idx="19">
                  <c:v>-4.5193036301691336</c:v>
                </c:pt>
                <c:pt idx="20">
                  <c:v>-4.8351518444547992</c:v>
                </c:pt>
                <c:pt idx="21">
                  <c:v>-5.5525471393325461</c:v>
                </c:pt>
                <c:pt idx="22">
                  <c:v>-4.9257592222743369</c:v>
                </c:pt>
                <c:pt idx="23">
                  <c:v>-6.3315209410243369</c:v>
                </c:pt>
                <c:pt idx="24">
                  <c:v>-5.2815877584584996</c:v>
                </c:pt>
                <c:pt idx="25">
                  <c:v>-6.9989830533363602</c:v>
                </c:pt>
                <c:pt idx="26">
                  <c:v>-6.5442867422461859</c:v>
                </c:pt>
                <c:pt idx="27">
                  <c:v>-5.9748626938439884</c:v>
                </c:pt>
                <c:pt idx="28">
                  <c:v>-7.175983170817517</c:v>
                </c:pt>
                <c:pt idx="29">
                  <c:v>-7.5849609375</c:v>
                </c:pt>
                <c:pt idx="30">
                  <c:v>-6.9008091517855519</c:v>
                </c:pt>
                <c:pt idx="31">
                  <c:v>-7.388748972039366</c:v>
                </c:pt>
                <c:pt idx="32">
                  <c:v>-7.7619610549811568</c:v>
                </c:pt>
                <c:pt idx="33">
                  <c:v>-6.3398143796991917</c:v>
                </c:pt>
                <c:pt idx="34">
                  <c:v>-7.8029399671052033</c:v>
                </c:pt>
                <c:pt idx="35">
                  <c:v>-7.9250983905074008</c:v>
                </c:pt>
                <c:pt idx="36">
                  <c:v>-8.1835827361371685</c:v>
                </c:pt>
                <c:pt idx="37">
                  <c:v>-8.0157057683270523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82B-499C-9799-D7DD583A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23055"/>
        <c:axId val="997923471"/>
      </c:scatterChart>
      <c:valAx>
        <c:axId val="9979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23471"/>
        <c:crosses val="autoZero"/>
        <c:crossBetween val="midCat"/>
      </c:valAx>
      <c:valAx>
        <c:axId val="997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2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ADC!$E$1</c:f>
              <c:strCache>
                <c:ptCount val="1"/>
                <c:pt idx="0">
                  <c:v>Error (mV)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3224240204646775E-2"/>
                  <c:y val="-0.11137373019907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ADC!$A$2:$A$52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</c:numCache>
            </c:numRef>
          </c:xVal>
          <c:yVal>
            <c:numRef>
              <c:f>ADC!$E$2:$E$52</c:f>
              <c:numCache>
                <c:formatCode>General</c:formatCode>
                <c:ptCount val="51"/>
                <c:pt idx="0">
                  <c:v>0</c:v>
                </c:pt>
                <c:pt idx="1">
                  <c:v>5.46875E-2</c:v>
                </c:pt>
                <c:pt idx="2">
                  <c:v>9.85107421875E-2</c:v>
                </c:pt>
                <c:pt idx="3">
                  <c:v>-1.1546630859375</c:v>
                </c:pt>
                <c:pt idx="4">
                  <c:v>1.2542724609375</c:v>
                </c:pt>
                <c:pt idx="5">
                  <c:v>0.8485107421875</c:v>
                </c:pt>
                <c:pt idx="6">
                  <c:v>-0.3583984375</c:v>
                </c:pt>
                <c:pt idx="7">
                  <c:v>0.524658203125</c:v>
                </c:pt>
                <c:pt idx="8">
                  <c:v>-0.64404296875</c:v>
                </c:pt>
                <c:pt idx="9">
                  <c:v>0.239013671875</c:v>
                </c:pt>
                <c:pt idx="10">
                  <c:v>0.138427734375</c:v>
                </c:pt>
                <c:pt idx="11">
                  <c:v>0.3348388671875</c:v>
                </c:pt>
                <c:pt idx="12">
                  <c:v>-1.17724609375</c:v>
                </c:pt>
                <c:pt idx="13">
                  <c:v>-0.3704833984375</c:v>
                </c:pt>
                <c:pt idx="14">
                  <c:v>-0.54736328125</c:v>
                </c:pt>
                <c:pt idx="15">
                  <c:v>-0.3509521484375</c:v>
                </c:pt>
                <c:pt idx="16">
                  <c:v>0.30322265625</c:v>
                </c:pt>
                <c:pt idx="17">
                  <c:v>-1.255126953125</c:v>
                </c:pt>
                <c:pt idx="18">
                  <c:v>-0.4783935546875</c:v>
                </c:pt>
                <c:pt idx="19">
                  <c:v>-0.2738037109375</c:v>
                </c:pt>
                <c:pt idx="20">
                  <c:v>-0.7640380859375</c:v>
                </c:pt>
                <c:pt idx="21">
                  <c:v>-1.1016845703125</c:v>
                </c:pt>
                <c:pt idx="22">
                  <c:v>-1.43115234375</c:v>
                </c:pt>
                <c:pt idx="23">
                  <c:v>-1.3873291015625</c:v>
                </c:pt>
                <c:pt idx="24">
                  <c:v>-1.2890625</c:v>
                </c:pt>
                <c:pt idx="25">
                  <c:v>-2.626708984375</c:v>
                </c:pt>
                <c:pt idx="26">
                  <c:v>-1.8880615234375</c:v>
                </c:pt>
                <c:pt idx="27">
                  <c:v>-1.5308837890625</c:v>
                </c:pt>
                <c:pt idx="28">
                  <c:v>-2.5633544921875</c:v>
                </c:pt>
                <c:pt idx="29">
                  <c:v>-3.8465576171875</c:v>
                </c:pt>
                <c:pt idx="30">
                  <c:v>-2.7264404296875</c:v>
                </c:pt>
                <c:pt idx="31">
                  <c:v>-2.4537353515625</c:v>
                </c:pt>
                <c:pt idx="32">
                  <c:v>-3.2491455078125</c:v>
                </c:pt>
                <c:pt idx="33">
                  <c:v>-2.1126708984375</c:v>
                </c:pt>
                <c:pt idx="34">
                  <c:v>-2.6029052734375</c:v>
                </c:pt>
                <c:pt idx="35">
                  <c:v>-3.2757568359375</c:v>
                </c:pt>
                <c:pt idx="36">
                  <c:v>-3.7659912109375</c:v>
                </c:pt>
                <c:pt idx="37">
                  <c:v>-2.9510498046875</c:v>
                </c:pt>
                <c:pt idx="38">
                  <c:v>-2.3731689453125</c:v>
                </c:pt>
                <c:pt idx="39">
                  <c:v>-3.0159912109375</c:v>
                </c:pt>
                <c:pt idx="40">
                  <c:v>-3.345458984375</c:v>
                </c:pt>
                <c:pt idx="41">
                  <c:v>-2.64501953125</c:v>
                </c:pt>
                <c:pt idx="42">
                  <c:v>-3.13525390625</c:v>
                </c:pt>
                <c:pt idx="43">
                  <c:v>-4.541015625</c:v>
                </c:pt>
                <c:pt idx="44">
                  <c:v>-3.6497802734375</c:v>
                </c:pt>
                <c:pt idx="45">
                  <c:v>-2.843017578125</c:v>
                </c:pt>
                <c:pt idx="46">
                  <c:v>-4.4013671875</c:v>
                </c:pt>
                <c:pt idx="47">
                  <c:v>-44.07421875</c:v>
                </c:pt>
                <c:pt idx="48">
                  <c:v>-4.0303955078125</c:v>
                </c:pt>
                <c:pt idx="49">
                  <c:v>-5.0546875</c:v>
                </c:pt>
                <c:pt idx="50">
                  <c:v>4.6103515625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E-41F8-980F-58447DD2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30303"/>
        <c:axId val="702733631"/>
      </c:scatterChart>
      <c:valAx>
        <c:axId val="7027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33631"/>
        <c:crosses val="autoZero"/>
        <c:crossBetween val="midCat"/>
      </c:valAx>
      <c:valAx>
        <c:axId val="702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352424</xdr:colOff>
      <xdr:row>5</xdr:row>
      <xdr:rowOff>180976</xdr:rowOff>
    </xdr:from>
    <xdr:to>
      <xdr:col>31</xdr:col>
      <xdr:colOff>514349</xdr:colOff>
      <xdr:row>34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E0A55-8FDD-4A6C-B6D7-6F8805030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71436</xdr:rowOff>
    </xdr:from>
    <xdr:to>
      <xdr:col>34</xdr:col>
      <xdr:colOff>133350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E79F3-B392-45F2-ACFF-9A528CCD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2BCB-E007-44AD-8C0E-C6F478F6557F}">
  <dimension ref="A1:L52"/>
  <sheetViews>
    <sheetView workbookViewId="0">
      <selection activeCell="H6" sqref="H6"/>
    </sheetView>
  </sheetViews>
  <sheetFormatPr defaultRowHeight="15" x14ac:dyDescent="0.25"/>
  <sheetData>
    <row r="1" spans="1:12" x14ac:dyDescent="0.25">
      <c r="A1" t="s">
        <v>0</v>
      </c>
      <c r="B1" t="s">
        <v>6</v>
      </c>
      <c r="C1" t="s">
        <v>3</v>
      </c>
      <c r="D1" t="s">
        <v>4</v>
      </c>
      <c r="E1" t="s">
        <v>8</v>
      </c>
      <c r="L1" t="s">
        <v>1</v>
      </c>
    </row>
    <row r="2" spans="1:12" x14ac:dyDescent="0.25">
      <c r="A2">
        <v>0</v>
      </c>
      <c r="C2">
        <f>2+2+2+1+1+1+2+2</f>
        <v>13</v>
      </c>
      <c r="D2">
        <f>C2*1.01/8*2500/4096</f>
        <v>1.001739501953125</v>
      </c>
      <c r="E2">
        <f>A2-D2</f>
        <v>-1.001739501953125</v>
      </c>
      <c r="L2" t="s">
        <v>2</v>
      </c>
    </row>
    <row r="3" spans="1:12" x14ac:dyDescent="0.25">
      <c r="A3">
        <f>A2+50</f>
        <v>50</v>
      </c>
      <c r="B3">
        <v>30</v>
      </c>
      <c r="C3">
        <f>60+64+68+65+63+62+64+60</f>
        <v>506</v>
      </c>
      <c r="D3">
        <f t="shared" ref="D3:D52" si="0">C3*1.01/8*2500/4096</f>
        <v>38.99078369140625</v>
      </c>
      <c r="E3">
        <f t="shared" ref="E3:E51" si="1">A3-D3</f>
        <v>11.00921630859375</v>
      </c>
    </row>
    <row r="4" spans="1:12" x14ac:dyDescent="0.25">
      <c r="A4">
        <f t="shared" ref="A4:A50" si="2">A3+50</f>
        <v>100</v>
      </c>
      <c r="B4">
        <v>90</v>
      </c>
      <c r="C4">
        <f>142+150+146+144+144+143+146+143</f>
        <v>1158</v>
      </c>
      <c r="D4">
        <f t="shared" si="0"/>
        <v>89.23187255859375</v>
      </c>
      <c r="E4">
        <f t="shared" si="1"/>
        <v>10.76812744140625</v>
      </c>
    </row>
    <row r="5" spans="1:12" x14ac:dyDescent="0.25">
      <c r="A5">
        <f t="shared" si="2"/>
        <v>150</v>
      </c>
      <c r="B5">
        <v>140</v>
      </c>
      <c r="C5">
        <f>229+227+226+223+229+230+229+224</f>
        <v>1817</v>
      </c>
      <c r="D5">
        <f t="shared" si="0"/>
        <v>140.01235961914063</v>
      </c>
      <c r="E5">
        <f t="shared" si="1"/>
        <v>9.987640380859375</v>
      </c>
    </row>
    <row r="6" spans="1:12" x14ac:dyDescent="0.25">
      <c r="A6">
        <f t="shared" si="2"/>
        <v>200</v>
      </c>
      <c r="C6">
        <f>303+308+306+308+307+310+309+305</f>
        <v>2456</v>
      </c>
      <c r="D6">
        <f t="shared" si="0"/>
        <v>189.251708984375</v>
      </c>
      <c r="E6">
        <f t="shared" si="1"/>
        <v>10.748291015625</v>
      </c>
    </row>
    <row r="7" spans="1:12" x14ac:dyDescent="0.25">
      <c r="A7">
        <f t="shared" si="2"/>
        <v>250</v>
      </c>
      <c r="C7">
        <f>391+390+388+390+391+391+389+389</f>
        <v>3119</v>
      </c>
      <c r="D7">
        <f t="shared" si="0"/>
        <v>240.34042358398438</v>
      </c>
      <c r="E7">
        <f t="shared" si="1"/>
        <v>9.659576416015625</v>
      </c>
    </row>
    <row r="8" spans="1:12" x14ac:dyDescent="0.25">
      <c r="A8">
        <f t="shared" si="2"/>
        <v>300</v>
      </c>
      <c r="C8">
        <f>453+454+448+447+453+451+453+452</f>
        <v>3611</v>
      </c>
      <c r="D8">
        <f t="shared" si="0"/>
        <v>278.25241088867188</v>
      </c>
      <c r="E8">
        <f t="shared" si="1"/>
        <v>21.747589111328125</v>
      </c>
    </row>
    <row r="9" spans="1:12" x14ac:dyDescent="0.25">
      <c r="A9">
        <f t="shared" si="2"/>
        <v>350</v>
      </c>
      <c r="C9">
        <f>530+534+531+534+534+531+536+533</f>
        <v>4263</v>
      </c>
      <c r="D9">
        <f t="shared" si="0"/>
        <v>328.49349975585938</v>
      </c>
      <c r="E9">
        <f t="shared" si="1"/>
        <v>21.506500244140625</v>
      </c>
    </row>
    <row r="10" spans="1:12" x14ac:dyDescent="0.25">
      <c r="A10">
        <f t="shared" si="2"/>
        <v>400</v>
      </c>
      <c r="C10">
        <f>612+616+616+615+613+616+615+615</f>
        <v>4918</v>
      </c>
      <c r="D10">
        <f t="shared" si="0"/>
        <v>378.96575927734375</v>
      </c>
      <c r="E10">
        <f t="shared" si="1"/>
        <v>21.03424072265625</v>
      </c>
    </row>
    <row r="11" spans="1:12" x14ac:dyDescent="0.25">
      <c r="A11">
        <f t="shared" si="2"/>
        <v>450</v>
      </c>
      <c r="C11">
        <f>698+696+698+698+696+696+693+698</f>
        <v>5573</v>
      </c>
      <c r="D11">
        <f t="shared" si="0"/>
        <v>429.43801879882818</v>
      </c>
      <c r="E11">
        <f t="shared" si="1"/>
        <v>20.561981201171818</v>
      </c>
    </row>
    <row r="12" spans="1:12" x14ac:dyDescent="0.25">
      <c r="A12">
        <f t="shared" si="2"/>
        <v>500</v>
      </c>
      <c r="C12">
        <f>776+779+780+781+778+778+779+779</f>
        <v>6230</v>
      </c>
      <c r="D12">
        <f t="shared" si="0"/>
        <v>480.06439208984375</v>
      </c>
      <c r="E12">
        <f t="shared" si="1"/>
        <v>19.93560791015625</v>
      </c>
    </row>
    <row r="13" spans="1:12" x14ac:dyDescent="0.25">
      <c r="A13">
        <f t="shared" si="2"/>
        <v>550</v>
      </c>
      <c r="C13">
        <f>861+863+861+859+857+861+863+861</f>
        <v>6886</v>
      </c>
      <c r="D13">
        <f t="shared" si="0"/>
        <v>530.61370849609375</v>
      </c>
      <c r="E13">
        <f t="shared" si="1"/>
        <v>19.38629150390625</v>
      </c>
    </row>
    <row r="14" spans="1:12" x14ac:dyDescent="0.25">
      <c r="A14">
        <f t="shared" si="2"/>
        <v>600</v>
      </c>
      <c r="C14">
        <f>923+924+924+923+925+924+926+925</f>
        <v>7394</v>
      </c>
      <c r="D14">
        <f t="shared" si="0"/>
        <v>569.75860595703125</v>
      </c>
      <c r="E14">
        <f t="shared" si="1"/>
        <v>30.24139404296875</v>
      </c>
    </row>
    <row r="15" spans="1:12" x14ac:dyDescent="0.25">
      <c r="A15">
        <f t="shared" si="2"/>
        <v>650</v>
      </c>
      <c r="C15">
        <f>1009+1007+1008+1007+1005+1006+1007+1007</f>
        <v>8056</v>
      </c>
      <c r="D15">
        <f t="shared" si="0"/>
        <v>620.770263671875</v>
      </c>
      <c r="E15">
        <f t="shared" si="1"/>
        <v>29.229736328125</v>
      </c>
    </row>
    <row r="16" spans="1:12" x14ac:dyDescent="0.25">
      <c r="A16">
        <f t="shared" si="2"/>
        <v>700</v>
      </c>
      <c r="C16">
        <f>1091+1089+1092+1090+1090+1088+1089+1090</f>
        <v>8719</v>
      </c>
      <c r="D16">
        <f t="shared" si="0"/>
        <v>671.85897827148438</v>
      </c>
      <c r="E16">
        <f t="shared" si="1"/>
        <v>28.141021728515625</v>
      </c>
    </row>
    <row r="17" spans="1:5" x14ac:dyDescent="0.25">
      <c r="A17">
        <f t="shared" si="2"/>
        <v>750</v>
      </c>
      <c r="C17">
        <f>1172+1171+1173+1172+1172+1174+1173+1174</f>
        <v>9381</v>
      </c>
      <c r="D17">
        <f t="shared" si="0"/>
        <v>722.87063598632813</v>
      </c>
      <c r="E17">
        <f t="shared" si="1"/>
        <v>27.129364013671875</v>
      </c>
    </row>
    <row r="18" spans="1:5" x14ac:dyDescent="0.25">
      <c r="A18">
        <f t="shared" si="2"/>
        <v>800</v>
      </c>
      <c r="C18">
        <f>1255+1255+1258+1257+1258+1256+1255+1257</f>
        <v>10051</v>
      </c>
      <c r="D18">
        <f t="shared" si="0"/>
        <v>774.49874877929688</v>
      </c>
      <c r="E18">
        <f t="shared" si="1"/>
        <v>25.501251220703125</v>
      </c>
    </row>
    <row r="19" spans="1:5" x14ac:dyDescent="0.25">
      <c r="A19">
        <f t="shared" si="2"/>
        <v>850</v>
      </c>
      <c r="C19">
        <f>1340+1340+1338+1342+1339+1338+1338+1340</f>
        <v>10715</v>
      </c>
      <c r="D19">
        <f t="shared" si="0"/>
        <v>825.66452026367188</v>
      </c>
      <c r="E19">
        <f t="shared" si="1"/>
        <v>24.335479736328125</v>
      </c>
    </row>
    <row r="20" spans="1:5" x14ac:dyDescent="0.25">
      <c r="A20">
        <f t="shared" si="2"/>
        <v>900</v>
      </c>
      <c r="C20">
        <f>1403+1404+1403+1401+1403+1402+1400+1405</f>
        <v>11221</v>
      </c>
      <c r="D20">
        <f t="shared" si="0"/>
        <v>864.65530395507824</v>
      </c>
      <c r="E20">
        <f t="shared" si="1"/>
        <v>35.344696044921761</v>
      </c>
    </row>
    <row r="21" spans="1:5" x14ac:dyDescent="0.25">
      <c r="A21">
        <f t="shared" si="2"/>
        <v>950</v>
      </c>
      <c r="C21">
        <f>1488+1487+1488+1489+1490+1488+1489+1490</f>
        <v>11909</v>
      </c>
      <c r="D21">
        <f t="shared" si="0"/>
        <v>917.67044067382813</v>
      </c>
      <c r="E21">
        <f t="shared" si="1"/>
        <v>32.329559326171875</v>
      </c>
    </row>
    <row r="22" spans="1:5" x14ac:dyDescent="0.25">
      <c r="A22">
        <f t="shared" si="2"/>
        <v>1000</v>
      </c>
      <c r="C22">
        <f>1574+1574+1574+1575+1573+1572+1573+1573</f>
        <v>12588</v>
      </c>
      <c r="D22">
        <f t="shared" si="0"/>
        <v>969.99206542968761</v>
      </c>
      <c r="E22">
        <f t="shared" si="1"/>
        <v>30.007934570312386</v>
      </c>
    </row>
    <row r="23" spans="1:5" x14ac:dyDescent="0.25">
      <c r="A23">
        <f t="shared" si="2"/>
        <v>1050</v>
      </c>
      <c r="C23">
        <f>1658+1655+1657+1656+1655+1656+1658+1656</f>
        <v>13251</v>
      </c>
      <c r="D23">
        <f t="shared" si="0"/>
        <v>1021.0807800292969</v>
      </c>
      <c r="E23">
        <f t="shared" si="1"/>
        <v>28.919219970703125</v>
      </c>
    </row>
    <row r="24" spans="1:5" x14ac:dyDescent="0.25">
      <c r="A24">
        <f t="shared" si="2"/>
        <v>1100</v>
      </c>
      <c r="C24">
        <f>1739+1740+1741+1740+1737+1738+1739+1740</f>
        <v>13914</v>
      </c>
      <c r="D24">
        <f t="shared" si="0"/>
        <v>1072.1694946289063</v>
      </c>
      <c r="E24">
        <f t="shared" si="1"/>
        <v>27.83050537109375</v>
      </c>
    </row>
    <row r="25" spans="1:5" x14ac:dyDescent="0.25">
      <c r="A25">
        <f t="shared" si="2"/>
        <v>1150</v>
      </c>
      <c r="C25">
        <f>1825+1827+1826+1827+1828+1828+1825+1826</f>
        <v>14612</v>
      </c>
      <c r="D25">
        <f t="shared" si="0"/>
        <v>1125.9552001953125</v>
      </c>
      <c r="E25">
        <f t="shared" si="1"/>
        <v>24.0447998046875</v>
      </c>
    </row>
    <row r="26" spans="1:5" x14ac:dyDescent="0.25">
      <c r="A26">
        <f t="shared" si="2"/>
        <v>1200</v>
      </c>
      <c r="C26">
        <f>1888+1892+1891+1892+1892+1891+1892+1891</f>
        <v>15129</v>
      </c>
      <c r="D26">
        <f t="shared" si="0"/>
        <v>1165.7936096191406</v>
      </c>
      <c r="E26">
        <f t="shared" si="1"/>
        <v>34.206390380859375</v>
      </c>
    </row>
    <row r="27" spans="1:5" x14ac:dyDescent="0.25">
      <c r="A27">
        <f t="shared" si="2"/>
        <v>1250</v>
      </c>
      <c r="C27">
        <f>1977+1977+1976+1977+1977+1976+1976+1976</f>
        <v>15812</v>
      </c>
      <c r="D27">
        <f t="shared" si="0"/>
        <v>1218.4234619140625</v>
      </c>
      <c r="E27">
        <f t="shared" si="1"/>
        <v>31.5765380859375</v>
      </c>
    </row>
    <row r="28" spans="1:5" x14ac:dyDescent="0.25">
      <c r="A28">
        <f t="shared" si="2"/>
        <v>1300</v>
      </c>
      <c r="C28">
        <f>2063+2065+2062+2062+2065+2063+2062+2065</f>
        <v>16507</v>
      </c>
      <c r="D28">
        <f t="shared" si="0"/>
        <v>1271.9779968261719</v>
      </c>
      <c r="E28">
        <f t="shared" si="1"/>
        <v>28.022003173828125</v>
      </c>
    </row>
    <row r="29" spans="1:5" x14ac:dyDescent="0.25">
      <c r="A29">
        <f t="shared" si="2"/>
        <v>1350</v>
      </c>
      <c r="C29">
        <f>2147+2150+2145+2150+2150+2147+2149+2151</f>
        <v>17189</v>
      </c>
      <c r="D29">
        <f t="shared" si="0"/>
        <v>1324.5307922363281</v>
      </c>
      <c r="E29">
        <f t="shared" si="1"/>
        <v>25.469207763671875</v>
      </c>
    </row>
    <row r="30" spans="1:5" x14ac:dyDescent="0.25">
      <c r="A30">
        <f t="shared" si="2"/>
        <v>1400</v>
      </c>
      <c r="C30">
        <f>2235+2236+2235+2237+2236+2237+2234+2236</f>
        <v>17886</v>
      </c>
      <c r="D30">
        <f t="shared" si="0"/>
        <v>1378.2394409179688</v>
      </c>
      <c r="E30">
        <f t="shared" si="1"/>
        <v>21.76055908203125</v>
      </c>
    </row>
    <row r="31" spans="1:5" x14ac:dyDescent="0.25">
      <c r="A31">
        <f t="shared" si="2"/>
        <v>1450</v>
      </c>
      <c r="C31">
        <f>2299+2298+2301+2298+2298+2300+2301+2298</f>
        <v>18393</v>
      </c>
      <c r="D31">
        <f t="shared" si="0"/>
        <v>1417.3072814941406</v>
      </c>
      <c r="E31">
        <f t="shared" si="1"/>
        <v>32.692718505859375</v>
      </c>
    </row>
    <row r="32" spans="1:5" x14ac:dyDescent="0.25">
      <c r="A32">
        <f>A31+50</f>
        <v>1500</v>
      </c>
      <c r="C32">
        <f>2385+2386+2385+2387+2385+2387+2386+2386</f>
        <v>19087</v>
      </c>
      <c r="D32">
        <f t="shared" si="0"/>
        <v>1470.7847595214844</v>
      </c>
      <c r="E32">
        <f t="shared" si="1"/>
        <v>29.215240478515625</v>
      </c>
    </row>
    <row r="33" spans="1:5" x14ac:dyDescent="0.25">
      <c r="A33">
        <f t="shared" si="2"/>
        <v>1550</v>
      </c>
      <c r="C33">
        <f>2474+2472+2473+2474+2472+2474+2475+2469</f>
        <v>19783</v>
      </c>
      <c r="D33">
        <f t="shared" si="0"/>
        <v>1524.4163513183596</v>
      </c>
      <c r="E33">
        <f t="shared" si="1"/>
        <v>25.583648681640398</v>
      </c>
    </row>
    <row r="34" spans="1:5" x14ac:dyDescent="0.25">
      <c r="A34">
        <f t="shared" si="2"/>
        <v>1600</v>
      </c>
      <c r="C34">
        <f>2557+2556+2558+2557+2556+2558+2554+2555</f>
        <v>20451</v>
      </c>
      <c r="D34">
        <f t="shared" si="0"/>
        <v>1575.8903503417966</v>
      </c>
      <c r="E34">
        <f t="shared" si="1"/>
        <v>24.109649658203352</v>
      </c>
    </row>
    <row r="35" spans="1:5" x14ac:dyDescent="0.25">
      <c r="A35">
        <f t="shared" si="2"/>
        <v>1650</v>
      </c>
      <c r="C35">
        <f>2644+2643+2643+2644+2647+2644+2645+2644</f>
        <v>21154</v>
      </c>
      <c r="D35">
        <f t="shared" si="0"/>
        <v>1630.0613403320313</v>
      </c>
      <c r="E35">
        <f t="shared" si="1"/>
        <v>19.93865966796875</v>
      </c>
    </row>
    <row r="36" spans="1:5" x14ac:dyDescent="0.25">
      <c r="A36">
        <f t="shared" si="2"/>
        <v>1700</v>
      </c>
      <c r="C36">
        <f>2734+2731+2731+2732+2732+2731+2732+2734</f>
        <v>21857</v>
      </c>
      <c r="D36">
        <f t="shared" si="0"/>
        <v>1684.2323303222656</v>
      </c>
      <c r="E36">
        <f t="shared" si="1"/>
        <v>15.767669677734375</v>
      </c>
    </row>
    <row r="37" spans="1:5" x14ac:dyDescent="0.25">
      <c r="A37">
        <f t="shared" si="2"/>
        <v>1750</v>
      </c>
      <c r="C37">
        <f>2798+2797+2798+2797+2799+2798+2797+2797</f>
        <v>22381</v>
      </c>
      <c r="D37">
        <f t="shared" si="0"/>
        <v>1724.6101379394531</v>
      </c>
      <c r="E37">
        <f t="shared" si="1"/>
        <v>25.389862060546875</v>
      </c>
    </row>
    <row r="38" spans="1:5" x14ac:dyDescent="0.25">
      <c r="A38">
        <f t="shared" si="2"/>
        <v>1800</v>
      </c>
      <c r="C38">
        <f>2881+2882+2881+2882+2879+2881+2881+2882</f>
        <v>23049</v>
      </c>
      <c r="D38">
        <f t="shared" si="0"/>
        <v>1776.0841369628909</v>
      </c>
      <c r="E38">
        <f t="shared" si="1"/>
        <v>23.915863037109148</v>
      </c>
    </row>
    <row r="39" spans="1:5" x14ac:dyDescent="0.25">
      <c r="A39">
        <f t="shared" si="2"/>
        <v>1850</v>
      </c>
      <c r="C39">
        <f>2967+2968+2965+2967+2968+2969+2965+2965</f>
        <v>23734</v>
      </c>
      <c r="D39">
        <f t="shared" si="0"/>
        <v>1828.8681030273438</v>
      </c>
      <c r="E39">
        <f t="shared" si="1"/>
        <v>21.13189697265625</v>
      </c>
    </row>
    <row r="40" spans="1:5" x14ac:dyDescent="0.25">
      <c r="A40">
        <f t="shared" si="2"/>
        <v>1900</v>
      </c>
      <c r="C40">
        <f>3055+3053+3053+3055+3053+3054+3055+3054</f>
        <v>24432</v>
      </c>
      <c r="D40">
        <f t="shared" si="0"/>
        <v>1882.65380859375</v>
      </c>
      <c r="E40">
        <f t="shared" si="1"/>
        <v>17.34619140625</v>
      </c>
    </row>
    <row r="41" spans="1:5" x14ac:dyDescent="0.25">
      <c r="A41">
        <f t="shared" si="2"/>
        <v>1950</v>
      </c>
      <c r="C41">
        <f>3139+3137+3140+3138+3138+3141+3140+3137</f>
        <v>25110</v>
      </c>
      <c r="D41">
        <f t="shared" si="0"/>
        <v>1934.8983764648438</v>
      </c>
      <c r="E41">
        <f t="shared" si="1"/>
        <v>15.10162353515625</v>
      </c>
    </row>
    <row r="42" spans="1:5" x14ac:dyDescent="0.25">
      <c r="A42">
        <f t="shared" si="2"/>
        <v>2000</v>
      </c>
      <c r="C42">
        <f>3225+3226+3224+3228+3225+3227+3224+3226</f>
        <v>25805</v>
      </c>
      <c r="D42">
        <f t="shared" si="0"/>
        <v>1988.4529113769531</v>
      </c>
      <c r="E42">
        <f t="shared" si="1"/>
        <v>11.547088623046875</v>
      </c>
    </row>
    <row r="43" spans="1:5" x14ac:dyDescent="0.25">
      <c r="A43">
        <f>A42+50</f>
        <v>2050</v>
      </c>
      <c r="C43">
        <f>3288+3290+3287+3289+3291+3290+3287+3287</f>
        <v>26309</v>
      </c>
      <c r="D43">
        <f t="shared" si="0"/>
        <v>2027.2895812988281</v>
      </c>
      <c r="E43">
        <f t="shared" si="1"/>
        <v>22.710418701171875</v>
      </c>
    </row>
    <row r="44" spans="1:5" x14ac:dyDescent="0.25">
      <c r="A44">
        <f t="shared" si="2"/>
        <v>2100</v>
      </c>
      <c r="C44">
        <f>3375+3376+3375+3376+3376+3375+3375+3375</f>
        <v>27003</v>
      </c>
      <c r="D44">
        <f t="shared" si="0"/>
        <v>2080.7670593261719</v>
      </c>
      <c r="E44">
        <f t="shared" si="1"/>
        <v>19.232940673828125</v>
      </c>
    </row>
    <row r="45" spans="1:5" x14ac:dyDescent="0.25">
      <c r="A45">
        <f t="shared" si="2"/>
        <v>2150</v>
      </c>
      <c r="C45">
        <f>3461+3459+3461+3459+3461+3460+3462+3459</f>
        <v>27682</v>
      </c>
      <c r="D45">
        <f t="shared" si="0"/>
        <v>2133.0886840820313</v>
      </c>
      <c r="E45">
        <f t="shared" si="1"/>
        <v>16.91131591796875</v>
      </c>
    </row>
    <row r="46" spans="1:5" x14ac:dyDescent="0.25">
      <c r="A46">
        <f t="shared" si="2"/>
        <v>2200</v>
      </c>
      <c r="C46">
        <f>3547+3548+3547+3547+3547+3547+3546+3548</f>
        <v>28377</v>
      </c>
      <c r="D46">
        <f t="shared" si="0"/>
        <v>2186.6432189941406</v>
      </c>
      <c r="E46">
        <f t="shared" si="1"/>
        <v>13.356781005859375</v>
      </c>
    </row>
    <row r="47" spans="1:5" x14ac:dyDescent="0.25">
      <c r="A47">
        <f t="shared" si="2"/>
        <v>2250</v>
      </c>
      <c r="C47">
        <f>3630+3632+3630+3632+3630+3631+3629+3632</f>
        <v>29046</v>
      </c>
      <c r="D47">
        <f t="shared" si="0"/>
        <v>2238.1942749023438</v>
      </c>
      <c r="E47">
        <f t="shared" si="1"/>
        <v>11.80572509765625</v>
      </c>
    </row>
    <row r="48" spans="1:5" x14ac:dyDescent="0.25">
      <c r="A48">
        <f t="shared" si="2"/>
        <v>2300</v>
      </c>
      <c r="C48">
        <f>3717+3714+3715+3718+3717+3717+3717+3718</f>
        <v>29733</v>
      </c>
      <c r="D48">
        <f t="shared" si="0"/>
        <v>2291.1323547363281</v>
      </c>
      <c r="E48">
        <f t="shared" si="1"/>
        <v>8.867645263671875</v>
      </c>
    </row>
    <row r="49" spans="1:5" x14ac:dyDescent="0.25">
      <c r="A49">
        <f t="shared" si="2"/>
        <v>2350</v>
      </c>
      <c r="B49" t="s">
        <v>7</v>
      </c>
      <c r="C49">
        <f>3783+3779+3783+3779+3780+3782+3778+3779</f>
        <v>30243</v>
      </c>
      <c r="D49">
        <f t="shared" si="0"/>
        <v>2330.4313659667969</v>
      </c>
      <c r="E49">
        <f t="shared" si="1"/>
        <v>19.568634033203125</v>
      </c>
    </row>
    <row r="50" spans="1:5" x14ac:dyDescent="0.25">
      <c r="A50">
        <f t="shared" si="2"/>
        <v>2400</v>
      </c>
      <c r="C50">
        <f>3868+3869+3867+3866+3868+3868+3866+3870</f>
        <v>30942</v>
      </c>
      <c r="D50">
        <f t="shared" si="0"/>
        <v>2384.2941284179688</v>
      </c>
      <c r="E50">
        <f t="shared" si="1"/>
        <v>15.70587158203125</v>
      </c>
    </row>
    <row r="51" spans="1:5" x14ac:dyDescent="0.25">
      <c r="A51">
        <f>A50+50</f>
        <v>2450</v>
      </c>
      <c r="C51">
        <f>3956+3957+3955+3956+3956+3957+3954+3955</f>
        <v>31646</v>
      </c>
      <c r="D51">
        <f t="shared" si="0"/>
        <v>2438.5421752929688</v>
      </c>
      <c r="E51">
        <f t="shared" si="1"/>
        <v>11.45782470703125</v>
      </c>
    </row>
    <row r="52" spans="1:5" x14ac:dyDescent="0.25">
      <c r="A52">
        <f>A51+50</f>
        <v>2500</v>
      </c>
      <c r="C52">
        <f>4042+4042+4044+4043+4043+4043+4042+4043</f>
        <v>32342</v>
      </c>
      <c r="D52">
        <f t="shared" si="0"/>
        <v>2492.1737670898438</v>
      </c>
      <c r="E52">
        <f>A52-D52</f>
        <v>7.82623291015625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02B-1BBC-4116-B8D0-332D060D9401}">
  <dimension ref="A1:G52"/>
  <sheetViews>
    <sheetView workbookViewId="0">
      <selection activeCell="M42" sqref="M42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3</v>
      </c>
      <c r="D1" t="s">
        <v>4</v>
      </c>
      <c r="E1" t="s">
        <v>8</v>
      </c>
      <c r="F1" t="s">
        <v>9</v>
      </c>
      <c r="G1" t="s">
        <v>10</v>
      </c>
    </row>
    <row r="2" spans="1:7" x14ac:dyDescent="0.25">
      <c r="A2">
        <v>0</v>
      </c>
      <c r="B2">
        <v>0</v>
      </c>
      <c r="C2">
        <f>2+ 1+ 1+ 4+ 1+ 1+ 2+ 3</f>
        <v>15</v>
      </c>
      <c r="D2">
        <f>C2/8*2500/4096/1.33</f>
        <v>0.86045802984022557</v>
      </c>
      <c r="E2">
        <f>B2-D2</f>
        <v>-0.86045802984022557</v>
      </c>
      <c r="F2" t="e">
        <f>D2/A2</f>
        <v>#DIV/0!</v>
      </c>
    </row>
    <row r="3" spans="1:7" x14ac:dyDescent="0.25">
      <c r="A3">
        <f>A2+50</f>
        <v>50</v>
      </c>
      <c r="B3">
        <v>44</v>
      </c>
      <c r="C3">
        <f xml:space="preserve"> 98 + 97 + 97 + 95 + 95 + 100 + 99 + 98</f>
        <v>779</v>
      </c>
      <c r="D3">
        <f t="shared" ref="D3:D52" si="0">C3/8*2500/4096/1.33</f>
        <v>44.686453683035715</v>
      </c>
      <c r="E3">
        <f t="shared" ref="E3:E52" si="1">B3-D3</f>
        <v>-0.6864536830357153</v>
      </c>
      <c r="F3">
        <f t="shared" ref="F3:F39" si="2">100-D3/A3*100</f>
        <v>10.627092633928569</v>
      </c>
      <c r="G3">
        <f>E3-E2</f>
        <v>0.17400434680451027</v>
      </c>
    </row>
    <row r="4" spans="1:7" x14ac:dyDescent="0.25">
      <c r="A4">
        <f t="shared" ref="A4:A50" si="3">A3+50</f>
        <v>100</v>
      </c>
      <c r="B4">
        <v>96</v>
      </c>
      <c r="C4">
        <f xml:space="preserve"> 211 + 210 + 212 + 212 + 218 + 212 + 214 + 212</f>
        <v>1701</v>
      </c>
      <c r="D4">
        <f t="shared" si="0"/>
        <v>97.575940583881575</v>
      </c>
      <c r="E4">
        <f t="shared" si="1"/>
        <v>-1.5759405838815752</v>
      </c>
      <c r="F4">
        <f t="shared" si="2"/>
        <v>2.4240594161184248</v>
      </c>
      <c r="G4">
        <f t="shared" ref="G4:G39" si="4">E4-E3</f>
        <v>-0.88948690084585991</v>
      </c>
    </row>
    <row r="5" spans="1:7" x14ac:dyDescent="0.25">
      <c r="A5">
        <f t="shared" si="3"/>
        <v>150</v>
      </c>
      <c r="B5">
        <v>148</v>
      </c>
      <c r="C5">
        <f xml:space="preserve"> 325 + 323 + 326 + 331 + 331 + 329 + 327 + 324</f>
        <v>2616</v>
      </c>
      <c r="D5">
        <f t="shared" si="0"/>
        <v>150.06388040413532</v>
      </c>
      <c r="E5">
        <f t="shared" si="1"/>
        <v>-2.0638804041353183</v>
      </c>
      <c r="F5">
        <f t="shared" si="2"/>
        <v>-4.2586936090202698E-2</v>
      </c>
      <c r="G5">
        <f t="shared" si="4"/>
        <v>-0.48793982025374305</v>
      </c>
    </row>
    <row r="6" spans="1:7" x14ac:dyDescent="0.25">
      <c r="A6">
        <f t="shared" si="3"/>
        <v>200</v>
      </c>
      <c r="B6">
        <v>200</v>
      </c>
      <c r="C6">
        <f xml:space="preserve"> 444 + 442 + 440 + 442 + 443 + 441 + 440 + 440</f>
        <v>3532</v>
      </c>
      <c r="D6">
        <f>C6/8*2500/4096/1.33</f>
        <v>202.60918409304512</v>
      </c>
      <c r="E6">
        <f t="shared" si="1"/>
        <v>-2.6091840930451156</v>
      </c>
      <c r="F6">
        <f t="shared" si="2"/>
        <v>-1.3045920465225578</v>
      </c>
      <c r="G6">
        <f t="shared" si="4"/>
        <v>-0.5453036889097973</v>
      </c>
    </row>
    <row r="7" spans="1:7" x14ac:dyDescent="0.25">
      <c r="A7">
        <f t="shared" si="3"/>
        <v>250</v>
      </c>
      <c r="B7">
        <v>253</v>
      </c>
      <c r="C7">
        <f xml:space="preserve"> 554 + 554 + 554 + 556 + 556 + 554 + 555 + 554</f>
        <v>4437</v>
      </c>
      <c r="D7">
        <f t="shared" si="0"/>
        <v>254.5234852267387</v>
      </c>
      <c r="E7">
        <f t="shared" si="1"/>
        <v>-1.5234852267386998</v>
      </c>
      <c r="F7">
        <f t="shared" si="2"/>
        <v>-1.8093940906954771</v>
      </c>
      <c r="G7">
        <f t="shared" si="4"/>
        <v>1.0856988663064158</v>
      </c>
    </row>
    <row r="8" spans="1:7" x14ac:dyDescent="0.25">
      <c r="A8">
        <f t="shared" si="3"/>
        <v>300</v>
      </c>
      <c r="B8">
        <v>292</v>
      </c>
      <c r="C8">
        <f xml:space="preserve"> 640 + 640 + 639 + 638 + 641 + 644 + 643 + 640</f>
        <v>5125</v>
      </c>
      <c r="D8">
        <f t="shared" si="0"/>
        <v>293.98982686207705</v>
      </c>
      <c r="E8">
        <f t="shared" si="1"/>
        <v>-1.9898268620770523</v>
      </c>
      <c r="F8">
        <f t="shared" si="2"/>
        <v>2.0033910459743112</v>
      </c>
      <c r="G8">
        <f t="shared" si="4"/>
        <v>-0.46634163533835249</v>
      </c>
    </row>
    <row r="9" spans="1:7" x14ac:dyDescent="0.25">
      <c r="A9">
        <f t="shared" si="3"/>
        <v>350</v>
      </c>
      <c r="B9">
        <v>344</v>
      </c>
      <c r="C9">
        <f xml:space="preserve"> 756 + 755 + 755 + 755 + 755 + 757 + 753 + 755</f>
        <v>6041</v>
      </c>
      <c r="D9">
        <f t="shared" si="0"/>
        <v>346.53513055098682</v>
      </c>
      <c r="E9">
        <f t="shared" si="1"/>
        <v>-2.5351305509868212</v>
      </c>
      <c r="F9">
        <f t="shared" si="2"/>
        <v>0.98996269971804907</v>
      </c>
      <c r="G9">
        <f t="shared" si="4"/>
        <v>-0.54530368890976888</v>
      </c>
    </row>
    <row r="10" spans="1:7" x14ac:dyDescent="0.25">
      <c r="A10">
        <f t="shared" si="3"/>
        <v>400</v>
      </c>
      <c r="B10">
        <v>397</v>
      </c>
      <c r="C10">
        <f xml:space="preserve"> 867 + 871 + 869 + 871 + 871 + 868 + 868 + 867</f>
        <v>6952</v>
      </c>
      <c r="D10">
        <f t="shared" si="0"/>
        <v>398.79361489661653</v>
      </c>
      <c r="E10">
        <f t="shared" si="1"/>
        <v>-1.793614896616532</v>
      </c>
      <c r="F10">
        <f t="shared" si="2"/>
        <v>0.30159627584586701</v>
      </c>
      <c r="G10">
        <f t="shared" si="4"/>
        <v>0.74151565437028921</v>
      </c>
    </row>
    <row r="11" spans="1:7" x14ac:dyDescent="0.25">
      <c r="A11">
        <f t="shared" si="3"/>
        <v>450</v>
      </c>
      <c r="B11">
        <v>449</v>
      </c>
      <c r="C11">
        <f xml:space="preserve"> 985 + 984 + 984 + 983 + 981 + 982 + 987 + 986</f>
        <v>7872</v>
      </c>
      <c r="D11">
        <f t="shared" si="0"/>
        <v>451.56837406015035</v>
      </c>
      <c r="E11">
        <f t="shared" si="1"/>
        <v>-2.5683740601503473</v>
      </c>
      <c r="F11">
        <f t="shared" si="2"/>
        <v>-0.34852756892229309</v>
      </c>
      <c r="G11">
        <f t="shared" si="4"/>
        <v>-0.77475916353381535</v>
      </c>
    </row>
    <row r="12" spans="1:7" x14ac:dyDescent="0.25">
      <c r="A12">
        <f t="shared" si="3"/>
        <v>500</v>
      </c>
      <c r="B12">
        <v>502</v>
      </c>
      <c r="C12">
        <f>1098+ 1097+ 1098+ 1099+ 1098+ 1098+ 1101+ 1098</f>
        <v>8787</v>
      </c>
      <c r="D12">
        <f t="shared" si="0"/>
        <v>504.0563138804041</v>
      </c>
      <c r="E12">
        <f t="shared" si="1"/>
        <v>-2.0563138804041046</v>
      </c>
      <c r="F12">
        <f t="shared" si="2"/>
        <v>-0.81126277608080954</v>
      </c>
      <c r="G12">
        <f t="shared" si="4"/>
        <v>0.51206017974624274</v>
      </c>
    </row>
    <row r="13" spans="1:7" x14ac:dyDescent="0.25">
      <c r="A13">
        <f t="shared" si="3"/>
        <v>550</v>
      </c>
      <c r="B13">
        <v>554</v>
      </c>
      <c r="C13">
        <f xml:space="preserve"> 1210 + 1212 + 1214 + 1213 + 1214 + 1214 + 1214 + 1212</f>
        <v>9703</v>
      </c>
      <c r="D13">
        <f t="shared" si="0"/>
        <v>556.60161756931393</v>
      </c>
      <c r="E13">
        <f t="shared" si="1"/>
        <v>-2.6016175693139303</v>
      </c>
      <c r="F13">
        <f t="shared" si="2"/>
        <v>-1.2002941035116379</v>
      </c>
      <c r="G13">
        <f t="shared" si="4"/>
        <v>-0.54530368890982572</v>
      </c>
    </row>
    <row r="14" spans="1:7" x14ac:dyDescent="0.25">
      <c r="A14">
        <f t="shared" si="3"/>
        <v>600</v>
      </c>
      <c r="B14">
        <v>593</v>
      </c>
      <c r="C14">
        <f xml:space="preserve"> 1298 + 1298 + 1298 + 1298 + 1297 + 1298 + 1301 + 1299</f>
        <v>10387</v>
      </c>
      <c r="D14">
        <f t="shared" si="0"/>
        <v>595.83850373002815</v>
      </c>
      <c r="E14">
        <f t="shared" si="1"/>
        <v>-2.838503730028151</v>
      </c>
      <c r="F14">
        <f t="shared" si="2"/>
        <v>0.69358271166197483</v>
      </c>
      <c r="G14">
        <f t="shared" si="4"/>
        <v>-0.23688616071422075</v>
      </c>
    </row>
    <row r="15" spans="1:7" x14ac:dyDescent="0.25">
      <c r="A15">
        <f t="shared" si="3"/>
        <v>650</v>
      </c>
      <c r="B15">
        <v>645</v>
      </c>
      <c r="C15">
        <f xml:space="preserve"> 1415 + 1413 + 1412 + 1412 + 1413 + 1413 + 1412 + 1411</f>
        <v>11301</v>
      </c>
      <c r="D15">
        <f t="shared" si="0"/>
        <v>648.26907968162595</v>
      </c>
      <c r="E15">
        <f t="shared" si="1"/>
        <v>-3.2690796816259535</v>
      </c>
      <c r="F15">
        <f t="shared" si="2"/>
        <v>0.26629543359601371</v>
      </c>
      <c r="G15">
        <f t="shared" si="4"/>
        <v>-0.43057595159780249</v>
      </c>
    </row>
    <row r="16" spans="1:7" x14ac:dyDescent="0.25">
      <c r="A16">
        <f t="shared" si="3"/>
        <v>700</v>
      </c>
      <c r="B16">
        <v>698</v>
      </c>
      <c r="C16">
        <f xml:space="preserve"> 1524 + 1527 + 1527 + 1526 + 1529 + 1530 + 1529 + 1527</f>
        <v>12219</v>
      </c>
      <c r="D16">
        <f t="shared" si="0"/>
        <v>700.92911110784769</v>
      </c>
      <c r="E16">
        <f t="shared" si="1"/>
        <v>-2.9291111078476888</v>
      </c>
      <c r="F16">
        <f t="shared" si="2"/>
        <v>-0.13273015826396772</v>
      </c>
      <c r="G16">
        <f t="shared" si="4"/>
        <v>0.33996857377826473</v>
      </c>
    </row>
    <row r="17" spans="1:7" x14ac:dyDescent="0.25">
      <c r="A17">
        <f t="shared" si="3"/>
        <v>750</v>
      </c>
      <c r="B17">
        <v>750</v>
      </c>
      <c r="C17">
        <f xml:space="preserve"> 1642 + 1643 + 1641 + 1643 + 1639 + 1639 + 1640 + 1642</f>
        <v>13129</v>
      </c>
      <c r="D17">
        <f t="shared" si="0"/>
        <v>753.13023158482144</v>
      </c>
      <c r="E17">
        <f t="shared" si="1"/>
        <v>-3.1302315848214448</v>
      </c>
      <c r="F17">
        <f t="shared" si="2"/>
        <v>-0.41736421130953261</v>
      </c>
      <c r="G17">
        <f t="shared" si="4"/>
        <v>-0.20112047697375601</v>
      </c>
    </row>
    <row r="18" spans="1:7" x14ac:dyDescent="0.25">
      <c r="A18">
        <f t="shared" si="3"/>
        <v>800</v>
      </c>
      <c r="B18">
        <v>802</v>
      </c>
      <c r="C18">
        <f xml:space="preserve"> 1755 + 1756 + 1756 + 1756 + 1759 + 1757 + 1755 + 1757</f>
        <v>14051</v>
      </c>
      <c r="D18">
        <f t="shared" si="0"/>
        <v>806.01971848566723</v>
      </c>
      <c r="E18">
        <f t="shared" si="1"/>
        <v>-4.0197184856672266</v>
      </c>
      <c r="F18">
        <f t="shared" si="2"/>
        <v>-0.75246481070840332</v>
      </c>
      <c r="G18">
        <f t="shared" si="4"/>
        <v>-0.88948690084578175</v>
      </c>
    </row>
    <row r="19" spans="1:7" x14ac:dyDescent="0.25">
      <c r="A19">
        <f t="shared" si="3"/>
        <v>850</v>
      </c>
      <c r="B19">
        <v>854</v>
      </c>
      <c r="C19">
        <f xml:space="preserve"> 1870 + 1871 + 1869 + 1867 + 1872 + 1870 + 1871 + 1871</f>
        <v>14961</v>
      </c>
      <c r="D19">
        <f t="shared" si="0"/>
        <v>858.22083896264098</v>
      </c>
      <c r="E19">
        <f t="shared" si="1"/>
        <v>-4.2208389626409826</v>
      </c>
      <c r="F19">
        <f t="shared" si="2"/>
        <v>-0.96715752501658869</v>
      </c>
      <c r="G19">
        <f t="shared" si="4"/>
        <v>-0.20112047697375601</v>
      </c>
    </row>
    <row r="20" spans="1:7" x14ac:dyDescent="0.25">
      <c r="A20">
        <f>A19+50</f>
        <v>900</v>
      </c>
      <c r="B20">
        <v>893</v>
      </c>
      <c r="C20">
        <f xml:space="preserve"> 1957 + 1953 + 1956 + 1956 + 1956 + 1956 + 1959 + 1956</f>
        <v>15649</v>
      </c>
      <c r="D20">
        <f t="shared" si="0"/>
        <v>897.68718059797925</v>
      </c>
      <c r="E20">
        <f t="shared" si="1"/>
        <v>-4.6871805979792498</v>
      </c>
      <c r="F20">
        <f t="shared" si="2"/>
        <v>0.25697993355787219</v>
      </c>
      <c r="G20">
        <f t="shared" si="4"/>
        <v>-0.46634163533826722</v>
      </c>
    </row>
    <row r="21" spans="1:7" x14ac:dyDescent="0.25">
      <c r="A21">
        <f t="shared" si="3"/>
        <v>950</v>
      </c>
      <c r="B21">
        <v>946</v>
      </c>
      <c r="C21">
        <f xml:space="preserve"> 2072 + 2071 + 2070 + 2071 + 2071 + 2071 + 2072 + 2072</f>
        <v>16570</v>
      </c>
      <c r="D21">
        <f t="shared" si="0"/>
        <v>950.51930363016913</v>
      </c>
      <c r="E21">
        <f t="shared" si="1"/>
        <v>-4.5193036301691336</v>
      </c>
      <c r="F21">
        <f t="shared" si="2"/>
        <v>-5.466354001779905E-2</v>
      </c>
      <c r="G21">
        <f t="shared" si="4"/>
        <v>0.16787696781011618</v>
      </c>
    </row>
    <row r="22" spans="1:7" x14ac:dyDescent="0.25">
      <c r="A22">
        <f t="shared" si="3"/>
        <v>1000</v>
      </c>
      <c r="B22">
        <v>998</v>
      </c>
      <c r="C22">
        <f xml:space="preserve"> 2185 + 2184 + 2188 + 2187 + 2185 + 2185 + 2183 + 2185</f>
        <v>17482</v>
      </c>
      <c r="D22">
        <f t="shared" si="0"/>
        <v>1002.8351518444548</v>
      </c>
      <c r="E22">
        <f t="shared" si="1"/>
        <v>-4.8351518444547992</v>
      </c>
      <c r="F22">
        <f t="shared" si="2"/>
        <v>-0.28351518444547708</v>
      </c>
      <c r="G22">
        <f t="shared" si="4"/>
        <v>-0.31584821428566556</v>
      </c>
    </row>
    <row r="23" spans="1:7" x14ac:dyDescent="0.25">
      <c r="A23">
        <f t="shared" si="3"/>
        <v>1050</v>
      </c>
      <c r="B23">
        <v>1050</v>
      </c>
      <c r="C23">
        <f xml:space="preserve"> 2298 + 2296 + 2301 + 2302 + 2301 + 2302 + 2300 + 2301</f>
        <v>18401</v>
      </c>
      <c r="D23">
        <f t="shared" si="0"/>
        <v>1055.5525471393325</v>
      </c>
      <c r="E23">
        <f t="shared" si="1"/>
        <v>-5.5525471393325461</v>
      </c>
      <c r="F23">
        <f t="shared" si="2"/>
        <v>-0.52881401326976629</v>
      </c>
      <c r="G23">
        <f t="shared" si="4"/>
        <v>-0.71739529487774689</v>
      </c>
    </row>
    <row r="24" spans="1:7" x14ac:dyDescent="0.25">
      <c r="A24">
        <f t="shared" si="3"/>
        <v>1100</v>
      </c>
      <c r="B24">
        <v>1103</v>
      </c>
      <c r="C24">
        <f xml:space="preserve"> 2415 + 2414 + 2415 + 2414 + 2415 + 2414 + 2413 + 2414</f>
        <v>19314</v>
      </c>
      <c r="D24">
        <f t="shared" si="0"/>
        <v>1107.9257592222743</v>
      </c>
      <c r="E24">
        <f t="shared" si="1"/>
        <v>-4.9257592222743369</v>
      </c>
      <c r="F24">
        <f t="shared" si="2"/>
        <v>-0.72052356566129561</v>
      </c>
      <c r="G24">
        <f t="shared" si="4"/>
        <v>0.62678791705820913</v>
      </c>
    </row>
    <row r="25" spans="1:7" x14ac:dyDescent="0.25">
      <c r="A25">
        <f t="shared" si="3"/>
        <v>1150</v>
      </c>
      <c r="B25">
        <v>1155</v>
      </c>
      <c r="C25">
        <f xml:space="preserve"> 2532 + 2531 + 2531 + 2529 + 2530 + 2531 + 2532 + 2529</f>
        <v>20245</v>
      </c>
      <c r="D25">
        <f t="shared" si="0"/>
        <v>1161.3315209410243</v>
      </c>
      <c r="E25">
        <f t="shared" si="1"/>
        <v>-6.3315209410243369</v>
      </c>
      <c r="F25">
        <f t="shared" si="2"/>
        <v>-0.98534964704559513</v>
      </c>
      <c r="G25">
        <f t="shared" si="4"/>
        <v>-1.40576171875</v>
      </c>
    </row>
    <row r="26" spans="1:7" x14ac:dyDescent="0.25">
      <c r="A26">
        <f t="shared" si="3"/>
        <v>1200</v>
      </c>
      <c r="B26">
        <v>1195</v>
      </c>
      <c r="C26">
        <f xml:space="preserve"> 2613 + 2616 + 2617 + 2616 + 2616 + 2617 + 2614 + 2615</f>
        <v>20924</v>
      </c>
      <c r="D26">
        <f t="shared" si="0"/>
        <v>1200.2815877584585</v>
      </c>
      <c r="E26">
        <f t="shared" si="1"/>
        <v>-5.2815877584584996</v>
      </c>
      <c r="F26">
        <f t="shared" si="2"/>
        <v>-2.3465646538213036E-2</v>
      </c>
      <c r="G26">
        <f t="shared" si="4"/>
        <v>1.0499331825658373</v>
      </c>
    </row>
    <row r="27" spans="1:7" x14ac:dyDescent="0.25">
      <c r="A27">
        <f t="shared" si="3"/>
        <v>1250</v>
      </c>
      <c r="B27">
        <v>1246</v>
      </c>
      <c r="C27">
        <f xml:space="preserve"> 2732 + 2731 + 2730 + 2730 + 2727 + 2729 + 2732 + 2732</f>
        <v>21843</v>
      </c>
      <c r="D27">
        <f t="shared" si="0"/>
        <v>1252.9989830533364</v>
      </c>
      <c r="E27">
        <f t="shared" si="1"/>
        <v>-6.9989830533363602</v>
      </c>
      <c r="F27">
        <f t="shared" si="2"/>
        <v>-0.23991864426690768</v>
      </c>
      <c r="G27">
        <f t="shared" si="4"/>
        <v>-1.7173952948778606</v>
      </c>
    </row>
    <row r="28" spans="1:7" x14ac:dyDescent="0.25">
      <c r="A28">
        <f t="shared" si="3"/>
        <v>1300</v>
      </c>
      <c r="B28">
        <v>1299</v>
      </c>
      <c r="C28">
        <f xml:space="preserve"> 2846 + 2848 + 2845 + 2844 + 2844 + 2844 + 2844 + 2844</f>
        <v>22759</v>
      </c>
      <c r="D28">
        <f t="shared" si="0"/>
        <v>1305.5442867422462</v>
      </c>
      <c r="E28">
        <f t="shared" si="1"/>
        <v>-6.5442867422461859</v>
      </c>
      <c r="F28">
        <f t="shared" si="2"/>
        <v>-0.4264835955573858</v>
      </c>
      <c r="G28">
        <f t="shared" si="4"/>
        <v>0.45469631109017428</v>
      </c>
    </row>
    <row r="29" spans="1:7" x14ac:dyDescent="0.25">
      <c r="A29">
        <f t="shared" si="3"/>
        <v>1350</v>
      </c>
      <c r="B29">
        <v>1352</v>
      </c>
      <c r="C29">
        <f xml:space="preserve"> 2959 + 2960 + 2959 + 2958 + 2960 + 2960 + 2959 + 2958</f>
        <v>23673</v>
      </c>
      <c r="D29">
        <f t="shared" si="0"/>
        <v>1357.974862693844</v>
      </c>
      <c r="E29">
        <f t="shared" si="1"/>
        <v>-5.9748626938439884</v>
      </c>
      <c r="F29">
        <f t="shared" si="2"/>
        <v>-0.59073056991437056</v>
      </c>
      <c r="G29">
        <f t="shared" si="4"/>
        <v>0.56942404840219751</v>
      </c>
    </row>
    <row r="30" spans="1:7" x14ac:dyDescent="0.25">
      <c r="A30">
        <f t="shared" si="3"/>
        <v>1400</v>
      </c>
      <c r="B30">
        <v>1403</v>
      </c>
      <c r="C30">
        <f xml:space="preserve"> 3073 + 3070 + 3073 + 3072 + 3075 + 3073 + 3074 + 3073</f>
        <v>24583</v>
      </c>
      <c r="D30">
        <f t="shared" si="0"/>
        <v>1410.1759831708175</v>
      </c>
      <c r="E30">
        <f t="shared" si="1"/>
        <v>-7.175983170817517</v>
      </c>
      <c r="F30">
        <f t="shared" si="2"/>
        <v>-0.72685594077267979</v>
      </c>
      <c r="G30">
        <f t="shared" si="4"/>
        <v>-1.2011204769735286</v>
      </c>
    </row>
    <row r="31" spans="1:7" x14ac:dyDescent="0.25">
      <c r="A31">
        <f t="shared" si="3"/>
        <v>1450</v>
      </c>
      <c r="B31">
        <v>1442</v>
      </c>
      <c r="C31">
        <f xml:space="preserve"> 3158 + 3160 + 3159 + 3158 + 3159 + 3158 + 3160 + 3158</f>
        <v>25270</v>
      </c>
      <c r="D31">
        <f t="shared" si="0"/>
        <v>1449.5849609375</v>
      </c>
      <c r="E31">
        <f t="shared" si="1"/>
        <v>-7.5849609375</v>
      </c>
      <c r="F31">
        <f t="shared" si="2"/>
        <v>2.8623383620683285E-2</v>
      </c>
      <c r="G31">
        <f t="shared" si="4"/>
        <v>-0.40897776668248298</v>
      </c>
    </row>
    <row r="32" spans="1:7" x14ac:dyDescent="0.25">
      <c r="A32">
        <f>A31+50</f>
        <v>1500</v>
      </c>
      <c r="B32">
        <v>1495</v>
      </c>
      <c r="C32">
        <f>3272 + 3272 + 3275+ 3272+ 3274+ 3273+ 3273+ 3271</f>
        <v>26182</v>
      </c>
      <c r="D32">
        <f t="shared" si="0"/>
        <v>1501.9008091517856</v>
      </c>
      <c r="E32">
        <f t="shared" si="1"/>
        <v>-6.9008091517855519</v>
      </c>
      <c r="F32">
        <f t="shared" si="2"/>
        <v>-0.126720610119051</v>
      </c>
      <c r="G32">
        <f t="shared" si="4"/>
        <v>0.68415178571444812</v>
      </c>
    </row>
    <row r="33" spans="1:7" x14ac:dyDescent="0.25">
      <c r="A33">
        <f t="shared" si="3"/>
        <v>1550</v>
      </c>
      <c r="B33">
        <v>1547</v>
      </c>
      <c r="C33">
        <f xml:space="preserve"> 3387 + 3388 + 3385 + 3387 + 3388 + 3387 + 3387 + 3388</f>
        <v>27097</v>
      </c>
      <c r="D33">
        <f t="shared" si="0"/>
        <v>1554.3887489720394</v>
      </c>
      <c r="E33">
        <f t="shared" si="1"/>
        <v>-7.388748972039366</v>
      </c>
      <c r="F33">
        <f t="shared" si="2"/>
        <v>-0.28314509497026563</v>
      </c>
      <c r="G33">
        <f t="shared" si="4"/>
        <v>-0.4879398202538141</v>
      </c>
    </row>
    <row r="34" spans="1:7" x14ac:dyDescent="0.25">
      <c r="A34">
        <f t="shared" si="3"/>
        <v>1600</v>
      </c>
      <c r="B34">
        <v>1599</v>
      </c>
      <c r="C34">
        <f xml:space="preserve"> 3501 + 3499 + 3500 + 3502 + 3502 + 3503 + 3502 + 3501</f>
        <v>28010</v>
      </c>
      <c r="D34">
        <f t="shared" si="0"/>
        <v>1606.7619610549812</v>
      </c>
      <c r="E34">
        <f t="shared" si="1"/>
        <v>-7.7619610549811568</v>
      </c>
      <c r="F34">
        <f t="shared" si="2"/>
        <v>-0.4226225659363223</v>
      </c>
      <c r="G34">
        <f t="shared" si="4"/>
        <v>-0.37321208294179087</v>
      </c>
    </row>
    <row r="35" spans="1:7" x14ac:dyDescent="0.25">
      <c r="A35">
        <f t="shared" si="3"/>
        <v>1650</v>
      </c>
      <c r="B35">
        <v>1654</v>
      </c>
      <c r="C35">
        <f xml:space="preserve"> 3618 + 3619 + 3618 + 3618 + 3618 + 3618 + 3617 + 3618</f>
        <v>28944</v>
      </c>
      <c r="D35">
        <f t="shared" si="0"/>
        <v>1660.3398143796992</v>
      </c>
      <c r="E35">
        <f t="shared" si="1"/>
        <v>-6.3398143796991917</v>
      </c>
      <c r="F35">
        <f t="shared" si="2"/>
        <v>-0.62665541695146487</v>
      </c>
      <c r="G35">
        <f t="shared" si="4"/>
        <v>1.4221466752819651</v>
      </c>
    </row>
    <row r="36" spans="1:7" x14ac:dyDescent="0.25">
      <c r="A36">
        <f t="shared" si="3"/>
        <v>1700</v>
      </c>
      <c r="B36">
        <v>1706</v>
      </c>
      <c r="C36">
        <f xml:space="preserve"> 3733 + 3734 + 3735 + 3734 + 3736 + 3734 + 3735 + 3735</f>
        <v>29876</v>
      </c>
      <c r="D36">
        <f t="shared" si="0"/>
        <v>1713.8029399671052</v>
      </c>
      <c r="E36">
        <f t="shared" si="1"/>
        <v>-7.8029399671052033</v>
      </c>
      <c r="F36">
        <f t="shared" si="2"/>
        <v>-0.81193764512383382</v>
      </c>
      <c r="G36">
        <f t="shared" si="4"/>
        <v>-1.4631255874060116</v>
      </c>
    </row>
    <row r="37" spans="1:7" x14ac:dyDescent="0.25">
      <c r="A37">
        <f t="shared" si="3"/>
        <v>1750</v>
      </c>
      <c r="B37">
        <v>1745</v>
      </c>
      <c r="C37">
        <f xml:space="preserve"> 3819 + 3820 + 3818 + 3821 + 3821 + 3819 + 3820 + 3820</f>
        <v>30558</v>
      </c>
      <c r="D37">
        <f t="shared" si="0"/>
        <v>1752.9250983905074</v>
      </c>
      <c r="E37">
        <f t="shared" si="1"/>
        <v>-7.9250983905074008</v>
      </c>
      <c r="F37">
        <f t="shared" si="2"/>
        <v>-0.16714847945755196</v>
      </c>
      <c r="G37">
        <f t="shared" si="4"/>
        <v>-0.12215842340219751</v>
      </c>
    </row>
    <row r="38" spans="1:7" x14ac:dyDescent="0.25">
      <c r="A38">
        <f t="shared" si="3"/>
        <v>1800</v>
      </c>
      <c r="B38">
        <v>1797</v>
      </c>
      <c r="C38">
        <f xml:space="preserve"> 3931 + 3932 + 3934 + 3934 + 3936 + 3935 + 3933 + 3934</f>
        <v>31469</v>
      </c>
      <c r="D38">
        <f t="shared" si="0"/>
        <v>1805.1835827361372</v>
      </c>
      <c r="E38">
        <f t="shared" si="1"/>
        <v>-8.1835827361371685</v>
      </c>
      <c r="F38">
        <f t="shared" si="2"/>
        <v>-0.28797681867429503</v>
      </c>
      <c r="G38">
        <f t="shared" si="4"/>
        <v>-0.25848434562976763</v>
      </c>
    </row>
    <row r="39" spans="1:7" x14ac:dyDescent="0.25">
      <c r="A39">
        <f t="shared" si="3"/>
        <v>1850</v>
      </c>
      <c r="B39">
        <v>1850</v>
      </c>
      <c r="C39">
        <f xml:space="preserve"> 4048 + 4045 + 4049 + 4049 + 4051 + 4051 + 4049 + 4048</f>
        <v>32390</v>
      </c>
      <c r="D39">
        <f t="shared" si="0"/>
        <v>1858.0157057683271</v>
      </c>
      <c r="E39">
        <f t="shared" si="1"/>
        <v>-8.0157057683270523</v>
      </c>
      <c r="F39">
        <f t="shared" si="2"/>
        <v>-0.43328139288254874</v>
      </c>
      <c r="G39">
        <f t="shared" si="4"/>
        <v>0.16787696781011618</v>
      </c>
    </row>
    <row r="40" spans="1:7" x14ac:dyDescent="0.25">
      <c r="A40">
        <f t="shared" si="3"/>
        <v>1900</v>
      </c>
      <c r="B40">
        <v>1902</v>
      </c>
      <c r="C40" t="s">
        <v>5</v>
      </c>
      <c r="D40" t="e">
        <f t="shared" si="0"/>
        <v>#VALUE!</v>
      </c>
      <c r="E40" t="e">
        <f t="shared" si="1"/>
        <v>#VALUE!</v>
      </c>
    </row>
    <row r="41" spans="1:7" x14ac:dyDescent="0.25">
      <c r="A41">
        <f t="shared" si="3"/>
        <v>1950</v>
      </c>
      <c r="B41">
        <v>1954</v>
      </c>
      <c r="C41" t="s">
        <v>5</v>
      </c>
      <c r="D41" t="e">
        <f t="shared" si="0"/>
        <v>#VALUE!</v>
      </c>
      <c r="E41" t="e">
        <f t="shared" si="1"/>
        <v>#VALUE!</v>
      </c>
    </row>
    <row r="42" spans="1:7" x14ac:dyDescent="0.25">
      <c r="A42">
        <f t="shared" si="3"/>
        <v>2000</v>
      </c>
      <c r="B42">
        <v>2007</v>
      </c>
      <c r="C42" t="s">
        <v>5</v>
      </c>
      <c r="D42" t="e">
        <f t="shared" si="0"/>
        <v>#VALUE!</v>
      </c>
      <c r="E42" t="e">
        <f t="shared" si="1"/>
        <v>#VALUE!</v>
      </c>
    </row>
    <row r="43" spans="1:7" x14ac:dyDescent="0.25">
      <c r="A43">
        <f>A42+50</f>
        <v>2050</v>
      </c>
      <c r="B43">
        <v>2046</v>
      </c>
      <c r="C43" t="s">
        <v>5</v>
      </c>
      <c r="D43" t="e">
        <f t="shared" si="0"/>
        <v>#VALUE!</v>
      </c>
      <c r="E43" t="e">
        <f t="shared" si="1"/>
        <v>#VALUE!</v>
      </c>
    </row>
    <row r="44" spans="1:7" x14ac:dyDescent="0.25">
      <c r="A44">
        <f t="shared" si="3"/>
        <v>2100</v>
      </c>
      <c r="B44">
        <v>2098</v>
      </c>
      <c r="C44" t="s">
        <v>5</v>
      </c>
      <c r="D44" t="e">
        <f t="shared" si="0"/>
        <v>#VALUE!</v>
      </c>
      <c r="E44" t="e">
        <f t="shared" si="1"/>
        <v>#VALUE!</v>
      </c>
    </row>
    <row r="45" spans="1:7" x14ac:dyDescent="0.25">
      <c r="A45">
        <f t="shared" si="3"/>
        <v>2150</v>
      </c>
      <c r="B45">
        <v>2150</v>
      </c>
      <c r="C45" t="s">
        <v>5</v>
      </c>
      <c r="D45" t="e">
        <f t="shared" si="0"/>
        <v>#VALUE!</v>
      </c>
      <c r="E45" t="e">
        <f t="shared" si="1"/>
        <v>#VALUE!</v>
      </c>
    </row>
    <row r="46" spans="1:7" x14ac:dyDescent="0.25">
      <c r="A46">
        <f t="shared" si="3"/>
        <v>2200</v>
      </c>
      <c r="B46">
        <v>2203</v>
      </c>
      <c r="C46" t="s">
        <v>5</v>
      </c>
      <c r="D46" t="e">
        <f t="shared" si="0"/>
        <v>#VALUE!</v>
      </c>
      <c r="E46" t="e">
        <f t="shared" si="1"/>
        <v>#VALUE!</v>
      </c>
    </row>
    <row r="47" spans="1:7" x14ac:dyDescent="0.25">
      <c r="A47">
        <f t="shared" si="3"/>
        <v>2250</v>
      </c>
      <c r="B47">
        <v>2255</v>
      </c>
      <c r="C47" t="s">
        <v>5</v>
      </c>
      <c r="D47" t="e">
        <f t="shared" si="0"/>
        <v>#VALUE!</v>
      </c>
      <c r="E47" t="e">
        <f t="shared" si="1"/>
        <v>#VALUE!</v>
      </c>
    </row>
    <row r="48" spans="1:7" x14ac:dyDescent="0.25">
      <c r="A48">
        <f t="shared" si="3"/>
        <v>2300</v>
      </c>
      <c r="B48">
        <v>2307</v>
      </c>
      <c r="C48" t="s">
        <v>5</v>
      </c>
      <c r="D48" t="e">
        <f t="shared" si="0"/>
        <v>#VALUE!</v>
      </c>
      <c r="E48" t="e">
        <f t="shared" si="1"/>
        <v>#VALUE!</v>
      </c>
    </row>
    <row r="49" spans="1:5" x14ac:dyDescent="0.25">
      <c r="A49">
        <f t="shared" si="3"/>
        <v>2350</v>
      </c>
      <c r="B49">
        <v>2307</v>
      </c>
      <c r="C49" t="s">
        <v>5</v>
      </c>
      <c r="D49" t="e">
        <f t="shared" si="0"/>
        <v>#VALUE!</v>
      </c>
      <c r="E49" t="e">
        <f t="shared" si="1"/>
        <v>#VALUE!</v>
      </c>
    </row>
    <row r="50" spans="1:5" x14ac:dyDescent="0.25">
      <c r="A50">
        <f t="shared" si="3"/>
        <v>2400</v>
      </c>
      <c r="B50">
        <v>2399</v>
      </c>
      <c r="C50" t="s">
        <v>5</v>
      </c>
      <c r="D50" t="e">
        <f t="shared" si="0"/>
        <v>#VALUE!</v>
      </c>
      <c r="E50" t="e">
        <f t="shared" si="1"/>
        <v>#VALUE!</v>
      </c>
    </row>
    <row r="51" spans="1:5" x14ac:dyDescent="0.25">
      <c r="A51">
        <f>A50+50</f>
        <v>2450</v>
      </c>
      <c r="B51">
        <v>2451</v>
      </c>
      <c r="C51" t="s">
        <v>5</v>
      </c>
      <c r="D51" t="e">
        <f t="shared" si="0"/>
        <v>#VALUE!</v>
      </c>
      <c r="E51" t="e">
        <f t="shared" si="1"/>
        <v>#VALUE!</v>
      </c>
    </row>
    <row r="52" spans="1:5" x14ac:dyDescent="0.25">
      <c r="A52">
        <f>A51+50</f>
        <v>2500</v>
      </c>
      <c r="B52">
        <v>2504</v>
      </c>
      <c r="C52" t="s">
        <v>5</v>
      </c>
      <c r="D52" t="e">
        <f t="shared" si="0"/>
        <v>#VALUE!</v>
      </c>
      <c r="E52" t="e">
        <f t="shared" si="1"/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F814-BA0F-4910-8E0B-64F9175D2B97}">
  <dimension ref="A1:N53"/>
  <sheetViews>
    <sheetView zoomScaleNormal="100" workbookViewId="0">
      <selection activeCell="AJ17" sqref="AJ17"/>
    </sheetView>
  </sheetViews>
  <sheetFormatPr defaultRowHeight="15" x14ac:dyDescent="0.25"/>
  <sheetData>
    <row r="1" spans="1:14" x14ac:dyDescent="0.25">
      <c r="A1" t="s">
        <v>0</v>
      </c>
      <c r="B1" t="s">
        <v>6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I1" t="s">
        <v>6</v>
      </c>
      <c r="J1" t="s">
        <v>3</v>
      </c>
      <c r="K1" t="s">
        <v>4</v>
      </c>
      <c r="L1" t="s">
        <v>8</v>
      </c>
      <c r="M1" t="s">
        <v>9</v>
      </c>
      <c r="N1" t="s">
        <v>10</v>
      </c>
    </row>
    <row r="2" spans="1:14" x14ac:dyDescent="0.25">
      <c r="A2">
        <v>0</v>
      </c>
      <c r="B2">
        <v>0</v>
      </c>
      <c r="C2">
        <v>0</v>
      </c>
      <c r="D2">
        <f>C2/8*2500/4096</f>
        <v>0</v>
      </c>
      <c r="E2">
        <f>A2 -D2</f>
        <v>0</v>
      </c>
    </row>
    <row r="3" spans="1:14" x14ac:dyDescent="0.25">
      <c r="A3">
        <f>A2+50</f>
        <v>50</v>
      </c>
      <c r="B3">
        <v>44</v>
      </c>
      <c r="C3">
        <f xml:space="preserve"> 73 + 75 + 69 + 73 + 70 + 72 + 70 + 74</f>
        <v>576</v>
      </c>
      <c r="D3">
        <f>C3/8*2500/4096</f>
        <v>43.9453125</v>
      </c>
      <c r="E3">
        <f>B3 -D3</f>
        <v>5.46875E-2</v>
      </c>
      <c r="F3">
        <f>D3/A3</f>
        <v>0.87890625</v>
      </c>
      <c r="G3">
        <f>E3-E2</f>
        <v>5.46875E-2</v>
      </c>
    </row>
    <row r="4" spans="1:14" x14ac:dyDescent="0.25">
      <c r="A4">
        <f t="shared" ref="A4:A50" si="0">A3+50</f>
        <v>100</v>
      </c>
      <c r="B4">
        <v>96</v>
      </c>
      <c r="C4">
        <f xml:space="preserve"> 160 + 153 + 159 + 158 + 157 + 157 + 157 + 156</f>
        <v>1257</v>
      </c>
      <c r="D4">
        <f t="shared" ref="D4:D51" si="1">C4/8*2500/4096</f>
        <v>95.9014892578125</v>
      </c>
      <c r="E4">
        <f t="shared" ref="E4:E52" si="2">B4 -D4</f>
        <v>9.85107421875E-2</v>
      </c>
      <c r="F4">
        <f t="shared" ref="F4:F52" si="3">D4/A4</f>
        <v>0.959014892578125</v>
      </c>
      <c r="G4">
        <f t="shared" ref="G4:G52" si="4">E4-E3</f>
        <v>4.38232421875E-2</v>
      </c>
    </row>
    <row r="5" spans="1:14" x14ac:dyDescent="0.25">
      <c r="A5">
        <f>A4+50</f>
        <v>150</v>
      </c>
      <c r="B5">
        <v>148</v>
      </c>
      <c r="C5">
        <f xml:space="preserve"> 244 + 244 + 247 + 244 + 247 + 243 + 242 + 244</f>
        <v>1955</v>
      </c>
      <c r="D5">
        <f t="shared" si="1"/>
        <v>149.1546630859375</v>
      </c>
      <c r="E5">
        <f t="shared" si="2"/>
        <v>-1.1546630859375</v>
      </c>
      <c r="F5">
        <f t="shared" si="3"/>
        <v>0.99436442057291663</v>
      </c>
      <c r="G5">
        <f t="shared" si="4"/>
        <v>-1.253173828125</v>
      </c>
    </row>
    <row r="6" spans="1:14" x14ac:dyDescent="0.25">
      <c r="A6">
        <f t="shared" si="0"/>
        <v>200</v>
      </c>
      <c r="B6">
        <v>200</v>
      </c>
      <c r="C6">
        <f xml:space="preserve"> 326 + 324 + 322 + 328 + 329 + 325 + 322 + 329</f>
        <v>2605</v>
      </c>
      <c r="D6">
        <f t="shared" si="1"/>
        <v>198.7457275390625</v>
      </c>
      <c r="E6">
        <f t="shared" si="2"/>
        <v>1.2542724609375</v>
      </c>
      <c r="F6">
        <f t="shared" si="3"/>
        <v>0.9937286376953125</v>
      </c>
      <c r="G6">
        <f t="shared" si="4"/>
        <v>2.408935546875</v>
      </c>
    </row>
    <row r="7" spans="1:14" x14ac:dyDescent="0.25">
      <c r="A7">
        <f t="shared" si="0"/>
        <v>250</v>
      </c>
      <c r="B7">
        <v>253</v>
      </c>
      <c r="C7">
        <f xml:space="preserve"> 411 + 409 + 414 + 414 + 414 + 414 + 414 + 415</f>
        <v>3305</v>
      </c>
      <c r="D7">
        <f>C7/8*2500/4096</f>
        <v>252.1514892578125</v>
      </c>
      <c r="E7">
        <f t="shared" si="2"/>
        <v>0.8485107421875</v>
      </c>
      <c r="F7">
        <f t="shared" si="3"/>
        <v>1.00860595703125</v>
      </c>
      <c r="G7">
        <f t="shared" si="4"/>
        <v>-0.40576171875</v>
      </c>
    </row>
    <row r="8" spans="1:14" x14ac:dyDescent="0.25">
      <c r="A8">
        <f t="shared" si="0"/>
        <v>300</v>
      </c>
      <c r="B8">
        <v>292</v>
      </c>
      <c r="C8">
        <f xml:space="preserve"> 483 + 479 + 478 + 478 + 477 + 481 + 478 + 478</f>
        <v>3832</v>
      </c>
      <c r="D8">
        <f t="shared" si="1"/>
        <v>292.3583984375</v>
      </c>
      <c r="E8">
        <f t="shared" si="2"/>
        <v>-0.3583984375</v>
      </c>
      <c r="F8">
        <f t="shared" si="3"/>
        <v>0.97452799479166663</v>
      </c>
      <c r="G8">
        <f t="shared" si="4"/>
        <v>-1.2069091796875</v>
      </c>
    </row>
    <row r="9" spans="1:14" x14ac:dyDescent="0.25">
      <c r="A9">
        <f t="shared" si="0"/>
        <v>350</v>
      </c>
      <c r="B9">
        <v>344</v>
      </c>
      <c r="C9">
        <f xml:space="preserve"> 558 + 562 + 560 + 564 + 566 + 563 + 565 + 564</f>
        <v>4502</v>
      </c>
      <c r="D9">
        <f t="shared" si="1"/>
        <v>343.475341796875</v>
      </c>
      <c r="E9">
        <f t="shared" si="2"/>
        <v>0.524658203125</v>
      </c>
      <c r="F9">
        <f t="shared" si="3"/>
        <v>0.9813581194196429</v>
      </c>
      <c r="G9">
        <f t="shared" si="4"/>
        <v>0.883056640625</v>
      </c>
    </row>
    <row r="10" spans="1:14" x14ac:dyDescent="0.25">
      <c r="A10">
        <f t="shared" si="0"/>
        <v>400</v>
      </c>
      <c r="B10">
        <v>397</v>
      </c>
      <c r="C10">
        <f xml:space="preserve"> 650 + 651 + 650 + 652 + 653 + 651 + 652 + 653</f>
        <v>5212</v>
      </c>
      <c r="D10">
        <f t="shared" si="1"/>
        <v>397.64404296875</v>
      </c>
      <c r="E10">
        <f t="shared" si="2"/>
        <v>-0.64404296875</v>
      </c>
      <c r="F10">
        <f t="shared" si="3"/>
        <v>0.994110107421875</v>
      </c>
      <c r="G10">
        <f t="shared" si="4"/>
        <v>-1.168701171875</v>
      </c>
    </row>
    <row r="11" spans="1:14" x14ac:dyDescent="0.25">
      <c r="A11">
        <f t="shared" si="0"/>
        <v>450</v>
      </c>
      <c r="B11">
        <v>449</v>
      </c>
      <c r="C11">
        <f xml:space="preserve"> 736 + 737 + 734 + 735 + 735 + 737 + 733 + 735</f>
        <v>5882</v>
      </c>
      <c r="D11">
        <f t="shared" si="1"/>
        <v>448.760986328125</v>
      </c>
      <c r="E11">
        <f t="shared" si="2"/>
        <v>0.239013671875</v>
      </c>
      <c r="F11">
        <f t="shared" si="3"/>
        <v>0.99724663628472221</v>
      </c>
      <c r="G11">
        <f t="shared" si="4"/>
        <v>0.883056640625</v>
      </c>
    </row>
    <row r="12" spans="1:14" x14ac:dyDescent="0.25">
      <c r="A12">
        <f t="shared" si="0"/>
        <v>500</v>
      </c>
      <c r="B12">
        <v>502</v>
      </c>
      <c r="C12">
        <f xml:space="preserve"> 820 + 824 + 822 + 822 + 823 + 821 + 823 + 823</f>
        <v>6578</v>
      </c>
      <c r="D12">
        <f t="shared" si="1"/>
        <v>501.861572265625</v>
      </c>
      <c r="E12">
        <f t="shared" si="2"/>
        <v>0.138427734375</v>
      </c>
      <c r="F12">
        <f t="shared" si="3"/>
        <v>1.00372314453125</v>
      </c>
      <c r="G12">
        <f t="shared" si="4"/>
        <v>-0.1005859375</v>
      </c>
    </row>
    <row r="13" spans="1:14" x14ac:dyDescent="0.25">
      <c r="A13">
        <f t="shared" si="0"/>
        <v>550</v>
      </c>
      <c r="B13">
        <v>554</v>
      </c>
      <c r="C13">
        <f xml:space="preserve"> 909 + 907 + 909 + 907 + 908 + 908 + 903 + 906</f>
        <v>7257</v>
      </c>
      <c r="D13">
        <f t="shared" si="1"/>
        <v>553.6651611328125</v>
      </c>
      <c r="E13">
        <f t="shared" si="2"/>
        <v>0.3348388671875</v>
      </c>
      <c r="F13">
        <f t="shared" si="3"/>
        <v>1.0066639293323865</v>
      </c>
      <c r="G13">
        <f t="shared" si="4"/>
        <v>0.1964111328125</v>
      </c>
    </row>
    <row r="14" spans="1:14" x14ac:dyDescent="0.25">
      <c r="A14">
        <f t="shared" si="0"/>
        <v>600</v>
      </c>
      <c r="B14">
        <v>593</v>
      </c>
      <c r="C14">
        <f xml:space="preserve"> 975 + 973 + 977 + 974 + 972 + 972 + 973 + 972</f>
        <v>7788</v>
      </c>
      <c r="D14">
        <f t="shared" si="1"/>
        <v>594.17724609375</v>
      </c>
      <c r="E14">
        <f t="shared" si="2"/>
        <v>-1.17724609375</v>
      </c>
      <c r="F14">
        <f t="shared" si="3"/>
        <v>0.99029541015625</v>
      </c>
      <c r="G14">
        <f t="shared" si="4"/>
        <v>-1.5120849609375</v>
      </c>
    </row>
    <row r="15" spans="1:14" x14ac:dyDescent="0.25">
      <c r="A15">
        <f t="shared" si="0"/>
        <v>650</v>
      </c>
      <c r="B15">
        <v>645</v>
      </c>
      <c r="C15">
        <f xml:space="preserve"> 1056 + 1057 + 1058 + 1058 + 1059 + 1058 + 1056 + 1057</f>
        <v>8459</v>
      </c>
      <c r="D15">
        <f t="shared" si="1"/>
        <v>645.3704833984375</v>
      </c>
      <c r="E15">
        <f t="shared" si="2"/>
        <v>-0.3704833984375</v>
      </c>
      <c r="F15">
        <f t="shared" si="3"/>
        <v>0.99287766676682687</v>
      </c>
      <c r="G15">
        <f t="shared" si="4"/>
        <v>0.8067626953125</v>
      </c>
    </row>
    <row r="16" spans="1:14" x14ac:dyDescent="0.25">
      <c r="A16">
        <f t="shared" si="0"/>
        <v>700</v>
      </c>
      <c r="B16">
        <v>698</v>
      </c>
      <c r="C16">
        <f xml:space="preserve"> 1148 + 1145 + 1142 + 1143 + 1148 + 1142 + 1145 + 1143</f>
        <v>9156</v>
      </c>
      <c r="D16">
        <f t="shared" si="1"/>
        <v>698.54736328125</v>
      </c>
      <c r="E16">
        <f t="shared" si="2"/>
        <v>-0.54736328125</v>
      </c>
      <c r="F16">
        <f t="shared" si="3"/>
        <v>0.9979248046875</v>
      </c>
      <c r="G16">
        <f t="shared" si="4"/>
        <v>-0.1768798828125</v>
      </c>
    </row>
    <row r="17" spans="1:7" x14ac:dyDescent="0.25">
      <c r="A17">
        <f t="shared" si="0"/>
        <v>750</v>
      </c>
      <c r="B17">
        <v>750</v>
      </c>
      <c r="C17">
        <f xml:space="preserve"> 1229 + 1228 + 1229 + 1227 + 1232 + 1231 + 1229 + 1230</f>
        <v>9835</v>
      </c>
      <c r="D17">
        <f t="shared" si="1"/>
        <v>750.3509521484375</v>
      </c>
      <c r="E17">
        <f t="shared" si="2"/>
        <v>-0.3509521484375</v>
      </c>
      <c r="F17">
        <f t="shared" si="3"/>
        <v>1.0004679361979167</v>
      </c>
      <c r="G17">
        <f t="shared" si="4"/>
        <v>0.1964111328125</v>
      </c>
    </row>
    <row r="18" spans="1:7" x14ac:dyDescent="0.25">
      <c r="A18">
        <f t="shared" si="0"/>
        <v>800</v>
      </c>
      <c r="B18">
        <v>802</v>
      </c>
      <c r="C18">
        <f xml:space="preserve"> 1312 + 1311 + 1313 + 1314 + 1313 + 1314 + 1312 + 1319</f>
        <v>10508</v>
      </c>
      <c r="D18">
        <f t="shared" si="1"/>
        <v>801.69677734375</v>
      </c>
      <c r="E18">
        <f t="shared" si="2"/>
        <v>0.30322265625</v>
      </c>
      <c r="F18">
        <f t="shared" si="3"/>
        <v>1.0021209716796875</v>
      </c>
      <c r="G18">
        <f t="shared" si="4"/>
        <v>0.6541748046875</v>
      </c>
    </row>
    <row r="19" spans="1:7" x14ac:dyDescent="0.25">
      <c r="A19">
        <f t="shared" si="0"/>
        <v>850</v>
      </c>
      <c r="B19">
        <v>854</v>
      </c>
      <c r="C19">
        <f xml:space="preserve"> 1401 + 1400 + 1399 + 1402 + 1403 + 1403 + 1403 + 1399</f>
        <v>11210</v>
      </c>
      <c r="D19">
        <f t="shared" si="1"/>
        <v>855.255126953125</v>
      </c>
      <c r="E19">
        <f t="shared" si="2"/>
        <v>-1.255126953125</v>
      </c>
      <c r="F19">
        <f t="shared" si="3"/>
        <v>1.0061825022977942</v>
      </c>
      <c r="G19">
        <f t="shared" si="4"/>
        <v>-1.558349609375</v>
      </c>
    </row>
    <row r="20" spans="1:7" x14ac:dyDescent="0.25">
      <c r="A20">
        <f t="shared" si="0"/>
        <v>900</v>
      </c>
      <c r="B20">
        <v>893</v>
      </c>
      <c r="C20">
        <f xml:space="preserve"> 1465 + 1463 + 1465 + 1465 + 1463 + 1464 + 1463 + 1463</f>
        <v>11711</v>
      </c>
      <c r="D20">
        <f t="shared" si="1"/>
        <v>893.4783935546875</v>
      </c>
      <c r="E20">
        <f t="shared" si="2"/>
        <v>-0.4783935546875</v>
      </c>
      <c r="F20">
        <f t="shared" si="3"/>
        <v>0.99275377061631942</v>
      </c>
      <c r="G20">
        <f t="shared" si="4"/>
        <v>0.7767333984375</v>
      </c>
    </row>
    <row r="21" spans="1:7" x14ac:dyDescent="0.25">
      <c r="A21">
        <f t="shared" si="0"/>
        <v>950</v>
      </c>
      <c r="B21">
        <v>946</v>
      </c>
      <c r="C21">
        <f xml:space="preserve"> 1551 + 1549 + 1550 + 1549 + 1552 + 1549 + 1551 + 1552</f>
        <v>12403</v>
      </c>
      <c r="D21">
        <f t="shared" si="1"/>
        <v>946.2738037109375</v>
      </c>
      <c r="E21">
        <f t="shared" si="2"/>
        <v>-0.2738037109375</v>
      </c>
      <c r="F21">
        <f t="shared" si="3"/>
        <v>0.99607768811677633</v>
      </c>
      <c r="G21">
        <f t="shared" si="4"/>
        <v>0.20458984375</v>
      </c>
    </row>
    <row r="22" spans="1:7" x14ac:dyDescent="0.25">
      <c r="A22">
        <f t="shared" si="0"/>
        <v>1000</v>
      </c>
      <c r="B22">
        <v>998</v>
      </c>
      <c r="C22">
        <f xml:space="preserve"> 1636 + 1637 + 1636 + 1638 + 1635 + 1636 + 1638 + 1635</f>
        <v>13091</v>
      </c>
      <c r="D22">
        <f t="shared" si="1"/>
        <v>998.7640380859375</v>
      </c>
      <c r="E22">
        <f t="shared" si="2"/>
        <v>-0.7640380859375</v>
      </c>
      <c r="F22">
        <f t="shared" si="3"/>
        <v>0.9987640380859375</v>
      </c>
      <c r="G22">
        <f t="shared" si="4"/>
        <v>-0.490234375</v>
      </c>
    </row>
    <row r="23" spans="1:7" x14ac:dyDescent="0.25">
      <c r="A23">
        <f t="shared" si="0"/>
        <v>1050</v>
      </c>
      <c r="B23">
        <v>1050</v>
      </c>
      <c r="C23">
        <f xml:space="preserve"> 1724 + 1721 + 1722 + 1724 + 1722 + 1722 + 1724 + 1718</f>
        <v>13777</v>
      </c>
      <c r="D23">
        <f t="shared" si="1"/>
        <v>1051.1016845703125</v>
      </c>
      <c r="E23">
        <f t="shared" si="2"/>
        <v>-1.1016845703125</v>
      </c>
      <c r="F23">
        <f t="shared" si="3"/>
        <v>1.0010492234002977</v>
      </c>
      <c r="G23">
        <f t="shared" si="4"/>
        <v>-0.337646484375</v>
      </c>
    </row>
    <row r="24" spans="1:7" x14ac:dyDescent="0.25">
      <c r="A24">
        <f t="shared" si="0"/>
        <v>1100</v>
      </c>
      <c r="B24">
        <v>1103</v>
      </c>
      <c r="C24">
        <f xml:space="preserve"> 1810 + 1812 + 1811 + 1809 + 1808 + 1810 + 1808 + 1808</f>
        <v>14476</v>
      </c>
      <c r="D24">
        <f t="shared" si="1"/>
        <v>1104.43115234375</v>
      </c>
      <c r="E24">
        <f t="shared" si="2"/>
        <v>-1.43115234375</v>
      </c>
      <c r="F24">
        <f t="shared" si="3"/>
        <v>1.0040283203125</v>
      </c>
      <c r="G24">
        <f t="shared" si="4"/>
        <v>-0.3294677734375</v>
      </c>
    </row>
    <row r="25" spans="1:7" x14ac:dyDescent="0.25">
      <c r="A25">
        <f t="shared" si="0"/>
        <v>1150</v>
      </c>
      <c r="B25">
        <v>1155</v>
      </c>
      <c r="C25">
        <f xml:space="preserve"> 1895 + 1893 + 1896 + 1891 + 1895 + 1897 + 1895 + 1895</f>
        <v>15157</v>
      </c>
      <c r="D25">
        <f t="shared" si="1"/>
        <v>1156.3873291015625</v>
      </c>
      <c r="E25">
        <f t="shared" si="2"/>
        <v>-1.3873291015625</v>
      </c>
      <c r="F25">
        <f t="shared" si="3"/>
        <v>1.00555419921875</v>
      </c>
      <c r="G25">
        <f t="shared" si="4"/>
        <v>4.38232421875E-2</v>
      </c>
    </row>
    <row r="26" spans="1:7" x14ac:dyDescent="0.25">
      <c r="A26">
        <f t="shared" si="0"/>
        <v>1200</v>
      </c>
      <c r="B26">
        <v>1195</v>
      </c>
      <c r="C26">
        <f xml:space="preserve"> 1959 + 1961 + 1960 + 1960 + 1960 + 1961 + 1959 + 1960</f>
        <v>15680</v>
      </c>
      <c r="D26">
        <f t="shared" si="1"/>
        <v>1196.2890625</v>
      </c>
      <c r="E26">
        <f t="shared" si="2"/>
        <v>-1.2890625</v>
      </c>
      <c r="F26">
        <f t="shared" si="3"/>
        <v>0.99690755208333337</v>
      </c>
      <c r="G26">
        <f t="shared" si="4"/>
        <v>9.82666015625E-2</v>
      </c>
    </row>
    <row r="27" spans="1:7" x14ac:dyDescent="0.25">
      <c r="A27">
        <f t="shared" si="0"/>
        <v>1250</v>
      </c>
      <c r="B27">
        <v>1246</v>
      </c>
      <c r="C27">
        <f xml:space="preserve"> 2048 + 2046 + 2044 + 2046 + 2047 + 2045 + 2046 + 2044</f>
        <v>16366</v>
      </c>
      <c r="D27">
        <f t="shared" si="1"/>
        <v>1248.626708984375</v>
      </c>
      <c r="E27">
        <f t="shared" si="2"/>
        <v>-2.626708984375</v>
      </c>
      <c r="F27">
        <f t="shared" si="3"/>
        <v>0.9989013671875</v>
      </c>
      <c r="G27">
        <f t="shared" si="4"/>
        <v>-1.337646484375</v>
      </c>
    </row>
    <row r="28" spans="1:7" x14ac:dyDescent="0.25">
      <c r="A28">
        <f t="shared" si="0"/>
        <v>1300</v>
      </c>
      <c r="B28">
        <v>1299</v>
      </c>
      <c r="C28">
        <f xml:space="preserve"> 2133 + 2136 + 2130 + 2132 + 2128 + 2132 + 2130 + 2130</f>
        <v>17051</v>
      </c>
      <c r="D28">
        <f t="shared" si="1"/>
        <v>1300.8880615234375</v>
      </c>
      <c r="E28">
        <f t="shared" si="2"/>
        <v>-1.8880615234375</v>
      </c>
      <c r="F28">
        <f t="shared" si="3"/>
        <v>1.0006831242487981</v>
      </c>
      <c r="G28">
        <f t="shared" si="4"/>
        <v>0.7386474609375</v>
      </c>
    </row>
    <row r="29" spans="1:7" x14ac:dyDescent="0.25">
      <c r="A29">
        <f t="shared" si="0"/>
        <v>1350</v>
      </c>
      <c r="B29">
        <v>1352</v>
      </c>
      <c r="C29">
        <f xml:space="preserve"> 2220 + 2218 + 2218 + 2217 + 2218 + 2217 + 2217 + 2216</f>
        <v>17741</v>
      </c>
      <c r="D29">
        <f t="shared" si="1"/>
        <v>1353.5308837890625</v>
      </c>
      <c r="E29">
        <f t="shared" si="2"/>
        <v>-1.5308837890625</v>
      </c>
      <c r="F29">
        <f t="shared" si="3"/>
        <v>1.0026154694733795</v>
      </c>
      <c r="G29">
        <f t="shared" si="4"/>
        <v>0.357177734375</v>
      </c>
    </row>
    <row r="30" spans="1:7" x14ac:dyDescent="0.25">
      <c r="A30">
        <f t="shared" si="0"/>
        <v>1400</v>
      </c>
      <c r="B30">
        <v>1403</v>
      </c>
      <c r="C30">
        <f xml:space="preserve"> 2300 + 2303 + 2303 + 2304 + 2306 + 2299 + 2305 + 2303</f>
        <v>18423</v>
      </c>
      <c r="D30">
        <f t="shared" si="1"/>
        <v>1405.5633544921875</v>
      </c>
      <c r="E30">
        <f t="shared" si="2"/>
        <v>-2.5633544921875</v>
      </c>
      <c r="F30">
        <f t="shared" si="3"/>
        <v>1.0039738246372767</v>
      </c>
      <c r="G30">
        <f t="shared" si="4"/>
        <v>-1.032470703125</v>
      </c>
    </row>
    <row r="31" spans="1:7" x14ac:dyDescent="0.25">
      <c r="A31">
        <f t="shared" si="0"/>
        <v>1450</v>
      </c>
      <c r="B31">
        <v>1442</v>
      </c>
      <c r="C31">
        <f xml:space="preserve"> 2367 + 2367 + 2375 + 2368 + 2368 + 2368 + 2369 + 2369</f>
        <v>18951</v>
      </c>
      <c r="D31">
        <f t="shared" si="1"/>
        <v>1445.8465576171875</v>
      </c>
      <c r="E31">
        <f t="shared" si="2"/>
        <v>-3.8465576171875</v>
      </c>
      <c r="F31">
        <f t="shared" si="3"/>
        <v>0.99713555697737066</v>
      </c>
      <c r="G31">
        <f t="shared" si="4"/>
        <v>-1.283203125</v>
      </c>
    </row>
    <row r="32" spans="1:7" x14ac:dyDescent="0.25">
      <c r="A32">
        <f>A31+50</f>
        <v>1500</v>
      </c>
      <c r="B32">
        <v>1495</v>
      </c>
      <c r="C32">
        <f xml:space="preserve"> 2453 + 2452 + 2454 + 2456 + 2455 + 2452 + 2454 + 2455</f>
        <v>19631</v>
      </c>
      <c r="D32">
        <f t="shared" si="1"/>
        <v>1497.7264404296875</v>
      </c>
      <c r="E32">
        <f t="shared" si="2"/>
        <v>-2.7264404296875</v>
      </c>
      <c r="F32">
        <f t="shared" si="3"/>
        <v>0.99848429361979163</v>
      </c>
      <c r="G32">
        <f t="shared" si="4"/>
        <v>1.1201171875</v>
      </c>
    </row>
    <row r="33" spans="1:7" x14ac:dyDescent="0.25">
      <c r="A33">
        <f t="shared" si="0"/>
        <v>1550</v>
      </c>
      <c r="B33">
        <v>1547</v>
      </c>
      <c r="C33">
        <f xml:space="preserve"> 2538 + 2540 + 2538 + 2541 + 2539 + 2539 + 2537 + 2537</f>
        <v>20309</v>
      </c>
      <c r="D33">
        <f t="shared" si="1"/>
        <v>1549.4537353515625</v>
      </c>
      <c r="E33">
        <f t="shared" si="2"/>
        <v>-2.4537353515625</v>
      </c>
      <c r="F33">
        <f t="shared" si="3"/>
        <v>0.99964757119455649</v>
      </c>
      <c r="G33">
        <f t="shared" si="4"/>
        <v>0.272705078125</v>
      </c>
    </row>
    <row r="34" spans="1:7" x14ac:dyDescent="0.25">
      <c r="A34">
        <f t="shared" si="0"/>
        <v>1600</v>
      </c>
      <c r="B34">
        <v>1599</v>
      </c>
      <c r="C34">
        <f xml:space="preserve"> 2625 + 2624 + 2624 + 2623 + 2628 + 2630 + 2622 + 2625</f>
        <v>21001</v>
      </c>
      <c r="D34">
        <f t="shared" si="1"/>
        <v>1602.2491455078125</v>
      </c>
      <c r="E34">
        <f t="shared" si="2"/>
        <v>-3.2491455078125</v>
      </c>
      <c r="F34">
        <f t="shared" si="3"/>
        <v>1.0014057159423828</v>
      </c>
      <c r="G34">
        <f t="shared" si="4"/>
        <v>-0.79541015625</v>
      </c>
    </row>
    <row r="35" spans="1:7" x14ac:dyDescent="0.25">
      <c r="A35">
        <f t="shared" si="0"/>
        <v>1650</v>
      </c>
      <c r="B35">
        <v>1654</v>
      </c>
      <c r="C35">
        <f xml:space="preserve"> 2714 + 2713 + 2713 + 2714 + 2714 + 2714 + 2712 + 2713</f>
        <v>21707</v>
      </c>
      <c r="D35">
        <f t="shared" si="1"/>
        <v>1656.1126708984375</v>
      </c>
      <c r="E35">
        <f t="shared" si="2"/>
        <v>-2.1126708984375</v>
      </c>
      <c r="F35">
        <f t="shared" si="3"/>
        <v>1.003704649029356</v>
      </c>
      <c r="G35">
        <f t="shared" si="4"/>
        <v>1.136474609375</v>
      </c>
    </row>
    <row r="36" spans="1:7" x14ac:dyDescent="0.25">
      <c r="A36">
        <f t="shared" si="0"/>
        <v>1700</v>
      </c>
      <c r="B36">
        <v>1706</v>
      </c>
      <c r="C36">
        <f xml:space="preserve"> 2800 + 2799 + 2798 + 2800 + 2801 + 2800 + 2800 + 2797</f>
        <v>22395</v>
      </c>
      <c r="D36">
        <f t="shared" si="1"/>
        <v>1708.6029052734375</v>
      </c>
      <c r="E36">
        <f t="shared" si="2"/>
        <v>-2.6029052734375</v>
      </c>
      <c r="F36">
        <f t="shared" si="3"/>
        <v>1.0050605325137867</v>
      </c>
      <c r="G36">
        <f t="shared" si="4"/>
        <v>-0.490234375</v>
      </c>
    </row>
    <row r="37" spans="1:7" x14ac:dyDescent="0.25">
      <c r="A37">
        <f t="shared" si="0"/>
        <v>1750</v>
      </c>
      <c r="B37">
        <v>1745</v>
      </c>
      <c r="C37">
        <f xml:space="preserve"> 2863 + 2863 + 2864 + 2865 + 2866 + 2863 + 2865 + 2866</f>
        <v>22915</v>
      </c>
      <c r="D37">
        <f t="shared" si="1"/>
        <v>1748.2757568359375</v>
      </c>
      <c r="E37">
        <f t="shared" si="2"/>
        <v>-3.2757568359375</v>
      </c>
      <c r="F37">
        <f t="shared" si="3"/>
        <v>0.9990147181919643</v>
      </c>
      <c r="G37">
        <f t="shared" si="4"/>
        <v>-0.6728515625</v>
      </c>
    </row>
    <row r="38" spans="1:7" x14ac:dyDescent="0.25">
      <c r="A38">
        <f t="shared" si="0"/>
        <v>1800</v>
      </c>
      <c r="B38">
        <v>1797</v>
      </c>
      <c r="C38">
        <f xml:space="preserve"> 2949 + 2950 + 2948 + 2948 + 2953 + 2953 + 2952 + 2950</f>
        <v>23603</v>
      </c>
      <c r="D38">
        <f t="shared" si="1"/>
        <v>1800.7659912109375</v>
      </c>
      <c r="E38">
        <f t="shared" si="2"/>
        <v>-3.7659912109375</v>
      </c>
      <c r="F38">
        <f t="shared" si="3"/>
        <v>1.0004255506727431</v>
      </c>
      <c r="G38">
        <f t="shared" si="4"/>
        <v>-0.490234375</v>
      </c>
    </row>
    <row r="39" spans="1:7" x14ac:dyDescent="0.25">
      <c r="A39">
        <f t="shared" si="0"/>
        <v>1850</v>
      </c>
      <c r="B39">
        <v>1850</v>
      </c>
      <c r="C39">
        <f xml:space="preserve"> 3034 + 3038 + 3036 + 3034 + 3035 + 3037 + 3036 + 3037</f>
        <v>24287</v>
      </c>
      <c r="D39">
        <f t="shared" si="1"/>
        <v>1852.9510498046875</v>
      </c>
      <c r="E39">
        <f t="shared" si="2"/>
        <v>-2.9510498046875</v>
      </c>
      <c r="F39">
        <f t="shared" si="3"/>
        <v>1.0015951620565879</v>
      </c>
      <c r="G39">
        <f t="shared" si="4"/>
        <v>0.81494140625</v>
      </c>
    </row>
    <row r="40" spans="1:7" x14ac:dyDescent="0.25">
      <c r="A40">
        <f t="shared" si="0"/>
        <v>1900</v>
      </c>
      <c r="B40">
        <v>1902</v>
      </c>
      <c r="C40">
        <f xml:space="preserve"> 3120 + 3120 + 3118 + 3121 + 3122 + 3121 + 3120 + 3119</f>
        <v>24961</v>
      </c>
      <c r="D40">
        <f t="shared" si="1"/>
        <v>1904.3731689453125</v>
      </c>
      <c r="E40">
        <f t="shared" si="2"/>
        <v>-2.3731689453125</v>
      </c>
      <c r="F40">
        <f t="shared" si="3"/>
        <v>1.002301667865954</v>
      </c>
      <c r="G40">
        <f t="shared" si="4"/>
        <v>0.577880859375</v>
      </c>
    </row>
    <row r="41" spans="1:7" x14ac:dyDescent="0.25">
      <c r="A41">
        <f t="shared" si="0"/>
        <v>1950</v>
      </c>
      <c r="B41">
        <v>1954</v>
      </c>
      <c r="C41">
        <f xml:space="preserve"> 3206 + 3205 + 3208 + 3207 + 3206 + 3208 + 3205 + 3206</f>
        <v>25651</v>
      </c>
      <c r="D41">
        <f t="shared" si="1"/>
        <v>1957.0159912109375</v>
      </c>
      <c r="E41">
        <f t="shared" si="2"/>
        <v>-3.0159912109375</v>
      </c>
      <c r="F41">
        <f t="shared" si="3"/>
        <v>1.0035979442107372</v>
      </c>
      <c r="G41">
        <f t="shared" si="4"/>
        <v>-0.642822265625</v>
      </c>
    </row>
    <row r="42" spans="1:7" x14ac:dyDescent="0.25">
      <c r="A42">
        <f t="shared" si="0"/>
        <v>2000</v>
      </c>
      <c r="B42">
        <v>2007</v>
      </c>
      <c r="C42">
        <f xml:space="preserve"> 3294 + 3295 + 3294 + 3295 + 3293 + 3295 + 3292 + 3292</f>
        <v>26350</v>
      </c>
      <c r="D42">
        <f t="shared" si="1"/>
        <v>2010.345458984375</v>
      </c>
      <c r="E42">
        <f t="shared" si="2"/>
        <v>-3.345458984375</v>
      </c>
      <c r="F42">
        <f t="shared" si="3"/>
        <v>1.0051727294921875</v>
      </c>
      <c r="G42">
        <f t="shared" si="4"/>
        <v>-0.3294677734375</v>
      </c>
    </row>
    <row r="43" spans="1:7" x14ac:dyDescent="0.25">
      <c r="A43">
        <f>A42+50</f>
        <v>2050</v>
      </c>
      <c r="B43">
        <v>2046</v>
      </c>
      <c r="C43">
        <f xml:space="preserve"> 3355 + 3356 + 3354 + 3356 + 3358 + 3359 + 3355 + 3359</f>
        <v>26852</v>
      </c>
      <c r="D43">
        <f t="shared" si="1"/>
        <v>2048.64501953125</v>
      </c>
      <c r="E43">
        <f t="shared" si="2"/>
        <v>-2.64501953125</v>
      </c>
      <c r="F43">
        <f t="shared" si="3"/>
        <v>0.99933903391768297</v>
      </c>
      <c r="G43">
        <f t="shared" si="4"/>
        <v>0.700439453125</v>
      </c>
    </row>
    <row r="44" spans="1:7" x14ac:dyDescent="0.25">
      <c r="A44">
        <f t="shared" si="0"/>
        <v>2100</v>
      </c>
      <c r="B44">
        <v>2098</v>
      </c>
      <c r="C44">
        <f xml:space="preserve"> 3442 + 3441 + 3443 + 3442 + 3444 + 3443 + 3441 + 3444</f>
        <v>27540</v>
      </c>
      <c r="D44">
        <f t="shared" si="1"/>
        <v>2101.13525390625</v>
      </c>
      <c r="E44">
        <f t="shared" si="2"/>
        <v>-3.13525390625</v>
      </c>
      <c r="F44">
        <f t="shared" si="3"/>
        <v>1.0005405970982142</v>
      </c>
      <c r="G44">
        <f t="shared" si="4"/>
        <v>-0.490234375</v>
      </c>
    </row>
    <row r="45" spans="1:7" x14ac:dyDescent="0.25">
      <c r="A45">
        <f t="shared" si="0"/>
        <v>2150</v>
      </c>
      <c r="B45">
        <v>2150</v>
      </c>
      <c r="C45">
        <f xml:space="preserve"> 3528 + 3532 + 3529 + 3530 + 3528 + 3532 + 3531 + 3530</f>
        <v>28240</v>
      </c>
      <c r="D45">
        <f t="shared" si="1"/>
        <v>2154.541015625</v>
      </c>
      <c r="E45">
        <f t="shared" si="2"/>
        <v>-4.541015625</v>
      </c>
      <c r="F45">
        <f t="shared" si="3"/>
        <v>1.0021121002906976</v>
      </c>
      <c r="G45">
        <f t="shared" si="4"/>
        <v>-1.40576171875</v>
      </c>
    </row>
    <row r="46" spans="1:7" x14ac:dyDescent="0.25">
      <c r="A46">
        <f t="shared" si="0"/>
        <v>2200</v>
      </c>
      <c r="B46">
        <v>2203</v>
      </c>
      <c r="C46">
        <f xml:space="preserve"> 3614 + 3615 + 3617 + 3615 + 3616 + 3614 + 3616 + 3616</f>
        <v>28923</v>
      </c>
      <c r="D46">
        <f t="shared" si="1"/>
        <v>2206.6497802734375</v>
      </c>
      <c r="E46">
        <f t="shared" si="2"/>
        <v>-3.6497802734375</v>
      </c>
      <c r="F46">
        <f t="shared" si="3"/>
        <v>1.0030226273970171</v>
      </c>
      <c r="G46">
        <f t="shared" si="4"/>
        <v>0.8912353515625</v>
      </c>
    </row>
    <row r="47" spans="1:7" x14ac:dyDescent="0.25">
      <c r="A47">
        <f t="shared" si="0"/>
        <v>2250</v>
      </c>
      <c r="B47">
        <v>2255</v>
      </c>
      <c r="C47">
        <f xml:space="preserve"> 3701 + 3699 + 3699 + 3701 + 3700 + 3699 + 3699 + 3696</f>
        <v>29594</v>
      </c>
      <c r="D47">
        <f t="shared" si="1"/>
        <v>2257.843017578125</v>
      </c>
      <c r="E47">
        <f t="shared" si="2"/>
        <v>-2.843017578125</v>
      </c>
      <c r="F47">
        <f t="shared" si="3"/>
        <v>1.0034857855902777</v>
      </c>
      <c r="G47">
        <f t="shared" si="4"/>
        <v>0.8067626953125</v>
      </c>
    </row>
    <row r="48" spans="1:7" x14ac:dyDescent="0.25">
      <c r="A48">
        <f t="shared" si="0"/>
        <v>2300</v>
      </c>
      <c r="B48">
        <v>2307</v>
      </c>
      <c r="C48">
        <f xml:space="preserve"> 3787 + 3785 + 3786 + 3791 + 3787 + 3787 + 3787 + 3786</f>
        <v>30296</v>
      </c>
      <c r="D48">
        <f t="shared" si="1"/>
        <v>2311.4013671875</v>
      </c>
      <c r="E48">
        <f t="shared" si="2"/>
        <v>-4.4013671875</v>
      </c>
      <c r="F48">
        <f t="shared" si="3"/>
        <v>1.0049571161684783</v>
      </c>
      <c r="G48">
        <f t="shared" si="4"/>
        <v>-1.558349609375</v>
      </c>
    </row>
    <row r="49" spans="1:7" x14ac:dyDescent="0.25">
      <c r="A49">
        <f t="shared" si="0"/>
        <v>2350</v>
      </c>
      <c r="B49">
        <v>2307</v>
      </c>
      <c r="C49">
        <f xml:space="preserve"> 3851 + 3851 + 3854 + 3852 + 3851 + 3853 + 3852 + 3852</f>
        <v>30816</v>
      </c>
      <c r="D49">
        <f t="shared" si="1"/>
        <v>2351.07421875</v>
      </c>
      <c r="E49">
        <f t="shared" si="2"/>
        <v>-44.07421875</v>
      </c>
      <c r="F49">
        <f t="shared" si="3"/>
        <v>1.000457114361702</v>
      </c>
      <c r="G49">
        <f t="shared" si="4"/>
        <v>-39.6728515625</v>
      </c>
    </row>
    <row r="50" spans="1:7" x14ac:dyDescent="0.25">
      <c r="A50">
        <f t="shared" si="0"/>
        <v>2400</v>
      </c>
      <c r="B50">
        <v>2399</v>
      </c>
      <c r="C50">
        <f xml:space="preserve"> 3936 + 3936 + 3939 + 3937 + 3938 + 3939 + 3937 + 3935</f>
        <v>31497</v>
      </c>
      <c r="D50">
        <f t="shared" si="1"/>
        <v>2403.0303955078125</v>
      </c>
      <c r="E50">
        <f t="shared" si="2"/>
        <v>-4.0303955078125</v>
      </c>
      <c r="F50">
        <f t="shared" si="3"/>
        <v>1.0012626647949219</v>
      </c>
      <c r="G50">
        <f t="shared" si="4"/>
        <v>40.0438232421875</v>
      </c>
    </row>
    <row r="51" spans="1:7" x14ac:dyDescent="0.25">
      <c r="A51">
        <f>A50+50</f>
        <v>2450</v>
      </c>
      <c r="B51">
        <v>2451</v>
      </c>
      <c r="C51">
        <f xml:space="preserve"> 4023 + 4024 + 4021 + 4023 + 4024 + 4024 + 4028 + 4025</f>
        <v>32192</v>
      </c>
      <c r="D51">
        <f t="shared" si="1"/>
        <v>2456.0546875</v>
      </c>
      <c r="E51">
        <f t="shared" si="2"/>
        <v>-5.0546875</v>
      </c>
      <c r="F51">
        <f t="shared" si="3"/>
        <v>1.0024713010204083</v>
      </c>
      <c r="G51">
        <f t="shared" si="4"/>
        <v>-1.0242919921875</v>
      </c>
    </row>
    <row r="52" spans="1:7" x14ac:dyDescent="0.25">
      <c r="A52">
        <f>A51+50</f>
        <v>2500</v>
      </c>
      <c r="B52">
        <v>2504</v>
      </c>
      <c r="C52">
        <f xml:space="preserve"> 4095 + 4095 + 4095 + 4095 + 4095 + 4095 + 4095 + 4095</f>
        <v>32760</v>
      </c>
      <c r="D52">
        <f>C52/8*2500/4096</f>
        <v>2499.3896484375</v>
      </c>
      <c r="E52">
        <f t="shared" si="2"/>
        <v>4.6103515625</v>
      </c>
      <c r="F52">
        <f t="shared" si="3"/>
        <v>0.999755859375</v>
      </c>
      <c r="G52">
        <f t="shared" si="4"/>
        <v>9.6650390625</v>
      </c>
    </row>
    <row r="53" spans="1:7" x14ac:dyDescent="0.25">
      <c r="E53">
        <f>AVERAGE(E2:E52)</f>
        <v>-2.4094094669117645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608C-9641-4248-BCF8-810721F8EA22}">
  <dimension ref="A1:F52"/>
  <sheetViews>
    <sheetView workbookViewId="0">
      <selection activeCell="B2" sqref="B2:B52"/>
    </sheetView>
  </sheetViews>
  <sheetFormatPr defaultRowHeight="15" x14ac:dyDescent="0.25"/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6" x14ac:dyDescent="0.25">
      <c r="A2">
        <v>0</v>
      </c>
      <c r="B2">
        <v>0</v>
      </c>
      <c r="C2">
        <v>2</v>
      </c>
      <c r="D2">
        <f>C2/16*2500/4096</f>
        <v>7.62939453125E-2</v>
      </c>
      <c r="E2">
        <f>B2-D2</f>
        <v>-7.62939453125E-2</v>
      </c>
      <c r="F2" t="e">
        <f>E2/B2*100</f>
        <v>#DIV/0!</v>
      </c>
    </row>
    <row r="3" spans="1:6" x14ac:dyDescent="0.25">
      <c r="A3">
        <f>A2+50</f>
        <v>50</v>
      </c>
      <c r="B3">
        <v>44</v>
      </c>
      <c r="C3">
        <v>1152</v>
      </c>
      <c r="D3">
        <f t="shared" ref="D3:D52" si="0">C3/16*2500/4096</f>
        <v>43.9453125</v>
      </c>
      <c r="E3">
        <f t="shared" ref="E3:E52" si="1">B3-D3</f>
        <v>5.46875E-2</v>
      </c>
      <c r="F3">
        <f t="shared" ref="F3:F52" si="2">E3/B3*100</f>
        <v>0.12428977272727272</v>
      </c>
    </row>
    <row r="4" spans="1:6" x14ac:dyDescent="0.25">
      <c r="A4">
        <f t="shared" ref="A4:A50" si="3">A3+50</f>
        <v>100</v>
      </c>
      <c r="B4">
        <v>96</v>
      </c>
      <c r="C4">
        <v>2523</v>
      </c>
      <c r="D4">
        <f t="shared" si="0"/>
        <v>96.24481201171875</v>
      </c>
      <c r="E4">
        <f t="shared" si="1"/>
        <v>-0.24481201171875</v>
      </c>
      <c r="F4">
        <f t="shared" si="2"/>
        <v>-0.25501251220703125</v>
      </c>
    </row>
    <row r="5" spans="1:6" x14ac:dyDescent="0.25">
      <c r="A5">
        <f t="shared" si="3"/>
        <v>150</v>
      </c>
      <c r="B5">
        <v>148</v>
      </c>
      <c r="C5">
        <v>3908</v>
      </c>
      <c r="D5">
        <f t="shared" si="0"/>
        <v>149.078369140625</v>
      </c>
      <c r="E5">
        <f t="shared" si="1"/>
        <v>-1.078369140625</v>
      </c>
      <c r="F5">
        <f t="shared" si="2"/>
        <v>-0.72862779771959452</v>
      </c>
    </row>
    <row r="6" spans="1:6" x14ac:dyDescent="0.25">
      <c r="A6">
        <f t="shared" si="3"/>
        <v>200</v>
      </c>
      <c r="B6">
        <v>200</v>
      </c>
      <c r="C6">
        <v>5313</v>
      </c>
      <c r="D6">
        <f t="shared" si="0"/>
        <v>202.67486572265625</v>
      </c>
      <c r="E6">
        <f t="shared" si="1"/>
        <v>-2.67486572265625</v>
      </c>
      <c r="F6">
        <f t="shared" si="2"/>
        <v>-1.337432861328125</v>
      </c>
    </row>
    <row r="7" spans="1:6" x14ac:dyDescent="0.25">
      <c r="A7">
        <f t="shared" si="3"/>
        <v>250</v>
      </c>
      <c r="B7">
        <v>253</v>
      </c>
      <c r="C7">
        <v>6668</v>
      </c>
      <c r="D7">
        <f t="shared" si="0"/>
        <v>254.364013671875</v>
      </c>
      <c r="E7">
        <f t="shared" si="1"/>
        <v>-1.364013671875</v>
      </c>
      <c r="F7">
        <f t="shared" si="2"/>
        <v>-0.53913583868577075</v>
      </c>
    </row>
    <row r="8" spans="1:6" x14ac:dyDescent="0.25">
      <c r="A8">
        <f t="shared" si="3"/>
        <v>300</v>
      </c>
      <c r="B8">
        <v>292</v>
      </c>
      <c r="C8">
        <v>7724</v>
      </c>
      <c r="D8">
        <f t="shared" si="0"/>
        <v>294.647216796875</v>
      </c>
      <c r="E8">
        <f t="shared" si="1"/>
        <v>-2.647216796875</v>
      </c>
      <c r="F8">
        <f t="shared" si="2"/>
        <v>-0.90658109482020555</v>
      </c>
    </row>
    <row r="9" spans="1:6" x14ac:dyDescent="0.25">
      <c r="A9">
        <f t="shared" si="3"/>
        <v>350</v>
      </c>
      <c r="B9">
        <v>344</v>
      </c>
      <c r="C9">
        <v>9045</v>
      </c>
      <c r="D9">
        <f t="shared" si="0"/>
        <v>345.03936767578125</v>
      </c>
      <c r="E9">
        <f t="shared" si="1"/>
        <v>-1.03936767578125</v>
      </c>
      <c r="F9">
        <f t="shared" si="2"/>
        <v>-0.30214176621547967</v>
      </c>
    </row>
    <row r="10" spans="1:6" x14ac:dyDescent="0.25">
      <c r="A10">
        <f t="shared" si="3"/>
        <v>400</v>
      </c>
      <c r="B10">
        <v>397</v>
      </c>
      <c r="C10">
        <v>10401</v>
      </c>
      <c r="D10">
        <f t="shared" si="0"/>
        <v>396.76666259765625</v>
      </c>
      <c r="E10">
        <f t="shared" si="1"/>
        <v>0.23333740234375</v>
      </c>
      <c r="F10">
        <f t="shared" si="2"/>
        <v>5.8775164318324934E-2</v>
      </c>
    </row>
    <row r="11" spans="1:6" x14ac:dyDescent="0.25">
      <c r="A11">
        <f t="shared" si="3"/>
        <v>450</v>
      </c>
      <c r="B11">
        <v>449</v>
      </c>
      <c r="C11">
        <v>11792</v>
      </c>
      <c r="D11">
        <f t="shared" si="0"/>
        <v>449.8291015625</v>
      </c>
      <c r="E11">
        <f t="shared" si="1"/>
        <v>-0.8291015625</v>
      </c>
      <c r="F11">
        <f t="shared" si="2"/>
        <v>-0.18465513641425388</v>
      </c>
    </row>
    <row r="12" spans="1:6" x14ac:dyDescent="0.25">
      <c r="A12">
        <f t="shared" si="3"/>
        <v>500</v>
      </c>
      <c r="B12">
        <v>502</v>
      </c>
      <c r="C12">
        <v>13162</v>
      </c>
      <c r="D12">
        <f t="shared" si="0"/>
        <v>502.0904541015625</v>
      </c>
      <c r="E12">
        <f t="shared" si="1"/>
        <v>-9.04541015625E-2</v>
      </c>
      <c r="F12">
        <f t="shared" si="2"/>
        <v>-1.8018745331175298E-2</v>
      </c>
    </row>
    <row r="13" spans="1:6" x14ac:dyDescent="0.25">
      <c r="A13">
        <f t="shared" si="3"/>
        <v>550</v>
      </c>
      <c r="B13">
        <v>554</v>
      </c>
      <c r="C13">
        <v>14536</v>
      </c>
      <c r="D13">
        <f t="shared" si="0"/>
        <v>554.50439453125</v>
      </c>
      <c r="E13">
        <f t="shared" si="1"/>
        <v>-0.50439453125</v>
      </c>
      <c r="F13">
        <f t="shared" si="2"/>
        <v>-9.1045944268953072E-2</v>
      </c>
    </row>
    <row r="14" spans="1:6" x14ac:dyDescent="0.25">
      <c r="A14">
        <f t="shared" si="3"/>
        <v>600</v>
      </c>
      <c r="B14">
        <v>593</v>
      </c>
      <c r="C14">
        <v>15572</v>
      </c>
      <c r="D14">
        <f t="shared" si="0"/>
        <v>594.024658203125</v>
      </c>
      <c r="E14">
        <f t="shared" si="1"/>
        <v>-1.024658203125</v>
      </c>
      <c r="F14">
        <f t="shared" si="2"/>
        <v>-0.17279227708684655</v>
      </c>
    </row>
    <row r="15" spans="1:6" x14ac:dyDescent="0.25">
      <c r="A15">
        <f t="shared" si="3"/>
        <v>650</v>
      </c>
      <c r="B15">
        <v>645</v>
      </c>
      <c r="C15">
        <v>16941</v>
      </c>
      <c r="D15">
        <f t="shared" si="0"/>
        <v>646.24786376953125</v>
      </c>
      <c r="E15">
        <f t="shared" si="1"/>
        <v>-1.24786376953125</v>
      </c>
      <c r="F15">
        <f t="shared" si="2"/>
        <v>-0.19346725109011628</v>
      </c>
    </row>
    <row r="16" spans="1:6" x14ac:dyDescent="0.25">
      <c r="A16">
        <f t="shared" si="3"/>
        <v>700</v>
      </c>
      <c r="B16">
        <v>698</v>
      </c>
      <c r="C16">
        <v>18329</v>
      </c>
      <c r="D16">
        <f t="shared" si="0"/>
        <v>699.19586181640625</v>
      </c>
      <c r="E16">
        <f t="shared" si="1"/>
        <v>-1.19586181640625</v>
      </c>
      <c r="F16">
        <f t="shared" si="2"/>
        <v>-0.1713269077945917</v>
      </c>
    </row>
    <row r="17" spans="1:6" x14ac:dyDescent="0.25">
      <c r="A17">
        <f t="shared" si="3"/>
        <v>750</v>
      </c>
      <c r="B17">
        <v>750</v>
      </c>
      <c r="C17">
        <v>19680</v>
      </c>
      <c r="D17">
        <f t="shared" si="0"/>
        <v>750.732421875</v>
      </c>
      <c r="E17">
        <f t="shared" si="1"/>
        <v>-0.732421875</v>
      </c>
      <c r="F17">
        <f t="shared" si="2"/>
        <v>-9.765625E-2</v>
      </c>
    </row>
    <row r="18" spans="1:6" x14ac:dyDescent="0.25">
      <c r="A18">
        <f t="shared" si="3"/>
        <v>800</v>
      </c>
      <c r="B18">
        <v>802</v>
      </c>
      <c r="C18">
        <v>21057</v>
      </c>
      <c r="D18">
        <f t="shared" si="0"/>
        <v>803.26080322265625</v>
      </c>
      <c r="E18">
        <f t="shared" si="1"/>
        <v>-1.26080322265625</v>
      </c>
      <c r="F18">
        <f t="shared" si="2"/>
        <v>-0.15720738437110349</v>
      </c>
    </row>
    <row r="19" spans="1:6" x14ac:dyDescent="0.25">
      <c r="A19">
        <f t="shared" si="3"/>
        <v>850</v>
      </c>
      <c r="B19">
        <v>854</v>
      </c>
      <c r="C19">
        <v>22440</v>
      </c>
      <c r="D19">
        <f t="shared" si="0"/>
        <v>856.01806640625</v>
      </c>
      <c r="E19">
        <f t="shared" si="1"/>
        <v>-2.01806640625</v>
      </c>
      <c r="F19">
        <f t="shared" si="2"/>
        <v>-0.23630754171545665</v>
      </c>
    </row>
    <row r="20" spans="1:6" x14ac:dyDescent="0.25">
      <c r="A20">
        <f>A19+50</f>
        <v>900</v>
      </c>
      <c r="B20">
        <v>893</v>
      </c>
      <c r="C20">
        <v>23474</v>
      </c>
      <c r="D20">
        <f t="shared" si="0"/>
        <v>895.4620361328125</v>
      </c>
      <c r="E20">
        <f t="shared" si="1"/>
        <v>-2.4620361328125</v>
      </c>
      <c r="F20">
        <f t="shared" si="2"/>
        <v>-0.2757039342455207</v>
      </c>
    </row>
    <row r="21" spans="1:6" x14ac:dyDescent="0.25">
      <c r="A21">
        <f t="shared" si="3"/>
        <v>950</v>
      </c>
      <c r="B21">
        <v>946</v>
      </c>
      <c r="C21">
        <v>24855</v>
      </c>
      <c r="D21">
        <f t="shared" si="0"/>
        <v>948.14300537109375</v>
      </c>
      <c r="E21">
        <f t="shared" si="1"/>
        <v>-2.14300537109375</v>
      </c>
      <c r="F21">
        <f t="shared" si="2"/>
        <v>-0.2265333373249207</v>
      </c>
    </row>
    <row r="22" spans="1:6" x14ac:dyDescent="0.25">
      <c r="A22">
        <f t="shared" si="3"/>
        <v>1000</v>
      </c>
      <c r="B22">
        <v>998</v>
      </c>
      <c r="C22">
        <v>26231</v>
      </c>
      <c r="D22">
        <f t="shared" si="0"/>
        <v>1000.6332397460938</v>
      </c>
      <c r="E22">
        <f t="shared" si="1"/>
        <v>-2.63323974609375</v>
      </c>
      <c r="F22">
        <f t="shared" si="2"/>
        <v>-0.26385167796530562</v>
      </c>
    </row>
    <row r="23" spans="1:6" x14ac:dyDescent="0.25">
      <c r="A23">
        <f t="shared" si="3"/>
        <v>1050</v>
      </c>
      <c r="B23">
        <v>1050</v>
      </c>
      <c r="C23">
        <v>27588</v>
      </c>
      <c r="D23">
        <f t="shared" si="0"/>
        <v>1052.398681640625</v>
      </c>
      <c r="E23">
        <f t="shared" si="1"/>
        <v>-2.398681640625</v>
      </c>
      <c r="F23">
        <f t="shared" si="2"/>
        <v>-0.2284458705357143</v>
      </c>
    </row>
    <row r="24" spans="1:6" x14ac:dyDescent="0.25">
      <c r="A24">
        <f t="shared" si="3"/>
        <v>1100</v>
      </c>
      <c r="B24">
        <v>1103</v>
      </c>
      <c r="C24">
        <v>28963</v>
      </c>
      <c r="D24">
        <f t="shared" si="0"/>
        <v>1104.8507690429688</v>
      </c>
      <c r="E24">
        <f t="shared" si="1"/>
        <v>-1.85076904296875</v>
      </c>
      <c r="F24">
        <f t="shared" si="2"/>
        <v>-0.16779411087658658</v>
      </c>
    </row>
    <row r="25" spans="1:6" x14ac:dyDescent="0.25">
      <c r="A25">
        <f t="shared" si="3"/>
        <v>1150</v>
      </c>
      <c r="B25">
        <v>1155</v>
      </c>
      <c r="C25">
        <v>30326</v>
      </c>
      <c r="D25">
        <f t="shared" si="0"/>
        <v>1156.8450927734375</v>
      </c>
      <c r="E25">
        <f t="shared" si="1"/>
        <v>-1.8450927734375</v>
      </c>
      <c r="F25">
        <f t="shared" si="2"/>
        <v>-0.15974829207251082</v>
      </c>
    </row>
    <row r="26" spans="1:6" x14ac:dyDescent="0.25">
      <c r="A26">
        <f t="shared" si="3"/>
        <v>1200</v>
      </c>
      <c r="B26">
        <v>1195</v>
      </c>
      <c r="C26">
        <v>31348</v>
      </c>
      <c r="D26">
        <f t="shared" si="0"/>
        <v>1195.831298828125</v>
      </c>
      <c r="E26">
        <f t="shared" si="1"/>
        <v>-0.831298828125</v>
      </c>
      <c r="F26">
        <f t="shared" si="2"/>
        <v>-6.9564755491631797E-2</v>
      </c>
    </row>
    <row r="27" spans="1:6" x14ac:dyDescent="0.25">
      <c r="A27">
        <f t="shared" si="3"/>
        <v>1250</v>
      </c>
      <c r="B27">
        <v>1246</v>
      </c>
      <c r="C27">
        <v>32748</v>
      </c>
      <c r="D27">
        <f t="shared" si="0"/>
        <v>1249.237060546875</v>
      </c>
      <c r="E27">
        <f t="shared" si="1"/>
        <v>-3.237060546875</v>
      </c>
      <c r="F27">
        <f t="shared" si="2"/>
        <v>-0.2597961915630016</v>
      </c>
    </row>
    <row r="28" spans="1:6" x14ac:dyDescent="0.25">
      <c r="A28">
        <f t="shared" si="3"/>
        <v>1300</v>
      </c>
      <c r="B28">
        <v>1299</v>
      </c>
      <c r="C28">
        <v>34131</v>
      </c>
      <c r="D28">
        <f t="shared" si="0"/>
        <v>1301.9943237304688</v>
      </c>
      <c r="E28">
        <f t="shared" si="1"/>
        <v>-2.99432373046875</v>
      </c>
      <c r="F28">
        <f t="shared" si="2"/>
        <v>-0.2305099099668014</v>
      </c>
    </row>
    <row r="29" spans="1:6" x14ac:dyDescent="0.25">
      <c r="A29">
        <f t="shared" si="3"/>
        <v>1350</v>
      </c>
      <c r="B29">
        <v>1352</v>
      </c>
      <c r="C29">
        <v>35499</v>
      </c>
      <c r="D29">
        <f t="shared" si="0"/>
        <v>1354.1793823242188</v>
      </c>
      <c r="E29">
        <f t="shared" si="1"/>
        <v>-2.17938232421875</v>
      </c>
      <c r="F29">
        <f t="shared" si="2"/>
        <v>-0.16119691747180104</v>
      </c>
    </row>
    <row r="30" spans="1:6" x14ac:dyDescent="0.25">
      <c r="A30">
        <f t="shared" si="3"/>
        <v>1400</v>
      </c>
      <c r="B30">
        <v>1403</v>
      </c>
      <c r="C30">
        <v>36891</v>
      </c>
      <c r="D30">
        <f t="shared" si="0"/>
        <v>1407.2799682617188</v>
      </c>
      <c r="E30">
        <f t="shared" si="1"/>
        <v>-4.27996826171875</v>
      </c>
      <c r="F30">
        <f t="shared" si="2"/>
        <v>-0.30505832228929081</v>
      </c>
    </row>
    <row r="31" spans="1:6" x14ac:dyDescent="0.25">
      <c r="A31">
        <f t="shared" si="3"/>
        <v>1450</v>
      </c>
      <c r="B31">
        <v>1442</v>
      </c>
      <c r="C31">
        <v>37914</v>
      </c>
      <c r="D31">
        <f t="shared" si="0"/>
        <v>1446.3043212890625</v>
      </c>
      <c r="E31">
        <f t="shared" si="1"/>
        <v>-4.3043212890625</v>
      </c>
      <c r="F31">
        <f t="shared" si="2"/>
        <v>-0.29849662198769067</v>
      </c>
    </row>
    <row r="32" spans="1:6" x14ac:dyDescent="0.25">
      <c r="A32">
        <f>A31+50</f>
        <v>1500</v>
      </c>
      <c r="B32">
        <v>1495</v>
      </c>
      <c r="C32">
        <v>39314</v>
      </c>
      <c r="D32">
        <f t="shared" si="0"/>
        <v>1499.7100830078125</v>
      </c>
      <c r="E32">
        <f t="shared" si="1"/>
        <v>-4.7100830078125</v>
      </c>
      <c r="F32">
        <f t="shared" si="2"/>
        <v>-0.31505571958612039</v>
      </c>
    </row>
    <row r="33" spans="1:6" x14ac:dyDescent="0.25">
      <c r="A33">
        <f t="shared" si="3"/>
        <v>1550</v>
      </c>
      <c r="B33">
        <v>1547</v>
      </c>
      <c r="C33">
        <v>40633</v>
      </c>
      <c r="D33">
        <f t="shared" si="0"/>
        <v>1550.0259399414063</v>
      </c>
      <c r="E33">
        <f t="shared" si="1"/>
        <v>-3.02593994140625</v>
      </c>
      <c r="F33">
        <f t="shared" si="2"/>
        <v>-0.1956005133423562</v>
      </c>
    </row>
    <row r="34" spans="1:6" x14ac:dyDescent="0.25">
      <c r="A34">
        <f t="shared" si="3"/>
        <v>1600</v>
      </c>
      <c r="B34">
        <v>1599</v>
      </c>
      <c r="C34">
        <v>41999</v>
      </c>
      <c r="D34">
        <f t="shared" si="0"/>
        <v>1602.1347045898438</v>
      </c>
      <c r="E34">
        <f t="shared" si="1"/>
        <v>-3.13470458984375</v>
      </c>
      <c r="F34">
        <f t="shared" si="2"/>
        <v>-0.19604156284201063</v>
      </c>
    </row>
    <row r="35" spans="1:6" x14ac:dyDescent="0.25">
      <c r="A35">
        <f t="shared" si="3"/>
        <v>1650</v>
      </c>
      <c r="B35">
        <v>1654</v>
      </c>
      <c r="C35">
        <v>43440</v>
      </c>
      <c r="D35">
        <f t="shared" si="0"/>
        <v>1657.1044921875</v>
      </c>
      <c r="E35">
        <f t="shared" si="1"/>
        <v>-3.1044921875</v>
      </c>
      <c r="F35">
        <f t="shared" si="2"/>
        <v>-0.1876960210096735</v>
      </c>
    </row>
    <row r="36" spans="1:6" x14ac:dyDescent="0.25">
      <c r="A36">
        <f t="shared" si="3"/>
        <v>1700</v>
      </c>
      <c r="B36">
        <v>1706</v>
      </c>
      <c r="C36">
        <v>44822</v>
      </c>
      <c r="D36">
        <f t="shared" si="0"/>
        <v>1709.8236083984375</v>
      </c>
      <c r="E36">
        <f t="shared" si="1"/>
        <v>-3.8236083984375</v>
      </c>
      <c r="F36">
        <f t="shared" si="2"/>
        <v>-0.22412710424604335</v>
      </c>
    </row>
    <row r="37" spans="1:6" x14ac:dyDescent="0.25">
      <c r="A37">
        <f t="shared" si="3"/>
        <v>1750</v>
      </c>
      <c r="B37">
        <v>1745</v>
      </c>
      <c r="C37">
        <v>45848</v>
      </c>
      <c r="D37">
        <f t="shared" si="0"/>
        <v>1748.96240234375</v>
      </c>
      <c r="E37">
        <f t="shared" si="1"/>
        <v>-3.96240234375</v>
      </c>
      <c r="F37">
        <f t="shared" si="2"/>
        <v>-0.22707176755014327</v>
      </c>
    </row>
    <row r="38" spans="1:6" x14ac:dyDescent="0.25">
      <c r="A38">
        <f t="shared" si="3"/>
        <v>1800</v>
      </c>
      <c r="B38">
        <v>1797</v>
      </c>
      <c r="C38">
        <v>47217</v>
      </c>
      <c r="D38">
        <f t="shared" si="0"/>
        <v>1801.1856079101563</v>
      </c>
      <c r="E38">
        <f t="shared" si="1"/>
        <v>-4.18560791015625</v>
      </c>
      <c r="F38">
        <f t="shared" si="2"/>
        <v>-0.23292197607992488</v>
      </c>
    </row>
    <row r="39" spans="1:6" x14ac:dyDescent="0.25">
      <c r="A39">
        <f t="shared" si="3"/>
        <v>1850</v>
      </c>
      <c r="B39">
        <v>1850</v>
      </c>
      <c r="C39">
        <v>48611</v>
      </c>
      <c r="D39">
        <f t="shared" si="0"/>
        <v>1854.3624877929688</v>
      </c>
      <c r="E39">
        <f t="shared" si="1"/>
        <v>-4.36248779296875</v>
      </c>
      <c r="F39">
        <f t="shared" si="2"/>
        <v>-0.2358101509712838</v>
      </c>
    </row>
    <row r="40" spans="1:6" x14ac:dyDescent="0.25">
      <c r="A40">
        <f t="shared" si="3"/>
        <v>1900</v>
      </c>
      <c r="B40">
        <v>1902</v>
      </c>
      <c r="C40">
        <v>49998</v>
      </c>
      <c r="D40">
        <f t="shared" si="0"/>
        <v>1907.2723388671875</v>
      </c>
      <c r="E40">
        <f t="shared" si="1"/>
        <v>-5.2723388671875</v>
      </c>
      <c r="F40">
        <f t="shared" si="2"/>
        <v>-0.27719973013604099</v>
      </c>
    </row>
    <row r="41" spans="1:6" x14ac:dyDescent="0.25">
      <c r="A41">
        <f t="shared" si="3"/>
        <v>1950</v>
      </c>
      <c r="B41">
        <v>1954</v>
      </c>
      <c r="C41">
        <v>51329</v>
      </c>
      <c r="D41">
        <f t="shared" si="0"/>
        <v>1958.0459594726563</v>
      </c>
      <c r="E41">
        <f t="shared" si="1"/>
        <v>-4.04595947265625</v>
      </c>
      <c r="F41">
        <f t="shared" si="2"/>
        <v>-0.20706036195784289</v>
      </c>
    </row>
    <row r="42" spans="1:6" x14ac:dyDescent="0.25">
      <c r="A42">
        <f t="shared" si="3"/>
        <v>2000</v>
      </c>
      <c r="B42">
        <v>2007</v>
      </c>
      <c r="C42">
        <v>52704</v>
      </c>
      <c r="D42">
        <f t="shared" si="0"/>
        <v>2010.498046875</v>
      </c>
      <c r="E42">
        <f t="shared" si="1"/>
        <v>-3.498046875</v>
      </c>
      <c r="F42">
        <f t="shared" si="2"/>
        <v>-0.1742923206278027</v>
      </c>
    </row>
    <row r="43" spans="1:6" x14ac:dyDescent="0.25">
      <c r="A43">
        <f>A42+50</f>
        <v>2050</v>
      </c>
      <c r="B43">
        <v>2046</v>
      </c>
      <c r="C43">
        <v>53726</v>
      </c>
      <c r="D43">
        <f t="shared" si="0"/>
        <v>2049.4842529296875</v>
      </c>
      <c r="E43">
        <f t="shared" si="1"/>
        <v>-3.4842529296875</v>
      </c>
      <c r="F43">
        <f t="shared" si="2"/>
        <v>-0.17029584211571358</v>
      </c>
    </row>
    <row r="44" spans="1:6" x14ac:dyDescent="0.25">
      <c r="A44">
        <f t="shared" si="3"/>
        <v>2100</v>
      </c>
      <c r="B44">
        <v>2098</v>
      </c>
      <c r="C44">
        <v>55094</v>
      </c>
      <c r="D44">
        <f t="shared" si="0"/>
        <v>2101.6693115234375</v>
      </c>
      <c r="E44">
        <f t="shared" si="1"/>
        <v>-3.6693115234375</v>
      </c>
      <c r="F44">
        <f t="shared" si="2"/>
        <v>-0.17489568748510487</v>
      </c>
    </row>
    <row r="45" spans="1:6" x14ac:dyDescent="0.25">
      <c r="A45">
        <f t="shared" si="3"/>
        <v>2150</v>
      </c>
      <c r="B45">
        <v>2150</v>
      </c>
      <c r="C45">
        <v>56501</v>
      </c>
      <c r="D45">
        <f t="shared" si="0"/>
        <v>2155.3421020507813</v>
      </c>
      <c r="E45">
        <f t="shared" si="1"/>
        <v>-5.34210205078125</v>
      </c>
      <c r="F45">
        <f t="shared" si="2"/>
        <v>-0.2484698628270349</v>
      </c>
    </row>
    <row r="46" spans="1:6" x14ac:dyDescent="0.25">
      <c r="A46">
        <f t="shared" si="3"/>
        <v>2200</v>
      </c>
      <c r="B46">
        <v>2203</v>
      </c>
      <c r="C46">
        <v>57871</v>
      </c>
      <c r="D46">
        <f t="shared" si="0"/>
        <v>2207.6034545898438</v>
      </c>
      <c r="E46">
        <f t="shared" si="1"/>
        <v>-4.60345458984375</v>
      </c>
      <c r="F46">
        <f t="shared" si="2"/>
        <v>-0.20896298637511349</v>
      </c>
    </row>
    <row r="47" spans="1:6" x14ac:dyDescent="0.25">
      <c r="A47">
        <f t="shared" si="3"/>
        <v>2250</v>
      </c>
      <c r="B47">
        <v>2255</v>
      </c>
      <c r="C47">
        <v>59203</v>
      </c>
      <c r="D47">
        <f t="shared" si="0"/>
        <v>2258.4152221679688</v>
      </c>
      <c r="E47">
        <f t="shared" si="1"/>
        <v>-3.41522216796875</v>
      </c>
      <c r="F47">
        <f t="shared" si="2"/>
        <v>-0.15145109392322614</v>
      </c>
    </row>
    <row r="48" spans="1:6" x14ac:dyDescent="0.25">
      <c r="A48">
        <f t="shared" si="3"/>
        <v>2300</v>
      </c>
      <c r="B48">
        <v>2307</v>
      </c>
      <c r="C48">
        <v>60613</v>
      </c>
      <c r="D48">
        <f t="shared" si="0"/>
        <v>2312.2024536132813</v>
      </c>
      <c r="E48">
        <f t="shared" si="1"/>
        <v>-5.20245361328125</v>
      </c>
      <c r="F48">
        <f t="shared" si="2"/>
        <v>-0.22550730876815128</v>
      </c>
    </row>
    <row r="49" spans="1:6" x14ac:dyDescent="0.25">
      <c r="A49">
        <f t="shared" si="3"/>
        <v>2350</v>
      </c>
      <c r="B49">
        <v>2307</v>
      </c>
      <c r="C49">
        <v>60617</v>
      </c>
      <c r="D49">
        <f t="shared" si="0"/>
        <v>2312.3550415039063</v>
      </c>
      <c r="E49">
        <f t="shared" si="1"/>
        <v>-5.35504150390625</v>
      </c>
      <c r="F49">
        <f t="shared" si="2"/>
        <v>-0.2321214349330841</v>
      </c>
    </row>
    <row r="50" spans="1:6" x14ac:dyDescent="0.25">
      <c r="A50">
        <f t="shared" si="3"/>
        <v>2400</v>
      </c>
      <c r="B50">
        <v>2399</v>
      </c>
      <c r="C50">
        <v>63000</v>
      </c>
      <c r="D50">
        <f t="shared" si="0"/>
        <v>2403.25927734375</v>
      </c>
      <c r="E50">
        <f t="shared" si="1"/>
        <v>-4.25927734375</v>
      </c>
      <c r="F50">
        <f t="shared" si="2"/>
        <v>-0.17754386593372237</v>
      </c>
    </row>
    <row r="51" spans="1:6" x14ac:dyDescent="0.25">
      <c r="A51">
        <f>A50+50</f>
        <v>2450</v>
      </c>
      <c r="B51">
        <v>2451</v>
      </c>
      <c r="C51">
        <v>64377</v>
      </c>
      <c r="D51">
        <f t="shared" si="0"/>
        <v>2455.7876586914063</v>
      </c>
      <c r="E51">
        <f t="shared" si="1"/>
        <v>-4.78765869140625</v>
      </c>
      <c r="F51">
        <f t="shared" si="2"/>
        <v>-0.19533491193007954</v>
      </c>
    </row>
    <row r="52" spans="1:6" x14ac:dyDescent="0.25">
      <c r="A52">
        <f>A51+50</f>
        <v>2500</v>
      </c>
      <c r="B52">
        <v>2504</v>
      </c>
      <c r="C52">
        <v>65520</v>
      </c>
      <c r="D52">
        <f t="shared" si="0"/>
        <v>2499.3896484375</v>
      </c>
      <c r="E52">
        <f t="shared" si="1"/>
        <v>4.6103515625</v>
      </c>
      <c r="F52">
        <f t="shared" si="2"/>
        <v>0.18411947134584666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D688-D383-4E07-8019-FC9E244BF918}">
  <dimension ref="A1"/>
  <sheetViews>
    <sheetView tabSelected="1" workbookViewId="0">
      <selection activeCell="J43" sqref="J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Cascading Inverting Opamps</vt:lpstr>
      <vt:lpstr>Non-Inverting Op Amp</vt:lpstr>
      <vt:lpstr>ADC</vt:lpstr>
      <vt:lpstr>OVS</vt:lpstr>
      <vt:lpstr>OVS with Non-Inverting Op 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Co-op Shaheeer R</dc:creator>
  <cp:lastModifiedBy>Co-op Shaheeer R</cp:lastModifiedBy>
  <dcterms:created xsi:type="dcterms:W3CDTF">2022-01-24T20:50:58Z</dcterms:created>
  <dcterms:modified xsi:type="dcterms:W3CDTF">2022-02-01T18:56:07Z</dcterms:modified>
</cp:coreProperties>
</file>