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0"/>
  <workbookPr hidePivotFieldList="1" defaultThemeVersion="124226"/>
  <mc:AlternateContent xmlns:mc="http://schemas.openxmlformats.org/markup-compatibility/2006">
    <mc:Choice Requires="x15">
      <x15ac:absPath xmlns:x15ac="http://schemas.microsoft.com/office/spreadsheetml/2010/11/ac" url="D:\excel\"/>
    </mc:Choice>
  </mc:AlternateContent>
  <xr:revisionPtr revIDLastSave="0" documentId="13_ncr:1_{5DD3C934-92A1-4B1C-91D1-364491DE74E0}" xr6:coauthVersionLast="47" xr6:coauthVersionMax="47" xr10:uidLastSave="{00000000-0000-0000-0000-000000000000}"/>
  <bookViews>
    <workbookView xWindow="-120" yWindow="-120" windowWidth="20730" windowHeight="11760" activeTab="4" xr2:uid="{00000000-000D-0000-FFFF-FFFF00000000}"/>
  </bookViews>
  <sheets>
    <sheet name="Assumptions" sheetId="4" r:id="rId1"/>
    <sheet name="Data Entry" sheetId="1" r:id="rId2"/>
    <sheet name="Break-Even Analysis" sheetId="5" r:id="rId3"/>
    <sheet name="Visualizations" sheetId="2" r:id="rId4"/>
    <sheet name="Dashboard" sheetId="3" r:id="rId5"/>
  </sheets>
  <definedNames>
    <definedName name="Slicer_Break_Even_Point__Units">#N/A</definedName>
    <definedName name="Slicer_Contribution_Margin">#N/A</definedName>
    <definedName name="Slicer_Item">#N/A</definedName>
    <definedName name="Slicer_Profit">#N/A</definedName>
  </definedNames>
  <calcPr calcId="191029"/>
  <pivotCaches>
    <pivotCache cacheId="5"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5" l="1"/>
  <c r="A6" i="5"/>
  <c r="A5" i="5"/>
  <c r="A4" i="5"/>
  <c r="A3" i="5"/>
  <c r="A2" i="5"/>
  <c r="C2" i="1"/>
  <c r="C2" i="5" s="1"/>
  <c r="E7" i="1"/>
  <c r="E7" i="5" s="1"/>
  <c r="E6" i="1"/>
  <c r="E6" i="5" s="1"/>
  <c r="E5" i="1"/>
  <c r="E5" i="5" s="1"/>
  <c r="E4" i="1"/>
  <c r="E4" i="5" s="1"/>
  <c r="E3" i="1"/>
  <c r="E2" i="1"/>
  <c r="E2" i="5" s="1"/>
  <c r="B7" i="1"/>
  <c r="B6" i="1"/>
  <c r="B6" i="5" s="1"/>
  <c r="B5" i="1"/>
  <c r="B4" i="1"/>
  <c r="B4" i="5" s="1"/>
  <c r="B3" i="1"/>
  <c r="B2" i="1"/>
  <c r="G2" i="1" s="1"/>
  <c r="G2" i="5" s="1"/>
  <c r="C7" i="1"/>
  <c r="C6" i="1"/>
  <c r="C5" i="1"/>
  <c r="C5" i="5" s="1"/>
  <c r="C4" i="1"/>
  <c r="C4" i="5" s="1"/>
  <c r="C3" i="1"/>
  <c r="C3" i="5" s="1"/>
  <c r="D7" i="1"/>
  <c r="D7" i="5" s="1"/>
  <c r="D6" i="1"/>
  <c r="D6" i="5" s="1"/>
  <c r="D5" i="1"/>
  <c r="D5" i="5" s="1"/>
  <c r="D4" i="1"/>
  <c r="D4" i="5" s="1"/>
  <c r="D3" i="1"/>
  <c r="D3" i="5" s="1"/>
  <c r="D2" i="1"/>
  <c r="K5" i="1"/>
  <c r="K5" i="5" s="1"/>
  <c r="K3" i="1"/>
  <c r="K3" i="5" s="1"/>
  <c r="K6" i="1"/>
  <c r="K6" i="5" s="1"/>
  <c r="L2" i="1" l="1"/>
  <c r="L5" i="1"/>
  <c r="L5" i="5" s="1"/>
  <c r="L4" i="1"/>
  <c r="L7" i="1"/>
  <c r="L3" i="1"/>
  <c r="F5" i="1"/>
  <c r="F5" i="5" s="1"/>
  <c r="L6" i="1"/>
  <c r="L6" i="5" s="1"/>
  <c r="G3" i="1"/>
  <c r="G3" i="5" s="1"/>
  <c r="G7" i="1"/>
  <c r="G7" i="5" s="1"/>
  <c r="F4" i="1"/>
  <c r="F4" i="5" s="1"/>
  <c r="F7" i="1"/>
  <c r="F7" i="5" s="1"/>
  <c r="F3" i="1"/>
  <c r="F3" i="5" s="1"/>
  <c r="F6" i="1"/>
  <c r="F6" i="5" s="1"/>
  <c r="F2" i="1"/>
  <c r="C6" i="5"/>
  <c r="B5" i="3"/>
  <c r="G4" i="1"/>
  <c r="G4" i="5" s="1"/>
  <c r="B7" i="5"/>
  <c r="D2" i="5"/>
  <c r="B2" i="5"/>
  <c r="H5" i="1"/>
  <c r="H5" i="5" s="1"/>
  <c r="J3" i="1"/>
  <c r="B3" i="5"/>
  <c r="J4" i="1"/>
  <c r="G6" i="1"/>
  <c r="G6" i="5" s="1"/>
  <c r="F2" i="5"/>
  <c r="G5" i="1"/>
  <c r="G5" i="5" s="1"/>
  <c r="B5" i="5"/>
  <c r="C7" i="5"/>
  <c r="E3" i="5"/>
  <c r="J2" i="1"/>
  <c r="H7" i="1"/>
  <c r="K7" i="1"/>
  <c r="K7" i="5" s="1"/>
  <c r="K2" i="1"/>
  <c r="K2" i="5" s="1"/>
  <c r="J5" i="1"/>
  <c r="K4" i="1"/>
  <c r="K4" i="5" s="1"/>
  <c r="L3" i="5"/>
  <c r="J7" i="1"/>
  <c r="M7" i="1" s="1"/>
  <c r="J6" i="1"/>
  <c r="L7" i="5"/>
  <c r="H6" i="1"/>
  <c r="H4" i="1"/>
  <c r="H3" i="1"/>
  <c r="L2" i="5"/>
  <c r="H2" i="1"/>
  <c r="M2" i="1" l="1"/>
  <c r="M4" i="1"/>
  <c r="M6" i="1"/>
  <c r="J3" i="5"/>
  <c r="M3" i="1"/>
  <c r="M5" i="1"/>
  <c r="L4" i="5"/>
  <c r="I5" i="1"/>
  <c r="I5" i="5" s="1"/>
  <c r="I6" i="1"/>
  <c r="I6" i="5" s="1"/>
  <c r="H6" i="5"/>
  <c r="J6" i="5"/>
  <c r="J5" i="5"/>
  <c r="B3" i="3"/>
  <c r="J2" i="5"/>
  <c r="B6" i="3"/>
  <c r="H2" i="5"/>
  <c r="I2" i="1"/>
  <c r="I2" i="5" s="1"/>
  <c r="I4" i="1"/>
  <c r="I4" i="5" s="1"/>
  <c r="H4" i="5"/>
  <c r="J7" i="5"/>
  <c r="J4" i="5"/>
  <c r="I3" i="1"/>
  <c r="I3" i="5" s="1"/>
  <c r="H3" i="5"/>
  <c r="H7" i="5"/>
  <c r="I7" i="1"/>
  <c r="I7" i="5" s="1"/>
  <c r="B4" i="3" l="1"/>
  <c r="M2" i="5"/>
  <c r="N2" i="1"/>
  <c r="N2" i="5" s="1"/>
  <c r="M6" i="5"/>
  <c r="N6" i="1"/>
  <c r="N6" i="5" s="1"/>
  <c r="M3" i="5"/>
  <c r="N3" i="1"/>
  <c r="N3" i="5" s="1"/>
  <c r="M7" i="5"/>
  <c r="N7" i="1"/>
  <c r="N7" i="5" s="1"/>
  <c r="M4" i="5"/>
  <c r="N4" i="1"/>
  <c r="N4" i="5" s="1"/>
  <c r="N5" i="1"/>
  <c r="N5" i="5" s="1"/>
  <c r="M5" i="5"/>
</calcChain>
</file>

<file path=xl/sharedStrings.xml><?xml version="1.0" encoding="utf-8"?>
<sst xmlns="http://schemas.openxmlformats.org/spreadsheetml/2006/main" count="92" uniqueCount="52">
  <si>
    <t>Item</t>
  </si>
  <si>
    <t>Selling Price per Unit ($)</t>
  </si>
  <si>
    <t>Variable Cost per Unit ($)</t>
  </si>
  <si>
    <t>Fixed Costs ($)</t>
  </si>
  <si>
    <t>User Input Units Sold</t>
  </si>
  <si>
    <t>Contribution Margin per Unit ($)</t>
  </si>
  <si>
    <t>Contribution Margin (%)</t>
  </si>
  <si>
    <t>Break-Even Point (Units)</t>
  </si>
  <si>
    <t>Break-Even Revenue ($)</t>
  </si>
  <si>
    <t>Total Revenue ($)</t>
  </si>
  <si>
    <t>Total Variable Cost ($)</t>
  </si>
  <si>
    <t>Total Cost ($)</t>
  </si>
  <si>
    <t>Profit ($)</t>
  </si>
  <si>
    <t>Profit Status</t>
  </si>
  <si>
    <t>Profit</t>
  </si>
  <si>
    <t>Loss</t>
  </si>
  <si>
    <t>EcoSmart Water Bottle</t>
  </si>
  <si>
    <t>ProNoise Wireless Earbuds</t>
  </si>
  <si>
    <t>FlexiFit Resistance Bands</t>
  </si>
  <si>
    <t>ZenGlow Facial Steamer</t>
  </si>
  <si>
    <t>UltraCharge Power Bank</t>
  </si>
  <si>
    <t>SafeTouch Smart Lock</t>
  </si>
  <si>
    <t>Assumption</t>
  </si>
  <si>
    <t>Value</t>
  </si>
  <si>
    <t>Description</t>
  </si>
  <si>
    <t>Fixed Costs Growth Rate</t>
  </si>
  <si>
    <t>Yearly growth for fixed costs</t>
  </si>
  <si>
    <t>Variable Cost per Unit Growth</t>
  </si>
  <si>
    <t>Expected growth in variable cost per unit</t>
  </si>
  <si>
    <t>Selling Price per Unit Growth</t>
  </si>
  <si>
    <t>Selling price growth per year</t>
  </si>
  <si>
    <t>Expected Units Sold Growth</t>
  </si>
  <si>
    <t>Growth in units sold per year</t>
  </si>
  <si>
    <t>Inflation Rate</t>
  </si>
  <si>
    <t>Expected inflation affecting costs</t>
  </si>
  <si>
    <t>Discount Rate</t>
  </si>
  <si>
    <t>Discount rate for future cash flows</t>
  </si>
  <si>
    <t>Tax Rate</t>
  </si>
  <si>
    <t>Tax rate for profit calculations</t>
  </si>
  <si>
    <t>Grand Total</t>
  </si>
  <si>
    <t>Count of Profit Status</t>
  </si>
  <si>
    <t>Sum of Total Variable Cost ($)</t>
  </si>
  <si>
    <t>Sum of Total Revenue ($)</t>
  </si>
  <si>
    <t>Sum of Profit ($)</t>
  </si>
  <si>
    <t>Sum of Break-Even Point (Units)</t>
  </si>
  <si>
    <t>Sum of Contribution Margin (%)</t>
  </si>
  <si>
    <t>Product Performance Dashboard</t>
  </si>
  <si>
    <t>Total Revenue</t>
  </si>
  <si>
    <t>Total Profit</t>
  </si>
  <si>
    <t>Total Fixed Costs</t>
  </si>
  <si>
    <t>Break-Even Point</t>
  </si>
  <si>
    <t>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</si>
</sst>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b/>
      <sz val="11"/>
      <color theme="1"/>
      <name val="Calibri"/>
      <family val="2"/>
      <scheme val="minor"/>
    </font>
    <font>
      <b/>
      <sz val="11"/>
      <color theme="0"/>
      <name val="Calibri"/>
      <family val="2"/>
      <scheme val="minor"/>
    </font>
    <font>
      <b/>
      <sz val="14"/>
      <color theme="1"/>
      <name val="Calibri"/>
      <family val="2"/>
      <scheme val="minor"/>
    </font>
    <font>
      <b/>
      <sz val="14"/>
      <color rgb="FFFFFF00"/>
      <name val="Calibri"/>
      <family val="2"/>
      <scheme val="minor"/>
    </font>
    <font>
      <b/>
      <sz val="12"/>
      <color theme="0"/>
      <name val="Calibri"/>
      <family val="2"/>
      <scheme val="minor"/>
    </font>
    <font>
      <b/>
      <i/>
      <sz val="24"/>
      <color theme="0"/>
      <name val="Calibri"/>
      <family val="2"/>
      <scheme val="minor"/>
    </font>
  </fonts>
  <fills count="8">
    <fill>
      <patternFill patternType="none"/>
    </fill>
    <fill>
      <patternFill patternType="gray125"/>
    </fill>
    <fill>
      <patternFill patternType="solid">
        <fgColor theme="2" tint="-0.249977111117893"/>
        <bgColor indexed="64"/>
      </patternFill>
    </fill>
    <fill>
      <patternFill patternType="solid">
        <fgColor theme="0"/>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3"/>
        <bgColor indexed="64"/>
      </patternFill>
    </fill>
    <fill>
      <patternFill patternType="solid">
        <fgColor theme="4" tint="0.79998168889431442"/>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top/>
      <bottom style="thin">
        <color auto="1"/>
      </bottom>
      <diagonal/>
    </border>
    <border>
      <left/>
      <right style="thin">
        <color auto="1"/>
      </right>
      <top/>
      <bottom/>
      <diagonal/>
    </border>
    <border>
      <left style="medium">
        <color indexed="64"/>
      </left>
      <right/>
      <top/>
      <bottom/>
      <diagonal/>
    </border>
    <border>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60">
    <xf numFmtId="0" fontId="0" fillId="0" borderId="0" xfId="0"/>
    <xf numFmtId="0" fontId="0" fillId="0" borderId="1" xfId="0" applyBorder="1"/>
    <xf numFmtId="1" fontId="0" fillId="0" borderId="1" xfId="0" applyNumberFormat="1" applyBorder="1"/>
    <xf numFmtId="0" fontId="0" fillId="2" borderId="0" xfId="0" applyFill="1"/>
    <xf numFmtId="0" fontId="0" fillId="2" borderId="0" xfId="0" applyFill="1" applyAlignment="1">
      <alignment horizontal="center"/>
    </xf>
    <xf numFmtId="0" fontId="0" fillId="3" borderId="1" xfId="0" applyFill="1" applyBorder="1"/>
    <xf numFmtId="1" fontId="0" fillId="3" borderId="1" xfId="0" applyNumberFormat="1" applyFill="1" applyBorder="1"/>
    <xf numFmtId="0" fontId="0" fillId="3" borderId="2" xfId="0" applyFill="1" applyBorder="1"/>
    <xf numFmtId="0" fontId="3" fillId="5" borderId="3" xfId="0" applyFont="1" applyFill="1" applyBorder="1" applyAlignment="1">
      <alignment horizontal="center"/>
    </xf>
    <xf numFmtId="0" fontId="3" fillId="5" borderId="4" xfId="0" applyFont="1" applyFill="1" applyBorder="1" applyAlignment="1">
      <alignment horizontal="center"/>
    </xf>
    <xf numFmtId="164" fontId="0" fillId="0" borderId="1" xfId="0" applyNumberFormat="1" applyBorder="1"/>
    <xf numFmtId="0" fontId="0" fillId="0" borderId="1" xfId="0" pivotButton="1" applyBorder="1"/>
    <xf numFmtId="0" fontId="0" fillId="0" borderId="1" xfId="0" applyBorder="1" applyAlignment="1">
      <alignment horizontal="left"/>
    </xf>
    <xf numFmtId="0" fontId="0" fillId="5" borderId="1" xfId="0" applyFill="1" applyBorder="1"/>
    <xf numFmtId="164" fontId="0" fillId="5" borderId="1" xfId="0" applyNumberFormat="1" applyFill="1" applyBorder="1"/>
    <xf numFmtId="1" fontId="0" fillId="5" borderId="1" xfId="0" applyNumberFormat="1" applyFill="1" applyBorder="1"/>
    <xf numFmtId="0" fontId="0" fillId="7" borderId="1" xfId="0" applyFill="1" applyBorder="1"/>
    <xf numFmtId="0" fontId="0" fillId="7" borderId="2" xfId="0" applyFill="1" applyBorder="1"/>
    <xf numFmtId="0" fontId="4" fillId="6" borderId="3" xfId="0" applyFont="1" applyFill="1" applyBorder="1"/>
    <xf numFmtId="0" fontId="4" fillId="6" borderId="5" xfId="0" applyFont="1" applyFill="1" applyBorder="1"/>
    <xf numFmtId="0" fontId="4" fillId="6" borderId="4" xfId="0" applyFont="1" applyFill="1" applyBorder="1"/>
    <xf numFmtId="0" fontId="1" fillId="4" borderId="2" xfId="0" applyFont="1" applyFill="1" applyBorder="1"/>
    <xf numFmtId="0" fontId="1" fillId="4" borderId="1" xfId="0" applyFont="1" applyFill="1" applyBorder="1"/>
    <xf numFmtId="9" fontId="0" fillId="5" borderId="2" xfId="0" applyNumberFormat="1" applyFill="1" applyBorder="1"/>
    <xf numFmtId="9" fontId="0" fillId="5" borderId="1" xfId="0" applyNumberFormat="1" applyFill="1" applyBorder="1"/>
    <xf numFmtId="0" fontId="0" fillId="5" borderId="6" xfId="0" applyFill="1" applyBorder="1"/>
    <xf numFmtId="0" fontId="0" fillId="5" borderId="7" xfId="0" applyFill="1" applyBorder="1"/>
    <xf numFmtId="0" fontId="5" fillId="6" borderId="8" xfId="0" applyFont="1" applyFill="1" applyBorder="1" applyAlignment="1">
      <alignment horizontal="center" vertical="top"/>
    </xf>
    <xf numFmtId="0" fontId="5" fillId="6" borderId="2" xfId="0" applyFont="1" applyFill="1" applyBorder="1" applyAlignment="1">
      <alignment horizontal="center" vertical="top"/>
    </xf>
    <xf numFmtId="0" fontId="5" fillId="6" borderId="9" xfId="0" applyFont="1" applyFill="1" applyBorder="1" applyAlignment="1">
      <alignment horizontal="center" vertical="top"/>
    </xf>
    <xf numFmtId="0" fontId="0" fillId="5" borderId="10" xfId="0" applyFill="1" applyBorder="1"/>
    <xf numFmtId="0" fontId="0" fillId="5" borderId="11" xfId="0" applyFill="1" applyBorder="1"/>
    <xf numFmtId="164" fontId="0" fillId="5" borderId="11" xfId="0" applyNumberFormat="1" applyFill="1" applyBorder="1"/>
    <xf numFmtId="1" fontId="0" fillId="5" borderId="11" xfId="0" applyNumberFormat="1" applyFill="1" applyBorder="1"/>
    <xf numFmtId="0" fontId="0" fillId="5" borderId="12" xfId="0" applyFill="1" applyBorder="1"/>
    <xf numFmtId="0" fontId="0" fillId="0" borderId="12" xfId="0" applyBorder="1"/>
    <xf numFmtId="0" fontId="0" fillId="0" borderId="6" xfId="0" applyBorder="1"/>
    <xf numFmtId="0" fontId="0" fillId="0" borderId="7" xfId="0" applyBorder="1"/>
    <xf numFmtId="0" fontId="2" fillId="6" borderId="8" xfId="0" applyFont="1" applyFill="1" applyBorder="1" applyAlignment="1">
      <alignment horizontal="center" vertical="top"/>
    </xf>
    <xf numFmtId="0" fontId="2" fillId="6" borderId="2" xfId="0" applyFont="1" applyFill="1" applyBorder="1" applyAlignment="1">
      <alignment horizontal="center" vertical="top"/>
    </xf>
    <xf numFmtId="0" fontId="2" fillId="6" borderId="9" xfId="0" applyFont="1" applyFill="1" applyBorder="1" applyAlignment="1">
      <alignment horizontal="center" vertical="top"/>
    </xf>
    <xf numFmtId="0" fontId="0" fillId="0" borderId="10" xfId="0" applyBorder="1"/>
    <xf numFmtId="0" fontId="0" fillId="0" borderId="11" xfId="0" applyBorder="1"/>
    <xf numFmtId="164" fontId="0" fillId="0" borderId="11" xfId="0" applyNumberFormat="1" applyBorder="1"/>
    <xf numFmtId="1" fontId="0" fillId="0" borderId="11" xfId="0" applyNumberFormat="1" applyBorder="1"/>
    <xf numFmtId="0" fontId="0" fillId="0" borderId="16" xfId="0" applyBorder="1"/>
    <xf numFmtId="0" fontId="0" fillId="0" borderId="15" xfId="0" applyBorder="1"/>
    <xf numFmtId="0" fontId="0" fillId="0" borderId="8" xfId="0" applyBorder="1"/>
    <xf numFmtId="0" fontId="0" fillId="0" borderId="9" xfId="0" applyBorder="1"/>
    <xf numFmtId="0" fontId="0" fillId="0" borderId="13" xfId="0" applyBorder="1"/>
    <xf numFmtId="0" fontId="0" fillId="0" borderId="18" xfId="0" applyBorder="1"/>
    <xf numFmtId="1" fontId="0" fillId="0" borderId="12" xfId="0" applyNumberFormat="1" applyBorder="1"/>
    <xf numFmtId="1" fontId="0" fillId="0" borderId="9" xfId="0" applyNumberFormat="1" applyBorder="1"/>
    <xf numFmtId="0" fontId="0" fillId="0" borderId="14" xfId="0" applyBorder="1"/>
    <xf numFmtId="0" fontId="0" fillId="0" borderId="11" xfId="0" applyBorder="1" applyAlignment="1">
      <alignment horizontal="left"/>
    </xf>
    <xf numFmtId="0" fontId="0" fillId="0" borderId="19" xfId="0" applyBorder="1" applyAlignment="1">
      <alignment horizontal="left"/>
    </xf>
    <xf numFmtId="0" fontId="0" fillId="0" borderId="2" xfId="0" applyBorder="1" applyAlignment="1">
      <alignment horizontal="left"/>
    </xf>
    <xf numFmtId="1" fontId="0" fillId="0" borderId="14" xfId="0" applyNumberFormat="1" applyBorder="1"/>
    <xf numFmtId="0" fontId="6" fillId="6" borderId="17" xfId="0" applyFont="1" applyFill="1" applyBorder="1" applyAlignment="1">
      <alignment horizontal="center"/>
    </xf>
    <xf numFmtId="0" fontId="6" fillId="6" borderId="0" xfId="0" applyFont="1" applyFill="1" applyAlignment="1">
      <alignment horizontal="center"/>
    </xf>
  </cellXfs>
  <cellStyles count="1">
    <cellStyle name="Normal" xfId="0" builtinId="0"/>
  </cellStyles>
  <dxfs count="59">
    <dxf>
      <border diagonalUp="0" diagonalDown="0">
        <left style="thin">
          <color auto="1"/>
        </left>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numFmt numFmtId="1" formatCode="0"/>
      <border diagonalUp="0" diagonalDown="0">
        <left style="thin">
          <color auto="1"/>
        </left>
        <right style="thin">
          <color auto="1"/>
        </right>
        <top style="thin">
          <color auto="1"/>
        </top>
        <bottom style="thin">
          <color auto="1"/>
        </bottom>
        <vertical/>
        <horizontal/>
      </border>
    </dxf>
    <dxf>
      <numFmt numFmtId="1" formatCode="0"/>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numFmt numFmtId="1" formatCode="0"/>
      <border diagonalUp="0" diagonalDown="0">
        <left style="thin">
          <color auto="1"/>
        </left>
        <right style="thin">
          <color auto="1"/>
        </right>
        <top style="thin">
          <color auto="1"/>
        </top>
        <bottom style="thin">
          <color auto="1"/>
        </bottom>
        <vertical/>
        <horizontal/>
      </border>
    </dxf>
    <dxf>
      <numFmt numFmtId="1" formatCode="0"/>
      <border diagonalUp="0" diagonalDown="0">
        <left style="thin">
          <color auto="1"/>
        </left>
        <right style="thin">
          <color auto="1"/>
        </right>
        <top style="thin">
          <color auto="1"/>
        </top>
        <bottom style="thin">
          <color auto="1"/>
        </bottom>
        <vertical/>
        <horizontal/>
      </border>
    </dxf>
    <dxf>
      <numFmt numFmtId="164" formatCode="0.0"/>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1"/>
        <color theme="0"/>
        <name val="Calibri"/>
        <family val="2"/>
        <scheme val="minor"/>
      </font>
      <fill>
        <patternFill patternType="solid">
          <fgColor indexed="64"/>
          <bgColor theme="3"/>
        </patternFill>
      </fill>
      <alignment horizontal="center" vertical="top" textRotation="0" wrapText="0" indent="0" justifyLastLine="0" shrinkToFit="0" readingOrder="0"/>
      <border diagonalUp="0" diagonalDown="0" outline="0">
        <left style="thin">
          <color auto="1"/>
        </left>
        <right style="thin">
          <color auto="1"/>
        </right>
        <top/>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fgColor indexed="64"/>
          <bgColor theme="3" tint="0.79998168889431442"/>
        </patternFill>
      </fill>
      <border diagonalUp="0" diagonalDown="0">
        <left style="thin">
          <color auto="1"/>
        </left>
        <right/>
        <top style="thin">
          <color auto="1"/>
        </top>
        <bottom style="thin">
          <color auto="1"/>
        </bottom>
        <vertical/>
        <horizontal/>
      </border>
    </dxf>
    <dxf>
      <fill>
        <patternFill patternType="solid">
          <fgColor indexed="64"/>
          <bgColor theme="3" tint="0.79998168889431442"/>
        </patternFill>
      </fill>
      <border diagonalUp="0" diagonalDown="0">
        <left style="thin">
          <color auto="1"/>
        </left>
        <right style="thin">
          <color auto="1"/>
        </right>
        <top style="thin">
          <color auto="1"/>
        </top>
        <bottom style="thin">
          <color auto="1"/>
        </bottom>
        <vertical/>
        <horizontal/>
      </border>
    </dxf>
    <dxf>
      <fill>
        <patternFill patternType="solid">
          <fgColor indexed="64"/>
          <bgColor theme="3" tint="0.79998168889431442"/>
        </patternFill>
      </fill>
      <border diagonalUp="0" diagonalDown="0">
        <left style="thin">
          <color auto="1"/>
        </left>
        <right style="thin">
          <color auto="1"/>
        </right>
        <top style="thin">
          <color auto="1"/>
        </top>
        <bottom style="thin">
          <color auto="1"/>
        </bottom>
        <vertical/>
        <horizontal/>
      </border>
    </dxf>
    <dxf>
      <fill>
        <patternFill patternType="solid">
          <fgColor indexed="64"/>
          <bgColor theme="3" tint="0.79998168889431442"/>
        </patternFill>
      </fill>
      <border diagonalUp="0" diagonalDown="0">
        <left style="thin">
          <color auto="1"/>
        </left>
        <right style="thin">
          <color auto="1"/>
        </right>
        <top style="thin">
          <color auto="1"/>
        </top>
        <bottom style="thin">
          <color auto="1"/>
        </bottom>
        <vertical/>
        <horizontal/>
      </border>
    </dxf>
    <dxf>
      <fill>
        <patternFill patternType="solid">
          <fgColor indexed="64"/>
          <bgColor theme="3" tint="0.79998168889431442"/>
        </patternFill>
      </fill>
      <border diagonalUp="0" diagonalDown="0">
        <left style="thin">
          <color auto="1"/>
        </left>
        <right style="thin">
          <color auto="1"/>
        </right>
        <top style="thin">
          <color auto="1"/>
        </top>
        <bottom style="thin">
          <color auto="1"/>
        </bottom>
        <vertical/>
        <horizontal/>
      </border>
    </dxf>
    <dxf>
      <numFmt numFmtId="1" formatCode="0"/>
      <fill>
        <patternFill patternType="solid">
          <fgColor indexed="64"/>
          <bgColor theme="3" tint="0.79998168889431442"/>
        </patternFill>
      </fill>
      <border diagonalUp="0" diagonalDown="0">
        <left style="thin">
          <color auto="1"/>
        </left>
        <right style="thin">
          <color auto="1"/>
        </right>
        <top style="thin">
          <color auto="1"/>
        </top>
        <bottom style="thin">
          <color auto="1"/>
        </bottom>
        <vertical/>
        <horizontal/>
      </border>
    </dxf>
    <dxf>
      <numFmt numFmtId="1" formatCode="0"/>
      <fill>
        <patternFill patternType="solid">
          <fgColor indexed="64"/>
          <bgColor theme="3" tint="0.79998168889431442"/>
        </patternFill>
      </fill>
      <border diagonalUp="0" diagonalDown="0">
        <left style="thin">
          <color auto="1"/>
        </left>
        <right style="thin">
          <color auto="1"/>
        </right>
        <top style="thin">
          <color auto="1"/>
        </top>
        <bottom style="thin">
          <color auto="1"/>
        </bottom>
        <vertical/>
        <horizontal/>
      </border>
    </dxf>
    <dxf>
      <numFmt numFmtId="164" formatCode="0.0"/>
      <fill>
        <patternFill patternType="solid">
          <fgColor indexed="64"/>
          <bgColor theme="3" tint="0.79998168889431442"/>
        </patternFill>
      </fill>
      <border diagonalUp="0" diagonalDown="0">
        <left style="thin">
          <color auto="1"/>
        </left>
        <right style="thin">
          <color auto="1"/>
        </right>
        <top style="thin">
          <color auto="1"/>
        </top>
        <bottom style="thin">
          <color auto="1"/>
        </bottom>
        <vertical/>
        <horizontal/>
      </border>
    </dxf>
    <dxf>
      <fill>
        <patternFill patternType="solid">
          <fgColor indexed="64"/>
          <bgColor theme="3" tint="0.79998168889431442"/>
        </patternFill>
      </fill>
      <border diagonalUp="0" diagonalDown="0">
        <left style="thin">
          <color auto="1"/>
        </left>
        <right style="thin">
          <color auto="1"/>
        </right>
        <top style="thin">
          <color auto="1"/>
        </top>
        <bottom style="thin">
          <color auto="1"/>
        </bottom>
        <vertical/>
        <horizontal/>
      </border>
    </dxf>
    <dxf>
      <fill>
        <patternFill patternType="solid">
          <fgColor indexed="64"/>
          <bgColor theme="3" tint="0.79998168889431442"/>
        </patternFill>
      </fill>
      <border diagonalUp="0" diagonalDown="0">
        <left style="thin">
          <color auto="1"/>
        </left>
        <right style="thin">
          <color auto="1"/>
        </right>
        <top style="thin">
          <color auto="1"/>
        </top>
        <bottom style="thin">
          <color auto="1"/>
        </bottom>
        <vertical/>
        <horizontal/>
      </border>
    </dxf>
    <dxf>
      <fill>
        <patternFill patternType="solid">
          <fgColor indexed="64"/>
          <bgColor theme="3" tint="0.79998168889431442"/>
        </patternFill>
      </fill>
      <border diagonalUp="0" diagonalDown="0">
        <left style="thin">
          <color auto="1"/>
        </left>
        <right style="thin">
          <color auto="1"/>
        </right>
        <top style="thin">
          <color auto="1"/>
        </top>
        <bottom style="thin">
          <color auto="1"/>
        </bottom>
        <vertical/>
        <horizontal/>
      </border>
    </dxf>
    <dxf>
      <fill>
        <patternFill patternType="solid">
          <fgColor indexed="64"/>
          <bgColor theme="3" tint="0.79998168889431442"/>
        </patternFill>
      </fill>
      <border diagonalUp="0" diagonalDown="0">
        <left style="thin">
          <color auto="1"/>
        </left>
        <right style="thin">
          <color auto="1"/>
        </right>
        <top style="thin">
          <color auto="1"/>
        </top>
        <bottom style="thin">
          <color auto="1"/>
        </bottom>
        <vertical/>
        <horizontal/>
      </border>
    </dxf>
    <dxf>
      <fill>
        <patternFill patternType="solid">
          <fgColor indexed="64"/>
          <bgColor theme="3" tint="0.79998168889431442"/>
        </patternFill>
      </fill>
      <border diagonalUp="0" diagonalDown="0">
        <left style="thin">
          <color auto="1"/>
        </left>
        <right style="thin">
          <color auto="1"/>
        </right>
        <top style="thin">
          <color auto="1"/>
        </top>
        <bottom style="thin">
          <color auto="1"/>
        </bottom>
        <vertical/>
        <horizontal/>
      </border>
    </dxf>
    <dxf>
      <fill>
        <patternFill patternType="solid">
          <fgColor indexed="64"/>
          <bgColor theme="3" tint="0.79998168889431442"/>
        </patternFill>
      </fill>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ill>
        <patternFill patternType="solid">
          <fgColor indexed="64"/>
          <bgColor theme="3" tint="0.79998168889431442"/>
        </patternFill>
      </fill>
    </dxf>
    <dxf>
      <border outline="0">
        <bottom style="thin">
          <color auto="1"/>
        </bottom>
      </border>
    </dxf>
    <dxf>
      <font>
        <b/>
        <i val="0"/>
        <strike val="0"/>
        <condense val="0"/>
        <extend val="0"/>
        <outline val="0"/>
        <shadow val="0"/>
        <u val="none"/>
        <vertAlign val="baseline"/>
        <sz val="12"/>
        <color theme="0"/>
        <name val="Calibri"/>
        <family val="2"/>
        <scheme val="minor"/>
      </font>
      <fill>
        <patternFill patternType="solid">
          <fgColor indexed="64"/>
          <bgColor theme="3"/>
        </patternFill>
      </fill>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[10.BreakEven_Financial_Model.xlsx]Break-Even Analysis!PivotTable1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Product Profit Status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s>
    <c:plotArea>
      <c:layout/>
      <c:doughnutChart>
        <c:varyColors val="1"/>
        <c:ser>
          <c:idx val="0"/>
          <c:order val="0"/>
          <c:tx>
            <c:strRef>
              <c:f>'Break-Even Analysis'!$B$9:$B$10</c:f>
              <c:strCache>
                <c:ptCount val="1"/>
                <c:pt idx="0">
                  <c:v>Loss</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7A4A-4F19-BCF7-4D93722C5F37}"/>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7A4A-4F19-BCF7-4D93722C5F37}"/>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7A4A-4F19-BCF7-4D93722C5F37}"/>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7A4A-4F19-BCF7-4D93722C5F37}"/>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9-7A4A-4F19-BCF7-4D93722C5F37}"/>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B-7A4A-4F19-BCF7-4D93722C5F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'Break-Even Analysis'!$A$11:$A$17</c:f>
              <c:strCache>
                <c:ptCount val="6"/>
                <c:pt idx="0">
                  <c:v>EcoSmart Water Bottle</c:v>
                </c:pt>
                <c:pt idx="1">
                  <c:v>FlexiFit Resistance Bands</c:v>
                </c:pt>
                <c:pt idx="2">
                  <c:v>ProNoise Wireless Earbuds</c:v>
                </c:pt>
                <c:pt idx="3">
                  <c:v>SafeTouch Smart Lock</c:v>
                </c:pt>
                <c:pt idx="4">
                  <c:v>UltraCharge Power Bank</c:v>
                </c:pt>
                <c:pt idx="5">
                  <c:v>ZenGlow Facial Steamer</c:v>
                </c:pt>
              </c:strCache>
            </c:strRef>
          </c:cat>
          <c:val>
            <c:numRef>
              <c:f>'Break-Even Analysis'!$B$11:$B$17</c:f>
              <c:numCache>
                <c:formatCode>General</c:formatCode>
                <c:ptCount val="6"/>
                <c:pt idx="1">
                  <c:v>1</c:v>
                </c:pt>
                <c:pt idx="4">
                  <c:v>1</c:v>
                </c:pt>
              </c:numCache>
            </c:numRef>
          </c:val>
          <c:extLst>
            <c:ext xmlns:c16="http://schemas.microsoft.com/office/drawing/2014/chart" uri="{C3380CC4-5D6E-409C-BE32-E72D297353CC}">
              <c16:uniqueId val="{0000000C-7A4A-4F19-BCF7-4D93722C5F37}"/>
            </c:ext>
          </c:extLst>
        </c:ser>
        <c:ser>
          <c:idx val="1"/>
          <c:order val="1"/>
          <c:tx>
            <c:strRef>
              <c:f>'Break-Even Analysis'!$C$9:$C$10</c:f>
              <c:strCache>
                <c:ptCount val="1"/>
                <c:pt idx="0">
                  <c:v>Profit</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D-96BB-4E4D-BE95-10D2F41C7F5C}"/>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F-96BB-4E4D-BE95-10D2F41C7F5C}"/>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1-96BB-4E4D-BE95-10D2F41C7F5C}"/>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3-96BB-4E4D-BE95-10D2F41C7F5C}"/>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5-96BB-4E4D-BE95-10D2F41C7F5C}"/>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7-96BB-4E4D-BE95-10D2F41C7F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'Break-Even Analysis'!$A$11:$A$17</c:f>
              <c:strCache>
                <c:ptCount val="6"/>
                <c:pt idx="0">
                  <c:v>EcoSmart Water Bottle</c:v>
                </c:pt>
                <c:pt idx="1">
                  <c:v>FlexiFit Resistance Bands</c:v>
                </c:pt>
                <c:pt idx="2">
                  <c:v>ProNoise Wireless Earbuds</c:v>
                </c:pt>
                <c:pt idx="3">
                  <c:v>SafeTouch Smart Lock</c:v>
                </c:pt>
                <c:pt idx="4">
                  <c:v>UltraCharge Power Bank</c:v>
                </c:pt>
                <c:pt idx="5">
                  <c:v>ZenGlow Facial Steamer</c:v>
                </c:pt>
              </c:strCache>
            </c:strRef>
          </c:cat>
          <c:val>
            <c:numRef>
              <c:f>'Break-Even Analysis'!$C$11:$C$17</c:f>
              <c:numCache>
                <c:formatCode>General</c:formatCode>
                <c:ptCount val="6"/>
                <c:pt idx="0">
                  <c:v>1</c:v>
                </c:pt>
                <c:pt idx="2">
                  <c:v>1</c:v>
                </c:pt>
                <c:pt idx="3">
                  <c:v>1</c:v>
                </c:pt>
                <c:pt idx="5">
                  <c:v>1</c:v>
                </c:pt>
              </c:numCache>
            </c:numRef>
          </c:val>
          <c:extLst>
            <c:ext xmlns:c16="http://schemas.microsoft.com/office/drawing/2014/chart" uri="{C3380CC4-5D6E-409C-BE32-E72D297353CC}">
              <c16:uniqueId val="{00000018-86D4-4119-9042-70EE9673515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[10.BreakEven_Financial_Model.xlsx]Break-Even Analysis!PivotTable2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Revenue, Costs, and Profit Comparison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'Break-Even Analysis'!$G$9</c:f>
              <c:strCache>
                <c:ptCount val="1"/>
                <c:pt idx="0">
                  <c:v>Sum of Total Revenue ($)</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'Break-Even Analysis'!$F$10:$F$16</c:f>
              <c:strCache>
                <c:ptCount val="6"/>
                <c:pt idx="0">
                  <c:v>EcoSmart Water Bottle</c:v>
                </c:pt>
                <c:pt idx="1">
                  <c:v>FlexiFit Resistance Bands</c:v>
                </c:pt>
                <c:pt idx="2">
                  <c:v>ProNoise Wireless Earbuds</c:v>
                </c:pt>
                <c:pt idx="3">
                  <c:v>SafeTouch Smart Lock</c:v>
                </c:pt>
                <c:pt idx="4">
                  <c:v>UltraCharge Power Bank</c:v>
                </c:pt>
                <c:pt idx="5">
                  <c:v>ZenGlow Facial Steamer</c:v>
                </c:pt>
              </c:strCache>
            </c:strRef>
          </c:cat>
          <c:val>
            <c:numRef>
              <c:f>'Break-Even Analysis'!$G$10:$G$16</c:f>
              <c:numCache>
                <c:formatCode>General</c:formatCode>
                <c:ptCount val="6"/>
                <c:pt idx="0">
                  <c:v>28600</c:v>
                </c:pt>
                <c:pt idx="1">
                  <c:v>34320</c:v>
                </c:pt>
                <c:pt idx="2">
                  <c:v>36608.000000000007</c:v>
                </c:pt>
                <c:pt idx="3">
                  <c:v>36036</c:v>
                </c:pt>
                <c:pt idx="4">
                  <c:v>27456.000000000007</c:v>
                </c:pt>
                <c:pt idx="5">
                  <c:v>41184.000000000007</c:v>
                </c:pt>
              </c:numCache>
            </c:numRef>
          </c:val>
          <c:extLst>
            <c:ext xmlns:c16="http://schemas.microsoft.com/office/drawing/2014/chart" uri="{C3380CC4-5D6E-409C-BE32-E72D297353CC}">
              <c16:uniqueId val="{00000000-304C-445B-B7F7-7E0E60B9F452}"/>
            </c:ext>
          </c:extLst>
        </c:ser>
        <c:ser>
          <c:idx val="1"/>
          <c:order val="1"/>
          <c:tx>
            <c:strRef>
              <c:f>'Break-Even Analysis'!$H$9</c:f>
              <c:strCache>
                <c:ptCount val="1"/>
                <c:pt idx="0">
                  <c:v>Sum of Total Variable Cost ($)</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'Break-Even Analysis'!$F$10:$F$16</c:f>
              <c:strCache>
                <c:ptCount val="6"/>
                <c:pt idx="0">
                  <c:v>EcoSmart Water Bottle</c:v>
                </c:pt>
                <c:pt idx="1">
                  <c:v>FlexiFit Resistance Bands</c:v>
                </c:pt>
                <c:pt idx="2">
                  <c:v>ProNoise Wireless Earbuds</c:v>
                </c:pt>
                <c:pt idx="3">
                  <c:v>SafeTouch Smart Lock</c:v>
                </c:pt>
                <c:pt idx="4">
                  <c:v>UltraCharge Power Bank</c:v>
                </c:pt>
                <c:pt idx="5">
                  <c:v>ZenGlow Facial Steamer</c:v>
                </c:pt>
              </c:strCache>
            </c:strRef>
          </c:cat>
          <c:val>
            <c:numRef>
              <c:f>'Break-Even Analysis'!$H$10:$H$16</c:f>
              <c:numCache>
                <c:formatCode>General</c:formatCode>
                <c:ptCount val="6"/>
                <c:pt idx="0">
                  <c:v>16995</c:v>
                </c:pt>
                <c:pt idx="1">
                  <c:v>20394</c:v>
                </c:pt>
                <c:pt idx="2">
                  <c:v>18128.000000000004</c:v>
                </c:pt>
                <c:pt idx="3">
                  <c:v>17844.750000000004</c:v>
                </c:pt>
                <c:pt idx="4">
                  <c:v>20394.000000000004</c:v>
                </c:pt>
                <c:pt idx="5">
                  <c:v>16995</c:v>
                </c:pt>
              </c:numCache>
            </c:numRef>
          </c:val>
          <c:extLst>
            <c:ext xmlns:c16="http://schemas.microsoft.com/office/drawing/2014/chart" uri="{C3380CC4-5D6E-409C-BE32-E72D297353CC}">
              <c16:uniqueId val="{00000001-304C-445B-B7F7-7E0E60B9F452}"/>
            </c:ext>
          </c:extLst>
        </c:ser>
        <c:ser>
          <c:idx val="2"/>
          <c:order val="2"/>
          <c:tx>
            <c:strRef>
              <c:f>'Break-Even Analysis'!$I$9</c:f>
              <c:strCache>
                <c:ptCount val="1"/>
                <c:pt idx="0">
                  <c:v>Sum of Profit ($)</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'Break-Even Analysis'!$F$10:$F$16</c:f>
              <c:strCache>
                <c:ptCount val="6"/>
                <c:pt idx="0">
                  <c:v>EcoSmart Water Bottle</c:v>
                </c:pt>
                <c:pt idx="1">
                  <c:v>FlexiFit Resistance Bands</c:v>
                </c:pt>
                <c:pt idx="2">
                  <c:v>ProNoise Wireless Earbuds</c:v>
                </c:pt>
                <c:pt idx="3">
                  <c:v>SafeTouch Smart Lock</c:v>
                </c:pt>
                <c:pt idx="4">
                  <c:v>UltraCharge Power Bank</c:v>
                </c:pt>
                <c:pt idx="5">
                  <c:v>ZenGlow Facial Steamer</c:v>
                </c:pt>
              </c:strCache>
            </c:strRef>
          </c:cat>
          <c:val>
            <c:numRef>
              <c:f>'Break-Even Analysis'!$I$10:$I$16</c:f>
              <c:numCache>
                <c:formatCode>General</c:formatCode>
                <c:ptCount val="6"/>
                <c:pt idx="0">
                  <c:v>1105</c:v>
                </c:pt>
                <c:pt idx="1">
                  <c:v>-7074</c:v>
                </c:pt>
                <c:pt idx="2">
                  <c:v>2730.0000000000073</c:v>
                </c:pt>
                <c:pt idx="3">
                  <c:v>3491.2499999999964</c:v>
                </c:pt>
                <c:pt idx="4">
                  <c:v>-19187.999999999993</c:v>
                </c:pt>
                <c:pt idx="5">
                  <c:v>11589.000000000007</c:v>
                </c:pt>
              </c:numCache>
            </c:numRef>
          </c:val>
          <c:extLst>
            <c:ext xmlns:c16="http://schemas.microsoft.com/office/drawing/2014/chart" uri="{C3380CC4-5D6E-409C-BE32-E72D297353CC}">
              <c16:uniqueId val="{00000002-304C-445B-B7F7-7E0E60B9F452}"/>
            </c:ext>
          </c:extLst>
        </c:ser>
        <c:dLbls>
          <c:showLegendKey val="0"/>
          <c:showVal val="0"/>
          <c:showCatName val="0"/>
          <c:showSerName val="0"/>
          <c:showPercent val="0"/>
          <c:showBubbleSize val="0"/>
        </c:dLbls>
        <c:gapWidth val="100"/>
        <c:overlap val="-24"/>
        <c:axId val="1054142399"/>
        <c:axId val="1054142879"/>
      </c:barChart>
      <c:catAx>
        <c:axId val="10541423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Products</a:t>
                </a:r>
              </a:p>
            </c:rich>
          </c:tx>
          <c:layout>
            <c:manualLayout>
              <c:xMode val="edge"/>
              <c:yMode val="edge"/>
              <c:x val="0.34526968503937006"/>
              <c:y val="0.8195158938466025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54142879"/>
        <c:crosses val="autoZero"/>
        <c:auto val="1"/>
        <c:lblAlgn val="ctr"/>
        <c:lblOffset val="100"/>
        <c:noMultiLvlLbl val="0"/>
      </c:catAx>
      <c:valAx>
        <c:axId val="1054142879"/>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Monetary Values</a:t>
                </a:r>
              </a:p>
            </c:rich>
          </c:tx>
          <c:layout>
            <c:manualLayout>
              <c:xMode val="edge"/>
              <c:yMode val="edge"/>
              <c:x val="1.6666666666666666E-2"/>
              <c:y val="0.3281025809273840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5414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[10.BreakEven_Financial_Model.xlsx]Break-Even Analysis!PivotTable3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Break-Even Point and Contribution Margin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'Break-Even Analysis'!$L$9</c:f>
              <c:strCache>
                <c:ptCount val="1"/>
                <c:pt idx="0">
                  <c:v>Sum of Break-Even Point (Units)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'Break-Even Analysis'!$K$10:$K$16</c:f>
              <c:strCache>
                <c:ptCount val="6"/>
                <c:pt idx="0">
                  <c:v>EcoSmart Water Bottle</c:v>
                </c:pt>
                <c:pt idx="1">
                  <c:v>FlexiFit Resistance Bands</c:v>
                </c:pt>
                <c:pt idx="2">
                  <c:v>ProNoise Wireless Earbuds</c:v>
                </c:pt>
                <c:pt idx="3">
                  <c:v>SafeTouch Smart Lock</c:v>
                </c:pt>
                <c:pt idx="4">
                  <c:v>UltraCharge Power Bank</c:v>
                </c:pt>
                <c:pt idx="5">
                  <c:v>ZenGlow Facial Steamer</c:v>
                </c:pt>
              </c:strCache>
            </c:strRef>
          </c:cat>
          <c:val>
            <c:numRef>
              <c:f>'Break-Even Analysis'!$L$10:$L$16</c:f>
              <c:numCache>
                <c:formatCode>0</c:formatCode>
                <c:ptCount val="6"/>
                <c:pt idx="0">
                  <c:v>497.63033175355457</c:v>
                </c:pt>
                <c:pt idx="1">
                  <c:v>497.63033175355457</c:v>
                </c:pt>
                <c:pt idx="2">
                  <c:v>375</c:v>
                </c:pt>
                <c:pt idx="3">
                  <c:v>400.00000000000006</c:v>
                </c:pt>
                <c:pt idx="4">
                  <c:v>817.75700934579413</c:v>
                </c:pt>
                <c:pt idx="5">
                  <c:v>343.79263301500674</c:v>
                </c:pt>
              </c:numCache>
            </c:numRef>
          </c:val>
          <c:extLst>
            <c:ext xmlns:c16="http://schemas.microsoft.com/office/drawing/2014/chart" uri="{C3380CC4-5D6E-409C-BE32-E72D297353CC}">
              <c16:uniqueId val="{00000000-F4C6-4508-9DFB-F49A104042F5}"/>
            </c:ext>
          </c:extLst>
        </c:ser>
        <c:dLbls>
          <c:showLegendKey val="0"/>
          <c:showVal val="0"/>
          <c:showCatName val="0"/>
          <c:showSerName val="0"/>
          <c:showPercent val="0"/>
          <c:showBubbleSize val="0"/>
        </c:dLbls>
        <c:gapWidth val="219"/>
        <c:overlap val="-27"/>
        <c:axId val="1054150079"/>
        <c:axId val="1054132799"/>
      </c:barChart>
      <c:lineChart>
        <c:grouping val="standard"/>
        <c:varyColors val="0"/>
        <c:ser>
          <c:idx val="1"/>
          <c:order val="1"/>
          <c:tx>
            <c:strRef>
              <c:f>'Break-Even Analysis'!$M$9</c:f>
              <c:strCache>
                <c:ptCount val="1"/>
                <c:pt idx="0">
                  <c:v>Sum of Contribution Margin (%)</c:v>
                </c:pt>
              </c:strCache>
            </c:strRef>
          </c:tx>
          <c:spPr>
            <a:ln w="31750"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cat>
            <c:strRef>
              <c:f>'Break-Even Analysis'!$K$10:$K$16</c:f>
              <c:strCache>
                <c:ptCount val="6"/>
                <c:pt idx="0">
                  <c:v>EcoSmart Water Bottle</c:v>
                </c:pt>
                <c:pt idx="1">
                  <c:v>FlexiFit Resistance Bands</c:v>
                </c:pt>
                <c:pt idx="2">
                  <c:v>ProNoise Wireless Earbuds</c:v>
                </c:pt>
                <c:pt idx="3">
                  <c:v>SafeTouch Smart Lock</c:v>
                </c:pt>
                <c:pt idx="4">
                  <c:v>UltraCharge Power Bank</c:v>
                </c:pt>
                <c:pt idx="5">
                  <c:v>ZenGlow Facial Steamer</c:v>
                </c:pt>
              </c:strCache>
            </c:strRef>
          </c:cat>
          <c:val>
            <c:numRef>
              <c:f>'Break-Even Analysis'!$M$10:$M$16</c:f>
              <c:numCache>
                <c:formatCode>General</c:formatCode>
                <c:ptCount val="6"/>
                <c:pt idx="0">
                  <c:v>1.6828478964401294</c:v>
                </c:pt>
                <c:pt idx="1">
                  <c:v>1.6828478964401294</c:v>
                </c:pt>
                <c:pt idx="2">
                  <c:v>2.0194174757281553</c:v>
                </c:pt>
                <c:pt idx="3">
                  <c:v>2.0194174757281549</c:v>
                </c:pt>
                <c:pt idx="4">
                  <c:v>1.3462783171521036</c:v>
                </c:pt>
                <c:pt idx="5">
                  <c:v>2.4233009708737865</c:v>
                </c:pt>
              </c:numCache>
            </c:numRef>
          </c:val>
          <c:smooth val="0"/>
          <c:extLst>
            <c:ext xmlns:c16="http://schemas.microsoft.com/office/drawing/2014/chart" uri="{C3380CC4-5D6E-409C-BE32-E72D297353CC}">
              <c16:uniqueId val="{00000001-F4C6-4508-9DFB-F49A104042F5}"/>
            </c:ext>
          </c:extLst>
        </c:ser>
        <c:dLbls>
          <c:showLegendKey val="0"/>
          <c:showVal val="0"/>
          <c:showCatName val="0"/>
          <c:showSerName val="0"/>
          <c:showPercent val="0"/>
          <c:showBubbleSize val="0"/>
        </c:dLbls>
        <c:marker val="1"/>
        <c:smooth val="0"/>
        <c:axId val="1054154399"/>
        <c:axId val="1054146719"/>
      </c:lineChart>
      <c:catAx>
        <c:axId val="105415007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54132799"/>
        <c:crosses val="autoZero"/>
        <c:auto val="1"/>
        <c:lblAlgn val="ctr"/>
        <c:lblOffset val="100"/>
        <c:noMultiLvlLbl val="0"/>
      </c:catAx>
      <c:valAx>
        <c:axId val="1054132799"/>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54150079"/>
        <c:crosses val="autoZero"/>
        <c:crossBetween val="between"/>
      </c:valAx>
      <c:valAx>
        <c:axId val="1054146719"/>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54154399"/>
        <c:crosses val="max"/>
        <c:crossBetween val="between"/>
      </c:valAx>
      <c:catAx>
        <c:axId val="1054154399"/>
        <c:scaling>
          <c:orientation val="minMax"/>
        </c:scaling>
        <c:delete val="1"/>
        <c:axPos val="b"/>
        <c:numFmt formatCode="General" sourceLinked="1"/>
        <c:majorTickMark val="none"/>
        <c:minorTickMark val="none"/>
        <c:tickLblPos val="nextTo"/>
        <c:crossAx val="105414671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[10.BreakEven_Financial_Model.xlsx]Break-Even Analysis!PivotTable1</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Product Profit Status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8"/>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pivotFmt>
      <c:pivotFmt>
        <c:idx val="19"/>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pivotFmt>
      <c:pivotFmt>
        <c:idx val="2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pivotFmt>
      <c:pivotFmt>
        <c:idx val="21"/>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pivotFmt>
      <c:pivotFmt>
        <c:idx val="2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pivotFmt>
      <c:pivotFmt>
        <c:idx val="2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pivotFmt>
      <c:pivotFmt>
        <c:idx val="27"/>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pivotFmt>
      <c:pivotFmt>
        <c:idx val="28"/>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pivotFmt>
      <c:pivotFmt>
        <c:idx val="2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s>
    <c:plotArea>
      <c:layout/>
      <c:doughnutChart>
        <c:varyColors val="1"/>
        <c:ser>
          <c:idx val="0"/>
          <c:order val="0"/>
          <c:tx>
            <c:strRef>
              <c:f>'Break-Even Analysis'!$B$9:$B$10</c:f>
              <c:strCache>
                <c:ptCount val="1"/>
                <c:pt idx="0">
                  <c:v>Loss</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1BD5-4E20-9C5A-7A42F65BEFD8}"/>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1BD5-4E20-9C5A-7A42F65BEFD8}"/>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1BD5-4E20-9C5A-7A42F65BEFD8}"/>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1BD5-4E20-9C5A-7A42F65BEFD8}"/>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9-1BD5-4E20-9C5A-7A42F65BEFD8}"/>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B-1BD5-4E20-9C5A-7A42F65BEFD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'Break-Even Analysis'!$A$11:$A$17</c:f>
              <c:strCache>
                <c:ptCount val="6"/>
                <c:pt idx="0">
                  <c:v>EcoSmart Water Bottle</c:v>
                </c:pt>
                <c:pt idx="1">
                  <c:v>FlexiFit Resistance Bands</c:v>
                </c:pt>
                <c:pt idx="2">
                  <c:v>ProNoise Wireless Earbuds</c:v>
                </c:pt>
                <c:pt idx="3">
                  <c:v>SafeTouch Smart Lock</c:v>
                </c:pt>
                <c:pt idx="4">
                  <c:v>UltraCharge Power Bank</c:v>
                </c:pt>
                <c:pt idx="5">
                  <c:v>ZenGlow Facial Steamer</c:v>
                </c:pt>
              </c:strCache>
            </c:strRef>
          </c:cat>
          <c:val>
            <c:numRef>
              <c:f>'Break-Even Analysis'!$B$11:$B$17</c:f>
              <c:numCache>
                <c:formatCode>General</c:formatCode>
                <c:ptCount val="6"/>
                <c:pt idx="1">
                  <c:v>1</c:v>
                </c:pt>
                <c:pt idx="4">
                  <c:v>1</c:v>
                </c:pt>
              </c:numCache>
            </c:numRef>
          </c:val>
          <c:extLst>
            <c:ext xmlns:c16="http://schemas.microsoft.com/office/drawing/2014/chart" uri="{C3380CC4-5D6E-409C-BE32-E72D297353CC}">
              <c16:uniqueId val="{0000000C-1BD5-4E20-9C5A-7A42F65BEFD8}"/>
            </c:ext>
          </c:extLst>
        </c:ser>
        <c:ser>
          <c:idx val="1"/>
          <c:order val="1"/>
          <c:tx>
            <c:strRef>
              <c:f>'Break-Even Analysis'!$C$9:$C$10</c:f>
              <c:strCache>
                <c:ptCount val="1"/>
                <c:pt idx="0">
                  <c:v>Profit</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D-EEB2-414A-BA66-5DE7BC5238C0}"/>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F-EEB2-414A-BA66-5DE7BC5238C0}"/>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1-EEB2-414A-BA66-5DE7BC5238C0}"/>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3-EEB2-414A-BA66-5DE7BC5238C0}"/>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5-EEB2-414A-BA66-5DE7BC5238C0}"/>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7-EEB2-414A-BA66-5DE7BC5238C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'Break-Even Analysis'!$A$11:$A$17</c:f>
              <c:strCache>
                <c:ptCount val="6"/>
                <c:pt idx="0">
                  <c:v>EcoSmart Water Bottle</c:v>
                </c:pt>
                <c:pt idx="1">
                  <c:v>FlexiFit Resistance Bands</c:v>
                </c:pt>
                <c:pt idx="2">
                  <c:v>ProNoise Wireless Earbuds</c:v>
                </c:pt>
                <c:pt idx="3">
                  <c:v>SafeTouch Smart Lock</c:v>
                </c:pt>
                <c:pt idx="4">
                  <c:v>UltraCharge Power Bank</c:v>
                </c:pt>
                <c:pt idx="5">
                  <c:v>ZenGlow Facial Steamer</c:v>
                </c:pt>
              </c:strCache>
            </c:strRef>
          </c:cat>
          <c:val>
            <c:numRef>
              <c:f>'Break-Even Analysis'!$C$11:$C$17</c:f>
              <c:numCache>
                <c:formatCode>General</c:formatCode>
                <c:ptCount val="6"/>
                <c:pt idx="0">
                  <c:v>1</c:v>
                </c:pt>
                <c:pt idx="2">
                  <c:v>1</c:v>
                </c:pt>
                <c:pt idx="3">
                  <c:v>1</c:v>
                </c:pt>
                <c:pt idx="5">
                  <c:v>1</c:v>
                </c:pt>
              </c:numCache>
            </c:numRef>
          </c:val>
          <c:extLst>
            <c:ext xmlns:c16="http://schemas.microsoft.com/office/drawing/2014/chart" uri="{C3380CC4-5D6E-409C-BE32-E72D297353CC}">
              <c16:uniqueId val="{00000019-66AD-4BA4-86FF-FFAA8EF290C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[10.BreakEven_Financial_Model.xlsx]Break-Even Analysis!PivotTable2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Revenue, Costs, and Profit Comparison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'Break-Even Analysis'!$G$9</c:f>
              <c:strCache>
                <c:ptCount val="1"/>
                <c:pt idx="0">
                  <c:v>Sum of Total Revenue ($)</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'Break-Even Analysis'!$F$10:$F$16</c:f>
              <c:strCache>
                <c:ptCount val="6"/>
                <c:pt idx="0">
                  <c:v>EcoSmart Water Bottle</c:v>
                </c:pt>
                <c:pt idx="1">
                  <c:v>FlexiFit Resistance Bands</c:v>
                </c:pt>
                <c:pt idx="2">
                  <c:v>ProNoise Wireless Earbuds</c:v>
                </c:pt>
                <c:pt idx="3">
                  <c:v>SafeTouch Smart Lock</c:v>
                </c:pt>
                <c:pt idx="4">
                  <c:v>UltraCharge Power Bank</c:v>
                </c:pt>
                <c:pt idx="5">
                  <c:v>ZenGlow Facial Steamer</c:v>
                </c:pt>
              </c:strCache>
            </c:strRef>
          </c:cat>
          <c:val>
            <c:numRef>
              <c:f>'Break-Even Analysis'!$G$10:$G$16</c:f>
              <c:numCache>
                <c:formatCode>General</c:formatCode>
                <c:ptCount val="6"/>
                <c:pt idx="0">
                  <c:v>28600</c:v>
                </c:pt>
                <c:pt idx="1">
                  <c:v>34320</c:v>
                </c:pt>
                <c:pt idx="2">
                  <c:v>36608.000000000007</c:v>
                </c:pt>
                <c:pt idx="3">
                  <c:v>36036</c:v>
                </c:pt>
                <c:pt idx="4">
                  <c:v>27456.000000000007</c:v>
                </c:pt>
                <c:pt idx="5">
                  <c:v>41184.000000000007</c:v>
                </c:pt>
              </c:numCache>
            </c:numRef>
          </c:val>
          <c:extLst>
            <c:ext xmlns:c16="http://schemas.microsoft.com/office/drawing/2014/chart" uri="{C3380CC4-5D6E-409C-BE32-E72D297353CC}">
              <c16:uniqueId val="{00000000-A366-4088-A18C-040AE9162458}"/>
            </c:ext>
          </c:extLst>
        </c:ser>
        <c:ser>
          <c:idx val="1"/>
          <c:order val="1"/>
          <c:tx>
            <c:strRef>
              <c:f>'Break-Even Analysis'!$H$9</c:f>
              <c:strCache>
                <c:ptCount val="1"/>
                <c:pt idx="0">
                  <c:v>Sum of Total Variable Cost ($)</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'Break-Even Analysis'!$F$10:$F$16</c:f>
              <c:strCache>
                <c:ptCount val="6"/>
                <c:pt idx="0">
                  <c:v>EcoSmart Water Bottle</c:v>
                </c:pt>
                <c:pt idx="1">
                  <c:v>FlexiFit Resistance Bands</c:v>
                </c:pt>
                <c:pt idx="2">
                  <c:v>ProNoise Wireless Earbuds</c:v>
                </c:pt>
                <c:pt idx="3">
                  <c:v>SafeTouch Smart Lock</c:v>
                </c:pt>
                <c:pt idx="4">
                  <c:v>UltraCharge Power Bank</c:v>
                </c:pt>
                <c:pt idx="5">
                  <c:v>ZenGlow Facial Steamer</c:v>
                </c:pt>
              </c:strCache>
            </c:strRef>
          </c:cat>
          <c:val>
            <c:numRef>
              <c:f>'Break-Even Analysis'!$H$10:$H$16</c:f>
              <c:numCache>
                <c:formatCode>General</c:formatCode>
                <c:ptCount val="6"/>
                <c:pt idx="0">
                  <c:v>16995</c:v>
                </c:pt>
                <c:pt idx="1">
                  <c:v>20394</c:v>
                </c:pt>
                <c:pt idx="2">
                  <c:v>18128.000000000004</c:v>
                </c:pt>
                <c:pt idx="3">
                  <c:v>17844.750000000004</c:v>
                </c:pt>
                <c:pt idx="4">
                  <c:v>20394.000000000004</c:v>
                </c:pt>
                <c:pt idx="5">
                  <c:v>16995</c:v>
                </c:pt>
              </c:numCache>
            </c:numRef>
          </c:val>
          <c:extLst>
            <c:ext xmlns:c16="http://schemas.microsoft.com/office/drawing/2014/chart" uri="{C3380CC4-5D6E-409C-BE32-E72D297353CC}">
              <c16:uniqueId val="{00000001-A366-4088-A18C-040AE9162458}"/>
            </c:ext>
          </c:extLst>
        </c:ser>
        <c:ser>
          <c:idx val="2"/>
          <c:order val="2"/>
          <c:tx>
            <c:strRef>
              <c:f>'Break-Even Analysis'!$I$9</c:f>
              <c:strCache>
                <c:ptCount val="1"/>
                <c:pt idx="0">
                  <c:v>Sum of Profit ($)</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'Break-Even Analysis'!$F$10:$F$16</c:f>
              <c:strCache>
                <c:ptCount val="6"/>
                <c:pt idx="0">
                  <c:v>EcoSmart Water Bottle</c:v>
                </c:pt>
                <c:pt idx="1">
                  <c:v>FlexiFit Resistance Bands</c:v>
                </c:pt>
                <c:pt idx="2">
                  <c:v>ProNoise Wireless Earbuds</c:v>
                </c:pt>
                <c:pt idx="3">
                  <c:v>SafeTouch Smart Lock</c:v>
                </c:pt>
                <c:pt idx="4">
                  <c:v>UltraCharge Power Bank</c:v>
                </c:pt>
                <c:pt idx="5">
                  <c:v>ZenGlow Facial Steamer</c:v>
                </c:pt>
              </c:strCache>
            </c:strRef>
          </c:cat>
          <c:val>
            <c:numRef>
              <c:f>'Break-Even Analysis'!$I$10:$I$16</c:f>
              <c:numCache>
                <c:formatCode>General</c:formatCode>
                <c:ptCount val="6"/>
                <c:pt idx="0">
                  <c:v>1105</c:v>
                </c:pt>
                <c:pt idx="1">
                  <c:v>-7074</c:v>
                </c:pt>
                <c:pt idx="2">
                  <c:v>2730.0000000000073</c:v>
                </c:pt>
                <c:pt idx="3">
                  <c:v>3491.2499999999964</c:v>
                </c:pt>
                <c:pt idx="4">
                  <c:v>-19187.999999999993</c:v>
                </c:pt>
                <c:pt idx="5">
                  <c:v>11589.000000000007</c:v>
                </c:pt>
              </c:numCache>
            </c:numRef>
          </c:val>
          <c:extLst>
            <c:ext xmlns:c16="http://schemas.microsoft.com/office/drawing/2014/chart" uri="{C3380CC4-5D6E-409C-BE32-E72D297353CC}">
              <c16:uniqueId val="{00000002-A366-4088-A18C-040AE9162458}"/>
            </c:ext>
          </c:extLst>
        </c:ser>
        <c:dLbls>
          <c:showLegendKey val="0"/>
          <c:showVal val="0"/>
          <c:showCatName val="0"/>
          <c:showSerName val="0"/>
          <c:showPercent val="0"/>
          <c:showBubbleSize val="0"/>
        </c:dLbls>
        <c:gapWidth val="100"/>
        <c:overlap val="-24"/>
        <c:axId val="1054142399"/>
        <c:axId val="1054142879"/>
      </c:barChart>
      <c:catAx>
        <c:axId val="10541423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Products</a:t>
                </a:r>
              </a:p>
            </c:rich>
          </c:tx>
          <c:layout>
            <c:manualLayout>
              <c:xMode val="edge"/>
              <c:yMode val="edge"/>
              <c:x val="0.34526968503937006"/>
              <c:y val="0.8195158938466025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54142879"/>
        <c:crosses val="autoZero"/>
        <c:auto val="1"/>
        <c:lblAlgn val="ctr"/>
        <c:lblOffset val="100"/>
        <c:noMultiLvlLbl val="0"/>
      </c:catAx>
      <c:valAx>
        <c:axId val="1054142879"/>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Monetary Values</a:t>
                </a:r>
              </a:p>
            </c:rich>
          </c:tx>
          <c:layout>
            <c:manualLayout>
              <c:xMode val="edge"/>
              <c:yMode val="edge"/>
              <c:x val="1.6666666666666666E-2"/>
              <c:y val="0.3281025809273840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5414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[10.BreakEven_Financial_Model.xlsx]Break-Even Analysis!PivotTable3</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Break-Even Point and Contribution Margin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'Break-Even Analysis'!$L$9</c:f>
              <c:strCache>
                <c:ptCount val="1"/>
                <c:pt idx="0">
                  <c:v>Sum of Break-Even Point (Units)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'Break-Even Analysis'!$K$10:$K$16</c:f>
              <c:strCache>
                <c:ptCount val="6"/>
                <c:pt idx="0">
                  <c:v>EcoSmart Water Bottle</c:v>
                </c:pt>
                <c:pt idx="1">
                  <c:v>FlexiFit Resistance Bands</c:v>
                </c:pt>
                <c:pt idx="2">
                  <c:v>ProNoise Wireless Earbuds</c:v>
                </c:pt>
                <c:pt idx="3">
                  <c:v>SafeTouch Smart Lock</c:v>
                </c:pt>
                <c:pt idx="4">
                  <c:v>UltraCharge Power Bank</c:v>
                </c:pt>
                <c:pt idx="5">
                  <c:v>ZenGlow Facial Steamer</c:v>
                </c:pt>
              </c:strCache>
            </c:strRef>
          </c:cat>
          <c:val>
            <c:numRef>
              <c:f>'Break-Even Analysis'!$L$10:$L$16</c:f>
              <c:numCache>
                <c:formatCode>0</c:formatCode>
                <c:ptCount val="6"/>
                <c:pt idx="0">
                  <c:v>497.63033175355457</c:v>
                </c:pt>
                <c:pt idx="1">
                  <c:v>497.63033175355457</c:v>
                </c:pt>
                <c:pt idx="2">
                  <c:v>375</c:v>
                </c:pt>
                <c:pt idx="3">
                  <c:v>400.00000000000006</c:v>
                </c:pt>
                <c:pt idx="4">
                  <c:v>817.75700934579413</c:v>
                </c:pt>
                <c:pt idx="5">
                  <c:v>343.79263301500674</c:v>
                </c:pt>
              </c:numCache>
            </c:numRef>
          </c:val>
          <c:extLst>
            <c:ext xmlns:c16="http://schemas.microsoft.com/office/drawing/2014/chart" uri="{C3380CC4-5D6E-409C-BE32-E72D297353CC}">
              <c16:uniqueId val="{00000000-ED54-46EC-8361-2FCAB5FDAE9B}"/>
            </c:ext>
          </c:extLst>
        </c:ser>
        <c:dLbls>
          <c:showLegendKey val="0"/>
          <c:showVal val="0"/>
          <c:showCatName val="0"/>
          <c:showSerName val="0"/>
          <c:showPercent val="0"/>
          <c:showBubbleSize val="0"/>
        </c:dLbls>
        <c:gapWidth val="219"/>
        <c:overlap val="-27"/>
        <c:axId val="1054150079"/>
        <c:axId val="1054132799"/>
      </c:barChart>
      <c:lineChart>
        <c:grouping val="standard"/>
        <c:varyColors val="0"/>
        <c:ser>
          <c:idx val="1"/>
          <c:order val="1"/>
          <c:tx>
            <c:strRef>
              <c:f>'Break-Even Analysis'!$M$9</c:f>
              <c:strCache>
                <c:ptCount val="1"/>
                <c:pt idx="0">
                  <c:v>Sum of Contribution Margin (%)</c:v>
                </c:pt>
              </c:strCache>
            </c:strRef>
          </c:tx>
          <c:spPr>
            <a:ln w="31750"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cat>
            <c:strRef>
              <c:f>'Break-Even Analysis'!$K$10:$K$16</c:f>
              <c:strCache>
                <c:ptCount val="6"/>
                <c:pt idx="0">
                  <c:v>EcoSmart Water Bottle</c:v>
                </c:pt>
                <c:pt idx="1">
                  <c:v>FlexiFit Resistance Bands</c:v>
                </c:pt>
                <c:pt idx="2">
                  <c:v>ProNoise Wireless Earbuds</c:v>
                </c:pt>
                <c:pt idx="3">
                  <c:v>SafeTouch Smart Lock</c:v>
                </c:pt>
                <c:pt idx="4">
                  <c:v>UltraCharge Power Bank</c:v>
                </c:pt>
                <c:pt idx="5">
                  <c:v>ZenGlow Facial Steamer</c:v>
                </c:pt>
              </c:strCache>
            </c:strRef>
          </c:cat>
          <c:val>
            <c:numRef>
              <c:f>'Break-Even Analysis'!$M$10:$M$16</c:f>
              <c:numCache>
                <c:formatCode>General</c:formatCode>
                <c:ptCount val="6"/>
                <c:pt idx="0">
                  <c:v>1.6828478964401294</c:v>
                </c:pt>
                <c:pt idx="1">
                  <c:v>1.6828478964401294</c:v>
                </c:pt>
                <c:pt idx="2">
                  <c:v>2.0194174757281553</c:v>
                </c:pt>
                <c:pt idx="3">
                  <c:v>2.0194174757281549</c:v>
                </c:pt>
                <c:pt idx="4">
                  <c:v>1.3462783171521036</c:v>
                </c:pt>
                <c:pt idx="5">
                  <c:v>2.4233009708737865</c:v>
                </c:pt>
              </c:numCache>
            </c:numRef>
          </c:val>
          <c:smooth val="0"/>
          <c:extLst>
            <c:ext xmlns:c16="http://schemas.microsoft.com/office/drawing/2014/chart" uri="{C3380CC4-5D6E-409C-BE32-E72D297353CC}">
              <c16:uniqueId val="{00000001-ED54-46EC-8361-2FCAB5FDAE9B}"/>
            </c:ext>
          </c:extLst>
        </c:ser>
        <c:dLbls>
          <c:showLegendKey val="0"/>
          <c:showVal val="0"/>
          <c:showCatName val="0"/>
          <c:showSerName val="0"/>
          <c:showPercent val="0"/>
          <c:showBubbleSize val="0"/>
        </c:dLbls>
        <c:marker val="1"/>
        <c:smooth val="0"/>
        <c:axId val="1054154399"/>
        <c:axId val="1054146719"/>
      </c:lineChart>
      <c:catAx>
        <c:axId val="105415007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54132799"/>
        <c:crosses val="autoZero"/>
        <c:auto val="1"/>
        <c:lblAlgn val="ctr"/>
        <c:lblOffset val="100"/>
        <c:noMultiLvlLbl val="0"/>
      </c:catAx>
      <c:valAx>
        <c:axId val="1054132799"/>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54150079"/>
        <c:crosses val="autoZero"/>
        <c:crossBetween val="between"/>
      </c:valAx>
      <c:valAx>
        <c:axId val="1054146719"/>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54154399"/>
        <c:crosses val="max"/>
        <c:crossBetween val="between"/>
      </c:valAx>
      <c:catAx>
        <c:axId val="1054154399"/>
        <c:scaling>
          <c:orientation val="minMax"/>
        </c:scaling>
        <c:delete val="1"/>
        <c:axPos val="b"/>
        <c:numFmt formatCode="General" sourceLinked="1"/>
        <c:majorTickMark val="none"/>
        <c:minorTickMark val="none"/>
        <c:tickLblPos val="nextTo"/>
        <c:crossAx val="105414671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9525</xdr:rowOff>
    </xdr:from>
    <xdr:to>
      <xdr:col>6</xdr:col>
      <xdr:colOff>295275</xdr:colOff>
      <xdr:row>20</xdr:row>
      <xdr:rowOff>66675</xdr:rowOff>
    </xdr:to>
    <xdr:graphicFrame macro="">
      <xdr:nvGraphicFramePr>
        <xdr:cNvPr id="2" name="Chart 1">
          <a:extLst>
            <a:ext uri="{FF2B5EF4-FFF2-40B4-BE49-F238E27FC236}">
              <a16:creationId xmlns:a16="http://schemas.microsoft.com/office/drawing/2014/main" id="{08C0A081-7465-4458-B77E-031B9265F2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409575</xdr:colOff>
      <xdr:row>2</xdr:row>
      <xdr:rowOff>9525</xdr:rowOff>
    </xdr:from>
    <xdr:to>
      <xdr:col>21</xdr:col>
      <xdr:colOff>104775</xdr:colOff>
      <xdr:row>20</xdr:row>
      <xdr:rowOff>57149</xdr:rowOff>
    </xdr:to>
    <xdr:graphicFrame macro="">
      <xdr:nvGraphicFramePr>
        <xdr:cNvPr id="3" name="Chart 2">
          <a:extLst>
            <a:ext uri="{FF2B5EF4-FFF2-40B4-BE49-F238E27FC236}">
              <a16:creationId xmlns:a16="http://schemas.microsoft.com/office/drawing/2014/main" id="{3CF9E693-B050-4155-813D-45844D9C75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333375</xdr:colOff>
      <xdr:row>2</xdr:row>
      <xdr:rowOff>28575</xdr:rowOff>
    </xdr:from>
    <xdr:to>
      <xdr:col>13</xdr:col>
      <xdr:colOff>361950</xdr:colOff>
      <xdr:row>20</xdr:row>
      <xdr:rowOff>66675</xdr:rowOff>
    </xdr:to>
    <xdr:graphicFrame macro="">
      <xdr:nvGraphicFramePr>
        <xdr:cNvPr id="4" name="Chart 3">
          <a:extLst>
            <a:ext uri="{FF2B5EF4-FFF2-40B4-BE49-F238E27FC236}">
              <a16:creationId xmlns:a16="http://schemas.microsoft.com/office/drawing/2014/main" id="{B5E55ADD-11A5-427B-A7BB-8A6B462943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104775</xdr:colOff>
      <xdr:row>1</xdr:row>
      <xdr:rowOff>19049</xdr:rowOff>
    </xdr:from>
    <xdr:to>
      <xdr:col>14</xdr:col>
      <xdr:colOff>238125</xdr:colOff>
      <xdr:row>5</xdr:row>
      <xdr:rowOff>171450</xdr:rowOff>
    </xdr:to>
    <mc:AlternateContent xmlns:mc="http://schemas.openxmlformats.org/markup-compatibility/2006" xmlns:a14="http://schemas.microsoft.com/office/drawing/2010/main">
      <mc:Choice Requires="a14">
        <xdr:graphicFrame macro="">
          <xdr:nvGraphicFramePr>
            <xdr:cNvPr id="2" name="Contribution Margin (%)">
              <a:extLst>
                <a:ext uri="{FF2B5EF4-FFF2-40B4-BE49-F238E27FC236}">
                  <a16:creationId xmlns:a16="http://schemas.microsoft.com/office/drawing/2014/main" id="{35FF984F-4969-4F4E-BB8C-C99DB4CD29E2}"/>
                </a:ext>
              </a:extLst>
            </xdr:cNvPr>
            <xdr:cNvGraphicFramePr/>
          </xdr:nvGraphicFramePr>
          <xdr:xfrm>
            <a:off x="0" y="0"/>
            <a:ext cx="0" cy="0"/>
          </xdr:xfrm>
          <a:graphic>
            <a:graphicData uri="http://schemas.microsoft.com/office/drawing/2010/slicer">
              <sle:slicer xmlns:sle="http://schemas.microsoft.com/office/drawing/2010/slicer" name="Contribution Margin (%)"/>
            </a:graphicData>
          </a:graphic>
        </xdr:graphicFrame>
      </mc:Choice>
      <mc:Fallback xmlns="">
        <xdr:sp macro="" textlink="">
          <xdr:nvSpPr>
            <xdr:cNvPr id="0" name=""/>
            <xdr:cNvSpPr>
              <a:spLocks noTextEdit="1"/>
            </xdr:cNvSpPr>
          </xdr:nvSpPr>
          <xdr:spPr>
            <a:xfrm>
              <a:off x="7267575" y="428624"/>
              <a:ext cx="1962150" cy="9715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76200</xdr:colOff>
      <xdr:row>1</xdr:row>
      <xdr:rowOff>19053</xdr:rowOff>
    </xdr:from>
    <xdr:to>
      <xdr:col>6</xdr:col>
      <xdr:colOff>209550</xdr:colOff>
      <xdr:row>6</xdr:row>
      <xdr:rowOff>1</xdr:rowOff>
    </xdr:to>
    <mc:AlternateContent xmlns:mc="http://schemas.openxmlformats.org/markup-compatibility/2006" xmlns:a14="http://schemas.microsoft.com/office/drawing/2010/main">
      <mc:Choice Requires="a14">
        <xdr:graphicFrame macro="">
          <xdr:nvGraphicFramePr>
            <xdr:cNvPr id="3" name="Break-Even Point (Units)">
              <a:extLst>
                <a:ext uri="{FF2B5EF4-FFF2-40B4-BE49-F238E27FC236}">
                  <a16:creationId xmlns:a16="http://schemas.microsoft.com/office/drawing/2014/main" id="{FB0E6A1E-0461-48AF-88EB-17D34B7F3A79}"/>
                </a:ext>
              </a:extLst>
            </xdr:cNvPr>
            <xdr:cNvGraphicFramePr/>
          </xdr:nvGraphicFramePr>
          <xdr:xfrm>
            <a:off x="0" y="0"/>
            <a:ext cx="0" cy="0"/>
          </xdr:xfrm>
          <a:graphic>
            <a:graphicData uri="http://schemas.microsoft.com/office/drawing/2010/slicer">
              <sle:slicer xmlns:sle="http://schemas.microsoft.com/office/drawing/2010/slicer" name="Break-Even Point (Units)"/>
            </a:graphicData>
          </a:graphic>
        </xdr:graphicFrame>
      </mc:Choice>
      <mc:Fallback xmlns="">
        <xdr:sp macro="" textlink="">
          <xdr:nvSpPr>
            <xdr:cNvPr id="0" name=""/>
            <xdr:cNvSpPr>
              <a:spLocks noTextEdit="1"/>
            </xdr:cNvSpPr>
          </xdr:nvSpPr>
          <xdr:spPr>
            <a:xfrm>
              <a:off x="2362200" y="428628"/>
              <a:ext cx="1962150" cy="9905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95250</xdr:colOff>
      <xdr:row>1</xdr:row>
      <xdr:rowOff>9525</xdr:rowOff>
    </xdr:from>
    <xdr:to>
      <xdr:col>18</xdr:col>
      <xdr:colOff>95250</xdr:colOff>
      <xdr:row>5</xdr:row>
      <xdr:rowOff>161926</xdr:rowOff>
    </xdr:to>
    <mc:AlternateContent xmlns:mc="http://schemas.openxmlformats.org/markup-compatibility/2006" xmlns:a14="http://schemas.microsoft.com/office/drawing/2010/main">
      <mc:Choice Requires="a14">
        <xdr:graphicFrame macro="">
          <xdr:nvGraphicFramePr>
            <xdr:cNvPr id="4" name="Profit ($)">
              <a:extLst>
                <a:ext uri="{FF2B5EF4-FFF2-40B4-BE49-F238E27FC236}">
                  <a16:creationId xmlns:a16="http://schemas.microsoft.com/office/drawing/2014/main" id="{EAFFB686-1B3D-4348-AA52-1F19E00EC736}"/>
                </a:ext>
              </a:extLst>
            </xdr:cNvPr>
            <xdr:cNvGraphicFramePr/>
          </xdr:nvGraphicFramePr>
          <xdr:xfrm>
            <a:off x="0" y="0"/>
            <a:ext cx="0" cy="0"/>
          </xdr:xfrm>
          <a:graphic>
            <a:graphicData uri="http://schemas.microsoft.com/office/drawing/2010/slicer">
              <sle:slicer xmlns:sle="http://schemas.microsoft.com/office/drawing/2010/slicer" name="Profit ($)"/>
            </a:graphicData>
          </a:graphic>
        </xdr:graphicFrame>
      </mc:Choice>
      <mc:Fallback xmlns="">
        <xdr:sp macro="" textlink="">
          <xdr:nvSpPr>
            <xdr:cNvPr id="0" name=""/>
            <xdr:cNvSpPr>
              <a:spLocks noTextEdit="1"/>
            </xdr:cNvSpPr>
          </xdr:nvSpPr>
          <xdr:spPr>
            <a:xfrm>
              <a:off x="9696450" y="419100"/>
              <a:ext cx="1828800" cy="9715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123825</xdr:colOff>
      <xdr:row>1</xdr:row>
      <xdr:rowOff>9527</xdr:rowOff>
    </xdr:from>
    <xdr:to>
      <xdr:col>10</xdr:col>
      <xdr:colOff>123825</xdr:colOff>
      <xdr:row>5</xdr:row>
      <xdr:rowOff>171542</xdr:rowOff>
    </xdr:to>
    <mc:AlternateContent xmlns:mc="http://schemas.openxmlformats.org/markup-compatibility/2006" xmlns:a14="http://schemas.microsoft.com/office/drawing/2010/main">
      <mc:Choice Requires="a14">
        <xdr:graphicFrame macro="">
          <xdr:nvGraphicFramePr>
            <xdr:cNvPr id="5" name="Item">
              <a:extLst>
                <a:ext uri="{FF2B5EF4-FFF2-40B4-BE49-F238E27FC236}">
                  <a16:creationId xmlns:a16="http://schemas.microsoft.com/office/drawing/2014/main" id="{BE0FD87E-F8E0-4BAC-933B-5695B4593EA5}"/>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4848225" y="419102"/>
              <a:ext cx="1828800" cy="9811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9525</xdr:colOff>
      <xdr:row>6</xdr:row>
      <xdr:rowOff>38100</xdr:rowOff>
    </xdr:from>
    <xdr:to>
      <xdr:col>5</xdr:col>
      <xdr:colOff>314325</xdr:colOff>
      <xdr:row>25</xdr:row>
      <xdr:rowOff>57149</xdr:rowOff>
    </xdr:to>
    <xdr:graphicFrame macro="">
      <xdr:nvGraphicFramePr>
        <xdr:cNvPr id="6" name="Chart 5">
          <a:extLst>
            <a:ext uri="{FF2B5EF4-FFF2-40B4-BE49-F238E27FC236}">
              <a16:creationId xmlns:a16="http://schemas.microsoft.com/office/drawing/2014/main" id="{7ACB4201-3E58-4A28-8A37-C3E55186CB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361950</xdr:colOff>
      <xdr:row>6</xdr:row>
      <xdr:rowOff>28576</xdr:rowOff>
    </xdr:from>
    <xdr:to>
      <xdr:col>12</xdr:col>
      <xdr:colOff>400049</xdr:colOff>
      <xdr:row>25</xdr:row>
      <xdr:rowOff>38100</xdr:rowOff>
    </xdr:to>
    <xdr:graphicFrame macro="">
      <xdr:nvGraphicFramePr>
        <xdr:cNvPr id="7" name="Chart 6">
          <a:extLst>
            <a:ext uri="{FF2B5EF4-FFF2-40B4-BE49-F238E27FC236}">
              <a16:creationId xmlns:a16="http://schemas.microsoft.com/office/drawing/2014/main" id="{F2FE628A-1551-4189-B2EA-B9D5129C45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447675</xdr:colOff>
      <xdr:row>6</xdr:row>
      <xdr:rowOff>28575</xdr:rowOff>
    </xdr:from>
    <xdr:to>
      <xdr:col>20</xdr:col>
      <xdr:colOff>142875</xdr:colOff>
      <xdr:row>25</xdr:row>
      <xdr:rowOff>19050</xdr:rowOff>
    </xdr:to>
    <xdr:graphicFrame macro="">
      <xdr:nvGraphicFramePr>
        <xdr:cNvPr id="8" name="Chart 7">
          <a:extLst>
            <a:ext uri="{FF2B5EF4-FFF2-40B4-BE49-F238E27FC236}">
              <a16:creationId xmlns:a16="http://schemas.microsoft.com/office/drawing/2014/main" id="{96F947A7-CDE8-41D0-BE0E-0E30A501B2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hid Hassan" refreshedDate="45754.490765625" createdVersion="8" refreshedVersion="8" minRefreshableVersion="3" recordCount="6" xr:uid="{295E82DD-00F2-49D2-A71F-AFDCF5887462}">
  <cacheSource type="worksheet">
    <worksheetSource ref="A1:N7" sheet="Break-Even Analysis"/>
  </cacheSource>
  <cacheFields count="14">
    <cacheField name="Item" numFmtId="0">
      <sharedItems count="6">
        <s v="EcoSmart Water Bottle"/>
        <s v="ProNoise Wireless Earbuds"/>
        <s v="FlexiFit Resistance Bands"/>
        <s v="ZenGlow Facial Steamer"/>
        <s v="UltraCharge Power Bank"/>
        <s v="SafeTouch Smart Lock"/>
      </sharedItems>
    </cacheField>
    <cacheField name="Selling Price per Unit ($)" numFmtId="0">
      <sharedItems containsSemiMixedTypes="0" containsString="0" containsNumber="1" minValue="52" maxValue="124.80000000000001"/>
    </cacheField>
    <cacheField name="Variable Cost per Unit ($)" numFmtId="0">
      <sharedItems containsSemiMixedTypes="0" containsString="0" containsNumber="1" minValue="25.75" maxValue="92.7"/>
    </cacheField>
    <cacheField name="Fixed Costs ($)" numFmtId="164">
      <sharedItems containsSemiMixedTypes="0" containsString="0" containsNumber="1" containsInteger="1" minValue="10500" maxValue="26250"/>
    </cacheField>
    <cacheField name="User Input Units Sold" numFmtId="1">
      <sharedItems containsSemiMixedTypes="0" containsString="0" containsNumber="1" minValue="220.00000000000003" maxValue="660"/>
    </cacheField>
    <cacheField name="Contribution Margin per Unit ($)" numFmtId="1">
      <sharedItems containsSemiMixedTypes="0" containsString="0" containsNumber="1" minValue="21.099999999999998" maxValue="42.199999999999996"/>
    </cacheField>
    <cacheField name="Contribution Margin (%)" numFmtId="0">
      <sharedItems containsSemiMixedTypes="0" containsString="0" containsNumber="1" minValue="1.3462783171521036" maxValue="2.4233009708737865" count="5">
        <n v="1.6828478964401294"/>
        <n v="2.0194174757281553"/>
        <n v="2.4233009708737865"/>
        <n v="1.3462783171521036"/>
        <n v="2.0194174757281549"/>
      </sharedItems>
    </cacheField>
    <cacheField name="Break-Even Point (Units)" numFmtId="1">
      <sharedItems containsSemiMixedTypes="0" containsString="0" containsNumber="1" minValue="343.79263301500674" maxValue="817.75700934579413" count="5">
        <n v="497.63033175355457"/>
        <n v="375"/>
        <n v="343.79263301500674"/>
        <n v="817.75700934579413"/>
        <n v="400.00000000000006"/>
      </sharedItems>
    </cacheField>
    <cacheField name="Break-Even Revenue ($)" numFmtId="1">
      <sharedItems containsSemiMixedTypes="0" containsString="0" containsNumber="1" minValue="21452.660300136424" maxValue="102056.07476635512"/>
    </cacheField>
    <cacheField name="Total Revenue ($)" numFmtId="0">
      <sharedItems containsSemiMixedTypes="0" containsString="0" containsNumber="1" minValue="27456.000000000007" maxValue="41184.000000000007"/>
    </cacheField>
    <cacheField name="Total Variable Cost ($)" numFmtId="0">
      <sharedItems containsSemiMixedTypes="0" containsString="0" containsNumber="1" minValue="16995" maxValue="20394.000000000004"/>
    </cacheField>
    <cacheField name="Total Cost ($)" numFmtId="0">
      <sharedItems containsSemiMixedTypes="0" containsString="0" containsNumber="1" minValue="27495" maxValue="46644"/>
    </cacheField>
    <cacheField name="Profit ($)" numFmtId="0">
      <sharedItems containsSemiMixedTypes="0" containsString="0" containsNumber="1" minValue="-19187.999999999993" maxValue="11589.000000000007" count="6">
        <n v="1105"/>
        <n v="2730.0000000000073"/>
        <n v="-7074"/>
        <n v="11589.000000000007"/>
        <n v="-19187.999999999993"/>
        <n v="3491.2499999999964"/>
      </sharedItems>
    </cacheField>
    <cacheField name="Profit Status" numFmtId="0">
      <sharedItems count="2">
        <s v="Profit"/>
        <s v="Loss"/>
      </sharedItems>
    </cacheField>
  </cacheFields>
  <extLst>
    <ext xmlns:x14="http://schemas.microsoft.com/office/spreadsheetml/2009/9/main" uri="{725AE2AE-9491-48be-B2B4-4EB974FC3084}">
      <x14:pivotCacheDefinition pivotCacheId="691990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52"/>
    <n v="30.900000000000002"/>
    <n v="10500"/>
    <n v="550"/>
    <n v="21.099999999999998"/>
    <x v="0"/>
    <x v="0"/>
    <n v="25876.777251184838"/>
    <n v="28600"/>
    <n v="16995"/>
    <n v="27495"/>
    <x v="0"/>
    <x v="0"/>
  </r>
  <r>
    <x v="1"/>
    <n v="83.2"/>
    <n v="41.2"/>
    <n v="15750"/>
    <n v="440.00000000000006"/>
    <n v="42"/>
    <x v="1"/>
    <x v="1"/>
    <n v="31200"/>
    <n v="36608.000000000007"/>
    <n v="18128.000000000004"/>
    <n v="33878"/>
    <x v="1"/>
    <x v="0"/>
  </r>
  <r>
    <x v="2"/>
    <n v="104"/>
    <n v="61.800000000000004"/>
    <n v="21000"/>
    <n v="330"/>
    <n v="42.199999999999996"/>
    <x v="0"/>
    <x v="0"/>
    <n v="51753.554502369676"/>
    <n v="34320"/>
    <n v="20394"/>
    <n v="41394"/>
    <x v="2"/>
    <x v="1"/>
  </r>
  <r>
    <x v="3"/>
    <n v="62.400000000000006"/>
    <n v="25.75"/>
    <n v="12600"/>
    <n v="660"/>
    <n v="36.650000000000006"/>
    <x v="2"/>
    <x v="2"/>
    <n v="21452.660300136424"/>
    <n v="41184.000000000007"/>
    <n v="16995"/>
    <n v="29595"/>
    <x v="3"/>
    <x v="0"/>
  </r>
  <r>
    <x v="4"/>
    <n v="124.80000000000001"/>
    <n v="92.7"/>
    <n v="26250"/>
    <n v="220.00000000000003"/>
    <n v="32.100000000000009"/>
    <x v="3"/>
    <x v="3"/>
    <n v="102056.07476635512"/>
    <n v="27456.000000000007"/>
    <n v="20394.000000000004"/>
    <n v="46644"/>
    <x v="4"/>
    <x v="1"/>
  </r>
  <r>
    <x v="5"/>
    <n v="72.8"/>
    <n v="36.050000000000004"/>
    <n v="14700"/>
    <n v="495.00000000000006"/>
    <n v="36.749999999999993"/>
    <x v="4"/>
    <x v="4"/>
    <n v="29120.000000000004"/>
    <n v="36036"/>
    <n v="17844.750000000004"/>
    <n v="32544.750000000004"/>
    <x v="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187006-4D5C-4E54-9063-C0C98BC8FD51}"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Item" colHeaderCaption="Profit Status">
  <location ref="A9:D17" firstHeaderRow="1" firstDataRow="2" firstDataCol="1"/>
  <pivotFields count="14">
    <pivotField axis="axisRow" showAll="0">
      <items count="7">
        <item x="0"/>
        <item x="2"/>
        <item x="1"/>
        <item x="5"/>
        <item x="4"/>
        <item x="3"/>
        <item t="default"/>
      </items>
    </pivotField>
    <pivotField showAll="0"/>
    <pivotField showAll="0"/>
    <pivotField numFmtId="164" showAll="0"/>
    <pivotField numFmtId="1" showAll="0"/>
    <pivotField numFmtId="1" showAll="0"/>
    <pivotField showAll="0">
      <items count="6">
        <item x="3"/>
        <item x="0"/>
        <item x="4"/>
        <item x="1"/>
        <item x="2"/>
        <item t="default"/>
      </items>
    </pivotField>
    <pivotField numFmtId="1" showAll="0">
      <items count="6">
        <item x="2"/>
        <item x="1"/>
        <item x="4"/>
        <item x="0"/>
        <item x="3"/>
        <item t="default"/>
      </items>
    </pivotField>
    <pivotField numFmtId="1" showAll="0"/>
    <pivotField showAll="0"/>
    <pivotField showAll="0"/>
    <pivotField showAll="0"/>
    <pivotField showAll="0">
      <items count="7">
        <item x="4"/>
        <item x="2"/>
        <item x="0"/>
        <item x="1"/>
        <item x="5"/>
        <item x="3"/>
        <item t="default"/>
      </items>
    </pivotField>
    <pivotField axis="axisCol" dataField="1" showAll="0">
      <items count="3">
        <item x="1"/>
        <item x="0"/>
        <item t="default"/>
      </items>
    </pivotField>
  </pivotFields>
  <rowFields count="1">
    <field x="0"/>
  </rowFields>
  <rowItems count="7">
    <i>
      <x/>
    </i>
    <i>
      <x v="1"/>
    </i>
    <i>
      <x v="2"/>
    </i>
    <i>
      <x v="3"/>
    </i>
    <i>
      <x v="4"/>
    </i>
    <i>
      <x v="5"/>
    </i>
    <i t="grand">
      <x/>
    </i>
  </rowItems>
  <colFields count="1">
    <field x="13"/>
  </colFields>
  <colItems count="3">
    <i>
      <x/>
    </i>
    <i>
      <x v="1"/>
    </i>
    <i t="grand">
      <x/>
    </i>
  </colItems>
  <dataFields count="1">
    <dataField name="Count of Profit Status" fld="13" subtotal="count" baseField="0" baseItem="0"/>
  </dataFields>
  <formats count="10">
    <format dxfId="27">
      <pivotArea type="all" dataOnly="0" outline="0" fieldPosition="0"/>
    </format>
    <format dxfId="26">
      <pivotArea outline="0" collapsedLevelsAreSubtotals="1" fieldPosition="0"/>
    </format>
    <format dxfId="25">
      <pivotArea type="origin" dataOnly="0" labelOnly="1" outline="0" fieldPosition="0"/>
    </format>
    <format dxfId="24">
      <pivotArea field="13" type="button" dataOnly="0" labelOnly="1" outline="0" axis="axisCol" fieldPosition="0"/>
    </format>
    <format dxfId="23">
      <pivotArea type="topRight" dataOnly="0" labelOnly="1" outline="0" fieldPosition="0"/>
    </format>
    <format dxfId="22">
      <pivotArea field="0" type="button" dataOnly="0" labelOnly="1" outline="0" axis="axisRow" fieldPosition="0"/>
    </format>
    <format dxfId="21">
      <pivotArea dataOnly="0" labelOnly="1" fieldPosition="0">
        <references count="1">
          <reference field="0" count="0"/>
        </references>
      </pivotArea>
    </format>
    <format dxfId="20">
      <pivotArea dataOnly="0" labelOnly="1" grandRow="1" outline="0" fieldPosition="0"/>
    </format>
    <format dxfId="19">
      <pivotArea dataOnly="0" labelOnly="1" fieldPosition="0">
        <references count="1">
          <reference field="13" count="0"/>
        </references>
      </pivotArea>
    </format>
    <format dxfId="18">
      <pivotArea dataOnly="0" labelOnly="1" grandCol="1" outline="0" fieldPosition="0"/>
    </format>
  </formats>
  <chartFormats count="42">
    <chartFormat chart="2" format="16" series="1">
      <pivotArea type="data" outline="0" fieldPosition="0">
        <references count="2">
          <reference field="4294967294" count="1" selected="0">
            <x v="0"/>
          </reference>
          <reference field="13" count="1" selected="0">
            <x v="0"/>
          </reference>
        </references>
      </pivotArea>
    </chartFormat>
    <chartFormat chart="2" format="17">
      <pivotArea type="data" outline="0" fieldPosition="0">
        <references count="3">
          <reference field="4294967294" count="1" selected="0">
            <x v="0"/>
          </reference>
          <reference field="0" count="1" selected="0">
            <x v="0"/>
          </reference>
          <reference field="13" count="1" selected="0">
            <x v="0"/>
          </reference>
        </references>
      </pivotArea>
    </chartFormat>
    <chartFormat chart="2" format="18">
      <pivotArea type="data" outline="0" fieldPosition="0">
        <references count="3">
          <reference field="4294967294" count="1" selected="0">
            <x v="0"/>
          </reference>
          <reference field="0" count="1" selected="0">
            <x v="1"/>
          </reference>
          <reference field="13" count="1" selected="0">
            <x v="0"/>
          </reference>
        </references>
      </pivotArea>
    </chartFormat>
    <chartFormat chart="2" format="19">
      <pivotArea type="data" outline="0" fieldPosition="0">
        <references count="3">
          <reference field="4294967294" count="1" selected="0">
            <x v="0"/>
          </reference>
          <reference field="0" count="1" selected="0">
            <x v="2"/>
          </reference>
          <reference field="13" count="1" selected="0">
            <x v="0"/>
          </reference>
        </references>
      </pivotArea>
    </chartFormat>
    <chartFormat chart="2" format="20">
      <pivotArea type="data" outline="0" fieldPosition="0">
        <references count="3">
          <reference field="4294967294" count="1" selected="0">
            <x v="0"/>
          </reference>
          <reference field="0" count="1" selected="0">
            <x v="3"/>
          </reference>
          <reference field="13" count="1" selected="0">
            <x v="0"/>
          </reference>
        </references>
      </pivotArea>
    </chartFormat>
    <chartFormat chart="2" format="21">
      <pivotArea type="data" outline="0" fieldPosition="0">
        <references count="3">
          <reference field="4294967294" count="1" selected="0">
            <x v="0"/>
          </reference>
          <reference field="0" count="1" selected="0">
            <x v="4"/>
          </reference>
          <reference field="13" count="1" selected="0">
            <x v="0"/>
          </reference>
        </references>
      </pivotArea>
    </chartFormat>
    <chartFormat chart="2" format="22">
      <pivotArea type="data" outline="0" fieldPosition="0">
        <references count="3">
          <reference field="4294967294" count="1" selected="0">
            <x v="0"/>
          </reference>
          <reference field="0" count="1" selected="0">
            <x v="5"/>
          </reference>
          <reference field="13" count="1" selected="0">
            <x v="0"/>
          </reference>
        </references>
      </pivotArea>
    </chartFormat>
    <chartFormat chart="2" format="23" series="1">
      <pivotArea type="data" outline="0" fieldPosition="0">
        <references count="2">
          <reference field="4294967294" count="1" selected="0">
            <x v="0"/>
          </reference>
          <reference field="13" count="1" selected="0">
            <x v="1"/>
          </reference>
        </references>
      </pivotArea>
    </chartFormat>
    <chartFormat chart="2" format="24">
      <pivotArea type="data" outline="0" fieldPosition="0">
        <references count="3">
          <reference field="4294967294" count="1" selected="0">
            <x v="0"/>
          </reference>
          <reference field="0" count="1" selected="0">
            <x v="0"/>
          </reference>
          <reference field="13" count="1" selected="0">
            <x v="1"/>
          </reference>
        </references>
      </pivotArea>
    </chartFormat>
    <chartFormat chart="2" format="25">
      <pivotArea type="data" outline="0" fieldPosition="0">
        <references count="3">
          <reference field="4294967294" count="1" selected="0">
            <x v="0"/>
          </reference>
          <reference field="0" count="1" selected="0">
            <x v="1"/>
          </reference>
          <reference field="13" count="1" selected="0">
            <x v="1"/>
          </reference>
        </references>
      </pivotArea>
    </chartFormat>
    <chartFormat chart="2" format="26">
      <pivotArea type="data" outline="0" fieldPosition="0">
        <references count="3">
          <reference field="4294967294" count="1" selected="0">
            <x v="0"/>
          </reference>
          <reference field="0" count="1" selected="0">
            <x v="2"/>
          </reference>
          <reference field="13" count="1" selected="0">
            <x v="1"/>
          </reference>
        </references>
      </pivotArea>
    </chartFormat>
    <chartFormat chart="2" format="27">
      <pivotArea type="data" outline="0" fieldPosition="0">
        <references count="3">
          <reference field="4294967294" count="1" selected="0">
            <x v="0"/>
          </reference>
          <reference field="0" count="1" selected="0">
            <x v="3"/>
          </reference>
          <reference field="13" count="1" selected="0">
            <x v="1"/>
          </reference>
        </references>
      </pivotArea>
    </chartFormat>
    <chartFormat chart="2" format="28">
      <pivotArea type="data" outline="0" fieldPosition="0">
        <references count="3">
          <reference field="4294967294" count="1" selected="0">
            <x v="0"/>
          </reference>
          <reference field="0" count="1" selected="0">
            <x v="4"/>
          </reference>
          <reference field="13" count="1" selected="0">
            <x v="1"/>
          </reference>
        </references>
      </pivotArea>
    </chartFormat>
    <chartFormat chart="2" format="29">
      <pivotArea type="data" outline="0" fieldPosition="0">
        <references count="3">
          <reference field="4294967294" count="1" selected="0">
            <x v="0"/>
          </reference>
          <reference field="0" count="1" selected="0">
            <x v="5"/>
          </reference>
          <reference field="13" count="1" selected="0">
            <x v="1"/>
          </reference>
        </references>
      </pivotArea>
    </chartFormat>
    <chartFormat chart="5" format="30" series="1">
      <pivotArea type="data" outline="0" fieldPosition="0">
        <references count="2">
          <reference field="4294967294" count="1" selected="0">
            <x v="0"/>
          </reference>
          <reference field="13" count="1" selected="0">
            <x v="0"/>
          </reference>
        </references>
      </pivotArea>
    </chartFormat>
    <chartFormat chart="5" format="31">
      <pivotArea type="data" outline="0" fieldPosition="0">
        <references count="3">
          <reference field="4294967294" count="1" selected="0">
            <x v="0"/>
          </reference>
          <reference field="0" count="1" selected="0">
            <x v="0"/>
          </reference>
          <reference field="13" count="1" selected="0">
            <x v="0"/>
          </reference>
        </references>
      </pivotArea>
    </chartFormat>
    <chartFormat chart="5" format="32">
      <pivotArea type="data" outline="0" fieldPosition="0">
        <references count="3">
          <reference field="4294967294" count="1" selected="0">
            <x v="0"/>
          </reference>
          <reference field="0" count="1" selected="0">
            <x v="1"/>
          </reference>
          <reference field="13" count="1" selected="0">
            <x v="0"/>
          </reference>
        </references>
      </pivotArea>
    </chartFormat>
    <chartFormat chart="5" format="33">
      <pivotArea type="data" outline="0" fieldPosition="0">
        <references count="3">
          <reference field="4294967294" count="1" selected="0">
            <x v="0"/>
          </reference>
          <reference field="0" count="1" selected="0">
            <x v="2"/>
          </reference>
          <reference field="13" count="1" selected="0">
            <x v="0"/>
          </reference>
        </references>
      </pivotArea>
    </chartFormat>
    <chartFormat chart="5" format="34">
      <pivotArea type="data" outline="0" fieldPosition="0">
        <references count="3">
          <reference field="4294967294" count="1" selected="0">
            <x v="0"/>
          </reference>
          <reference field="0" count="1" selected="0">
            <x v="3"/>
          </reference>
          <reference field="13" count="1" selected="0">
            <x v="0"/>
          </reference>
        </references>
      </pivotArea>
    </chartFormat>
    <chartFormat chart="5" format="35">
      <pivotArea type="data" outline="0" fieldPosition="0">
        <references count="3">
          <reference field="4294967294" count="1" selected="0">
            <x v="0"/>
          </reference>
          <reference field="0" count="1" selected="0">
            <x v="4"/>
          </reference>
          <reference field="13" count="1" selected="0">
            <x v="0"/>
          </reference>
        </references>
      </pivotArea>
    </chartFormat>
    <chartFormat chart="5" format="36">
      <pivotArea type="data" outline="0" fieldPosition="0">
        <references count="3">
          <reference field="4294967294" count="1" selected="0">
            <x v="0"/>
          </reference>
          <reference field="0" count="1" selected="0">
            <x v="5"/>
          </reference>
          <reference field="13" count="1" selected="0">
            <x v="0"/>
          </reference>
        </references>
      </pivotArea>
    </chartFormat>
    <chartFormat chart="5" format="37" series="1">
      <pivotArea type="data" outline="0" fieldPosition="0">
        <references count="2">
          <reference field="4294967294" count="1" selected="0">
            <x v="0"/>
          </reference>
          <reference field="13" count="1" selected="0">
            <x v="1"/>
          </reference>
        </references>
      </pivotArea>
    </chartFormat>
    <chartFormat chart="5" format="38">
      <pivotArea type="data" outline="0" fieldPosition="0">
        <references count="3">
          <reference field="4294967294" count="1" selected="0">
            <x v="0"/>
          </reference>
          <reference field="0" count="1" selected="0">
            <x v="0"/>
          </reference>
          <reference field="13" count="1" selected="0">
            <x v="1"/>
          </reference>
        </references>
      </pivotArea>
    </chartFormat>
    <chartFormat chart="5" format="39">
      <pivotArea type="data" outline="0" fieldPosition="0">
        <references count="3">
          <reference field="4294967294" count="1" selected="0">
            <x v="0"/>
          </reference>
          <reference field="0" count="1" selected="0">
            <x v="1"/>
          </reference>
          <reference field="13" count="1" selected="0">
            <x v="1"/>
          </reference>
        </references>
      </pivotArea>
    </chartFormat>
    <chartFormat chart="5" format="40">
      <pivotArea type="data" outline="0" fieldPosition="0">
        <references count="3">
          <reference field="4294967294" count="1" selected="0">
            <x v="0"/>
          </reference>
          <reference field="0" count="1" selected="0">
            <x v="2"/>
          </reference>
          <reference field="13" count="1" selected="0">
            <x v="1"/>
          </reference>
        </references>
      </pivotArea>
    </chartFormat>
    <chartFormat chart="5" format="41">
      <pivotArea type="data" outline="0" fieldPosition="0">
        <references count="3">
          <reference field="4294967294" count="1" selected="0">
            <x v="0"/>
          </reference>
          <reference field="0" count="1" selected="0">
            <x v="3"/>
          </reference>
          <reference field="13" count="1" selected="0">
            <x v="1"/>
          </reference>
        </references>
      </pivotArea>
    </chartFormat>
    <chartFormat chart="5" format="42">
      <pivotArea type="data" outline="0" fieldPosition="0">
        <references count="3">
          <reference field="4294967294" count="1" selected="0">
            <x v="0"/>
          </reference>
          <reference field="0" count="1" selected="0">
            <x v="4"/>
          </reference>
          <reference field="13" count="1" selected="0">
            <x v="1"/>
          </reference>
        </references>
      </pivotArea>
    </chartFormat>
    <chartFormat chart="5" format="43">
      <pivotArea type="data" outline="0" fieldPosition="0">
        <references count="3">
          <reference field="4294967294" count="1" selected="0">
            <x v="0"/>
          </reference>
          <reference field="0" count="1" selected="0">
            <x v="5"/>
          </reference>
          <reference field="13" count="1" selected="0">
            <x v="1"/>
          </reference>
        </references>
      </pivotArea>
    </chartFormat>
    <chartFormat chart="6" format="44" series="1">
      <pivotArea type="data" outline="0" fieldPosition="0">
        <references count="2">
          <reference field="4294967294" count="1" selected="0">
            <x v="0"/>
          </reference>
          <reference field="13" count="1" selected="0">
            <x v="0"/>
          </reference>
        </references>
      </pivotArea>
    </chartFormat>
    <chartFormat chart="6" format="45">
      <pivotArea type="data" outline="0" fieldPosition="0">
        <references count="3">
          <reference field="4294967294" count="1" selected="0">
            <x v="0"/>
          </reference>
          <reference field="0" count="1" selected="0">
            <x v="0"/>
          </reference>
          <reference field="13" count="1" selected="0">
            <x v="0"/>
          </reference>
        </references>
      </pivotArea>
    </chartFormat>
    <chartFormat chart="6" format="46">
      <pivotArea type="data" outline="0" fieldPosition="0">
        <references count="3">
          <reference field="4294967294" count="1" selected="0">
            <x v="0"/>
          </reference>
          <reference field="0" count="1" selected="0">
            <x v="1"/>
          </reference>
          <reference field="13" count="1" selected="0">
            <x v="0"/>
          </reference>
        </references>
      </pivotArea>
    </chartFormat>
    <chartFormat chart="6" format="47">
      <pivotArea type="data" outline="0" fieldPosition="0">
        <references count="3">
          <reference field="4294967294" count="1" selected="0">
            <x v="0"/>
          </reference>
          <reference field="0" count="1" selected="0">
            <x v="2"/>
          </reference>
          <reference field="13" count="1" selected="0">
            <x v="0"/>
          </reference>
        </references>
      </pivotArea>
    </chartFormat>
    <chartFormat chart="6" format="48">
      <pivotArea type="data" outline="0" fieldPosition="0">
        <references count="3">
          <reference field="4294967294" count="1" selected="0">
            <x v="0"/>
          </reference>
          <reference field="0" count="1" selected="0">
            <x v="3"/>
          </reference>
          <reference field="13" count="1" selected="0">
            <x v="0"/>
          </reference>
        </references>
      </pivotArea>
    </chartFormat>
    <chartFormat chart="6" format="49">
      <pivotArea type="data" outline="0" fieldPosition="0">
        <references count="3">
          <reference field="4294967294" count="1" selected="0">
            <x v="0"/>
          </reference>
          <reference field="0" count="1" selected="0">
            <x v="4"/>
          </reference>
          <reference field="13" count="1" selected="0">
            <x v="0"/>
          </reference>
        </references>
      </pivotArea>
    </chartFormat>
    <chartFormat chart="6" format="50">
      <pivotArea type="data" outline="0" fieldPosition="0">
        <references count="3">
          <reference field="4294967294" count="1" selected="0">
            <x v="0"/>
          </reference>
          <reference field="0" count="1" selected="0">
            <x v="5"/>
          </reference>
          <reference field="13" count="1" selected="0">
            <x v="0"/>
          </reference>
        </references>
      </pivotArea>
    </chartFormat>
    <chartFormat chart="6" format="51" series="1">
      <pivotArea type="data" outline="0" fieldPosition="0">
        <references count="2">
          <reference field="4294967294" count="1" selected="0">
            <x v="0"/>
          </reference>
          <reference field="13" count="1" selected="0">
            <x v="1"/>
          </reference>
        </references>
      </pivotArea>
    </chartFormat>
    <chartFormat chart="6" format="52">
      <pivotArea type="data" outline="0" fieldPosition="0">
        <references count="3">
          <reference field="4294967294" count="1" selected="0">
            <x v="0"/>
          </reference>
          <reference field="0" count="1" selected="0">
            <x v="0"/>
          </reference>
          <reference field="13" count="1" selected="0">
            <x v="1"/>
          </reference>
        </references>
      </pivotArea>
    </chartFormat>
    <chartFormat chart="6" format="53">
      <pivotArea type="data" outline="0" fieldPosition="0">
        <references count="3">
          <reference field="4294967294" count="1" selected="0">
            <x v="0"/>
          </reference>
          <reference field="0" count="1" selected="0">
            <x v="1"/>
          </reference>
          <reference field="13" count="1" selected="0">
            <x v="1"/>
          </reference>
        </references>
      </pivotArea>
    </chartFormat>
    <chartFormat chart="6" format="54">
      <pivotArea type="data" outline="0" fieldPosition="0">
        <references count="3">
          <reference field="4294967294" count="1" selected="0">
            <x v="0"/>
          </reference>
          <reference field="0" count="1" selected="0">
            <x v="2"/>
          </reference>
          <reference field="13" count="1" selected="0">
            <x v="1"/>
          </reference>
        </references>
      </pivotArea>
    </chartFormat>
    <chartFormat chart="6" format="55">
      <pivotArea type="data" outline="0" fieldPosition="0">
        <references count="3">
          <reference field="4294967294" count="1" selected="0">
            <x v="0"/>
          </reference>
          <reference field="0" count="1" selected="0">
            <x v="3"/>
          </reference>
          <reference field="13" count="1" selected="0">
            <x v="1"/>
          </reference>
        </references>
      </pivotArea>
    </chartFormat>
    <chartFormat chart="6" format="56">
      <pivotArea type="data" outline="0" fieldPosition="0">
        <references count="3">
          <reference field="4294967294" count="1" selected="0">
            <x v="0"/>
          </reference>
          <reference field="0" count="1" selected="0">
            <x v="4"/>
          </reference>
          <reference field="13" count="1" selected="0">
            <x v="1"/>
          </reference>
        </references>
      </pivotArea>
    </chartFormat>
    <chartFormat chart="6" format="57">
      <pivotArea type="data" outline="0" fieldPosition="0">
        <references count="3">
          <reference field="4294967294" count="1" selected="0">
            <x v="0"/>
          </reference>
          <reference field="0" count="1" selected="0">
            <x v="5"/>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9B2760-FC38-4979-A827-3D80514E8F1A}"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Item">
  <location ref="F9:I16" firstHeaderRow="0" firstDataRow="1" firstDataCol="1"/>
  <pivotFields count="14">
    <pivotField axis="axisRow" showAll="0">
      <items count="7">
        <item x="0"/>
        <item x="2"/>
        <item x="1"/>
        <item x="5"/>
        <item x="4"/>
        <item x="3"/>
        <item t="default"/>
      </items>
    </pivotField>
    <pivotField showAll="0"/>
    <pivotField showAll="0"/>
    <pivotField numFmtId="164" showAll="0"/>
    <pivotField numFmtId="1" showAll="0"/>
    <pivotField numFmtId="1" showAll="0"/>
    <pivotField showAll="0">
      <items count="6">
        <item x="3"/>
        <item x="0"/>
        <item x="4"/>
        <item x="1"/>
        <item x="2"/>
        <item t="default"/>
      </items>
    </pivotField>
    <pivotField numFmtId="1" showAll="0">
      <items count="6">
        <item x="2"/>
        <item x="1"/>
        <item x="4"/>
        <item x="0"/>
        <item x="3"/>
        <item t="default"/>
      </items>
    </pivotField>
    <pivotField numFmtId="1" showAll="0"/>
    <pivotField dataField="1" showAll="0"/>
    <pivotField dataField="1" showAll="0"/>
    <pivotField showAll="0"/>
    <pivotField dataField="1" showAll="0">
      <items count="7">
        <item x="4"/>
        <item x="2"/>
        <item x="0"/>
        <item x="1"/>
        <item x="5"/>
        <item x="3"/>
        <item t="default"/>
      </items>
    </pivotField>
    <pivotField showAll="0"/>
  </pivotFields>
  <rowFields count="1">
    <field x="0"/>
  </rowFields>
  <rowItems count="7">
    <i>
      <x/>
    </i>
    <i>
      <x v="1"/>
    </i>
    <i>
      <x v="2"/>
    </i>
    <i>
      <x v="3"/>
    </i>
    <i>
      <x v="4"/>
    </i>
    <i>
      <x v="5"/>
    </i>
    <i t="grand">
      <x/>
    </i>
  </rowItems>
  <colFields count="1">
    <field x="-2"/>
  </colFields>
  <colItems count="3">
    <i>
      <x/>
    </i>
    <i i="1">
      <x v="1"/>
    </i>
    <i i="2">
      <x v="2"/>
    </i>
  </colItems>
  <dataFields count="3">
    <dataField name="Sum of Total Revenue ($)" fld="9" baseField="0" baseItem="0"/>
    <dataField name="Sum of Total Variable Cost ($)" fld="10" baseField="0" baseItem="0"/>
    <dataField name="Sum of Profit ($)" fld="12" baseField="0" baseItem="0"/>
  </dataFields>
  <formats count="6">
    <format dxfId="33">
      <pivotArea type="all" dataOnly="0" outline="0" fieldPosition="0"/>
    </format>
    <format dxfId="32">
      <pivotArea outline="0" collapsedLevelsAreSubtotals="1" fieldPosition="0"/>
    </format>
    <format dxfId="31">
      <pivotArea field="0" type="button" dataOnly="0" labelOnly="1" outline="0" axis="axisRow" fieldPosition="0"/>
    </format>
    <format dxfId="30">
      <pivotArea dataOnly="0" labelOnly="1" fieldPosition="0">
        <references count="1">
          <reference field="0" count="0"/>
        </references>
      </pivotArea>
    </format>
    <format dxfId="29">
      <pivotArea dataOnly="0" labelOnly="1" grandRow="1" outline="0" fieldPosition="0"/>
    </format>
    <format dxfId="28">
      <pivotArea dataOnly="0" labelOnly="1" outline="0" fieldPosition="0">
        <references count="1">
          <reference field="4294967294" count="3">
            <x v="0"/>
            <x v="1"/>
            <x v="2"/>
          </reference>
        </references>
      </pivotArea>
    </format>
  </formats>
  <chartFormats count="9">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 chart="4" format="9"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1"/>
          </reference>
        </references>
      </pivotArea>
    </chartFormat>
    <chartFormat chart="4" format="11" series="1">
      <pivotArea type="data" outline="0" fieldPosition="0">
        <references count="1">
          <reference field="4294967294" count="1" selected="0">
            <x v="2"/>
          </reference>
        </references>
      </pivotArea>
    </chartFormat>
    <chartFormat chart="5"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1"/>
          </reference>
        </references>
      </pivotArea>
    </chartFormat>
    <chartFormat chart="5"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46A58E-2C5E-4095-9C90-E33862327036}"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Item">
  <location ref="K9:M16" firstHeaderRow="0" firstDataRow="1" firstDataCol="1"/>
  <pivotFields count="14">
    <pivotField axis="axisRow" showAll="0">
      <items count="7">
        <item x="0"/>
        <item x="2"/>
        <item x="1"/>
        <item x="5"/>
        <item x="4"/>
        <item x="3"/>
        <item t="default"/>
      </items>
    </pivotField>
    <pivotField showAll="0"/>
    <pivotField showAll="0"/>
    <pivotField numFmtId="164" showAll="0"/>
    <pivotField numFmtId="1" showAll="0"/>
    <pivotField numFmtId="1" showAll="0"/>
    <pivotField dataField="1" showAll="0">
      <items count="6">
        <item x="3"/>
        <item x="0"/>
        <item x="4"/>
        <item x="1"/>
        <item x="2"/>
        <item t="default"/>
      </items>
    </pivotField>
    <pivotField dataField="1" numFmtId="1" showAll="0">
      <items count="6">
        <item x="2"/>
        <item x="1"/>
        <item x="4"/>
        <item x="0"/>
        <item x="3"/>
        <item t="default"/>
      </items>
    </pivotField>
    <pivotField numFmtId="1" showAll="0"/>
    <pivotField showAll="0"/>
    <pivotField showAll="0"/>
    <pivotField showAll="0"/>
    <pivotField showAll="0">
      <items count="7">
        <item x="4"/>
        <item x="2"/>
        <item x="0"/>
        <item x="1"/>
        <item x="5"/>
        <item x="3"/>
        <item t="default"/>
      </items>
    </pivotField>
    <pivotField showAll="0"/>
  </pivotFields>
  <rowFields count="1">
    <field x="0"/>
  </rowFields>
  <rowItems count="7">
    <i>
      <x/>
    </i>
    <i>
      <x v="1"/>
    </i>
    <i>
      <x v="2"/>
    </i>
    <i>
      <x v="3"/>
    </i>
    <i>
      <x v="4"/>
    </i>
    <i>
      <x v="5"/>
    </i>
    <i t="grand">
      <x/>
    </i>
  </rowItems>
  <colFields count="1">
    <field x="-2"/>
  </colFields>
  <colItems count="2">
    <i>
      <x/>
    </i>
    <i i="1">
      <x v="1"/>
    </i>
  </colItems>
  <dataFields count="2">
    <dataField name="Sum of Break-Even Point (Units)" fld="7" baseField="0" baseItem="0" numFmtId="1"/>
    <dataField name="Sum of Contribution Margin (%)" fld="6" baseField="0" baseItem="0"/>
  </dataFields>
  <formats count="6">
    <format dxfId="39">
      <pivotArea type="all" dataOnly="0" outline="0" fieldPosition="0"/>
    </format>
    <format dxfId="38">
      <pivotArea outline="0" collapsedLevelsAreSubtotals="1" fieldPosition="0"/>
    </format>
    <format dxfId="37">
      <pivotArea field="0" type="button" dataOnly="0" labelOnly="1" outline="0" axis="axisRow" fieldPosition="0"/>
    </format>
    <format dxfId="36">
      <pivotArea dataOnly="0" labelOnly="1" fieldPosition="0">
        <references count="1">
          <reference field="0" count="0"/>
        </references>
      </pivotArea>
    </format>
    <format dxfId="35">
      <pivotArea dataOnly="0" labelOnly="1" grandRow="1" outline="0" fieldPosition="0"/>
    </format>
    <format dxfId="34">
      <pivotArea dataOnly="0" labelOnly="1" outline="0" fieldPosition="0">
        <references count="1">
          <reference field="4294967294" count="2">
            <x v="0"/>
            <x v="1"/>
          </reference>
        </references>
      </pivotArea>
    </format>
  </formats>
  <chartFormats count="8">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 chart="6" format="12"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ibution_Margin" xr10:uid="{C34BA139-5DA3-4722-99F2-CD2F8ADAA206}" sourceName="Contribution Margin (%)">
  <pivotTables>
    <pivotTable tabId="5" name="PivotTable1"/>
    <pivotTable tabId="5" name="PivotTable2"/>
    <pivotTable tabId="5" name="PivotTable3"/>
  </pivotTables>
  <data>
    <tabular pivotCacheId="69199053">
      <items count="5">
        <i x="3" s="1"/>
        <i x="0" s="1"/>
        <i x="4"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eak_Even_Point__Units" xr10:uid="{F6F4C993-48B3-4311-A0EA-46643805360A}" sourceName="Break-Even Point (Units)">
  <pivotTables>
    <pivotTable tabId="5" name="PivotTable1"/>
    <pivotTable tabId="5" name="PivotTable2"/>
    <pivotTable tabId="5" name="PivotTable3"/>
  </pivotTables>
  <data>
    <tabular pivotCacheId="69199053">
      <items count="5">
        <i x="2" s="1"/>
        <i x="1" s="1"/>
        <i x="4"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9B21E45F-F11F-4373-A99F-D8253C725AD6}" sourceName="Profit ($)">
  <pivotTables>
    <pivotTable tabId="5" name="PivotTable1"/>
    <pivotTable tabId="5" name="PivotTable2"/>
    <pivotTable tabId="5" name="PivotTable3"/>
  </pivotTables>
  <data>
    <tabular pivotCacheId="69199053">
      <items count="6">
        <i x="4" s="1"/>
        <i x="2" s="1"/>
        <i x="0" s="1"/>
        <i x="1" s="1"/>
        <i x="5"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ED17E8E0-E86D-42C6-A690-538862EA7E02}" sourceName="Item">
  <pivotTables>
    <pivotTable tabId="5" name="PivotTable1"/>
    <pivotTable tabId="5" name="PivotTable2"/>
    <pivotTable tabId="5" name="PivotTable3"/>
  </pivotTables>
  <data>
    <tabular pivotCacheId="69199053">
      <items count="6">
        <i x="0" s="1"/>
        <i x="2" s="1"/>
        <i x="1" s="1"/>
        <i x="5"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ibution Margin (%)" xr10:uid="{05526FFC-4190-44C4-BA3E-B7BBEFE6E517}" cache="Slicer_Contribution_Margin" caption="Contribution Margin (%)" rowHeight="241300"/>
  <slicer name="Break-Even Point (Units)" xr10:uid="{0A395673-24A5-4D2D-B59F-0540D14C5ED2}" cache="Slicer_Break_Even_Point__Units" caption="Break-Even Point (Units)" rowHeight="241300"/>
  <slicer name="Profit ($)" xr10:uid="{CA390963-2B81-4CB1-A3F8-8D390D1F2DCB}" cache="Slicer_Profit" caption="Profit ($)" rowHeight="241300"/>
  <slicer name="Item" xr10:uid="{929379A4-1D21-460F-A49E-6F3EE3620489}" cache="Slicer_Item" caption="Item"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F1C8ED-262B-419D-9CE7-2DED15F99B62}" name="Table1" displayName="Table1" ref="A1:N7" totalsRowShown="0" headerRowDxfId="58" dataDxfId="56" headerRowBorderDxfId="57" tableBorderDxfId="55" totalsRowBorderDxfId="54">
  <autoFilter ref="A1:N7" xr:uid="{9FF1C8ED-262B-419D-9CE7-2DED15F99B62}"/>
  <tableColumns count="14">
    <tableColumn id="1" xr3:uid="{07F65F71-B74E-45BB-80C0-1CA1058D6561}" name="Item" dataDxfId="53"/>
    <tableColumn id="2" xr3:uid="{0BF1B35E-0577-4E3F-8F93-E42B83143287}" name="Selling Price per Unit ($)" dataDxfId="52"/>
    <tableColumn id="3" xr3:uid="{C6B48A07-43E8-4186-B6E4-A20C2279B398}" name="Variable Cost per Unit ($)" dataDxfId="51"/>
    <tableColumn id="4" xr3:uid="{F740D87F-132E-4924-97FF-7EBEEF0E3C90}" name="Fixed Costs ($)" dataDxfId="50"/>
    <tableColumn id="5" xr3:uid="{C2156EA8-C6FB-47FE-A0FE-F230CCC9DE41}" name="User Input Units Sold" dataDxfId="49"/>
    <tableColumn id="6" xr3:uid="{676FFED0-D603-4945-A051-C5A5FBE79C42}" name="Contribution Margin per Unit ($)" dataDxfId="48">
      <calculatedColumnFormula>B2-C2</calculatedColumnFormula>
    </tableColumn>
    <tableColumn id="7" xr3:uid="{85675E06-0071-4C62-9AEE-C01A02E24B98}" name="Contribution Margin (%)" dataDxfId="47">
      <calculatedColumnFormula>B2 / C2</calculatedColumnFormula>
    </tableColumn>
    <tableColumn id="8" xr3:uid="{1BB0FE72-9670-4AAC-A76A-AC331A90C3ED}" name="Break-Even Point (Units)" dataDxfId="46">
      <calculatedColumnFormula>D2/(B2-C2)</calculatedColumnFormula>
    </tableColumn>
    <tableColumn id="9" xr3:uid="{ED887772-8350-4E20-82B4-4F309C1BE747}" name="Break-Even Revenue ($)" dataDxfId="45">
      <calculatedColumnFormula>H2*B2</calculatedColumnFormula>
    </tableColumn>
    <tableColumn id="10" xr3:uid="{773BB7BB-DF9A-4168-8CB3-A5A8D34C2A58}" name="Total Revenue ($)" dataDxfId="44">
      <calculatedColumnFormula>B2*E2</calculatedColumnFormula>
    </tableColumn>
    <tableColumn id="11" xr3:uid="{B6E79694-0B9D-49C3-9370-E3BEAB876E41}" name="Total Variable Cost ($)" dataDxfId="43">
      <calculatedColumnFormula>C2*E2</calculatedColumnFormula>
    </tableColumn>
    <tableColumn id="12" xr3:uid="{EA42A0C5-7C50-4019-90ED-23EC6249488E}" name="Total Cost ($)" dataDxfId="42">
      <calculatedColumnFormula>D2+(C2*E2)</calculatedColumnFormula>
    </tableColumn>
    <tableColumn id="13" xr3:uid="{33C7AF88-F412-4C90-829C-84C37BDE8257}" name="Profit ($)" dataDxfId="41">
      <calculatedColumnFormula>J2-L2</calculatedColumnFormula>
    </tableColumn>
    <tableColumn id="14" xr3:uid="{B3F9BA3E-E788-426C-B4FE-C12D9A52E08C}" name="Profit Status" dataDxfId="40">
      <calculatedColumnFormula>IF(M2 &gt; 0, "Profit", IF(M2 &lt; 0, "Loss", "Break-Even"))</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0A8E2D-E54E-41EC-A246-2D60822F8703}" name="Table2" displayName="Table2" ref="A1:N7" totalsRowShown="0" headerRowDxfId="17" headerRowBorderDxfId="16" tableBorderDxfId="15" totalsRowBorderDxfId="14">
  <autoFilter ref="A1:N7" xr:uid="{1F0A8E2D-E54E-41EC-A246-2D60822F8703}"/>
  <tableColumns count="14">
    <tableColumn id="1" xr3:uid="{C3649237-E4FB-4F99-958C-86104AF2D47A}" name="Item" dataDxfId="13">
      <calculatedColumnFormula>'Data Entry'!A2</calculatedColumnFormula>
    </tableColumn>
    <tableColumn id="2" xr3:uid="{F7F95602-6F5F-44C9-8B2B-EB172DA8B09B}" name="Selling Price per Unit ($)" dataDxfId="12">
      <calculatedColumnFormula>'Data Entry'!B2</calculatedColumnFormula>
    </tableColumn>
    <tableColumn id="3" xr3:uid="{211E7B8D-5D9B-4C62-B673-A3F7140C4840}" name="Variable Cost per Unit ($)" dataDxfId="11">
      <calculatedColumnFormula>'Data Entry'!C2</calculatedColumnFormula>
    </tableColumn>
    <tableColumn id="4" xr3:uid="{A56EDAA2-347A-4E0B-B242-606F65949AEB}" name="Fixed Costs ($)" dataDxfId="10">
      <calculatedColumnFormula>'Data Entry'!D2</calculatedColumnFormula>
    </tableColumn>
    <tableColumn id="5" xr3:uid="{3A30F86B-E355-4AAD-8ADB-D7BFEF558F80}" name="User Input Units Sold" dataDxfId="9">
      <calculatedColumnFormula>'Data Entry'!E2</calculatedColumnFormula>
    </tableColumn>
    <tableColumn id="6" xr3:uid="{2469DF8A-1A7A-403F-B4B7-C18BE02E7D32}" name="Contribution Margin per Unit ($)" dataDxfId="8">
      <calculatedColumnFormula>'Data Entry'!F2</calculatedColumnFormula>
    </tableColumn>
    <tableColumn id="7" xr3:uid="{F1821C72-6A9D-4D6C-A30A-81E252D8B379}" name="Contribution Margin (%)" dataDxfId="7">
      <calculatedColumnFormula>'Data Entry'!G2</calculatedColumnFormula>
    </tableColumn>
    <tableColumn id="8" xr3:uid="{05366E7B-3161-4574-B906-454525078C6D}" name="Break-Even Point (Units)" dataDxfId="6">
      <calculatedColumnFormula>'Data Entry'!H2</calculatedColumnFormula>
    </tableColumn>
    <tableColumn id="9" xr3:uid="{8D017EED-FDF4-4CF0-993C-A3F1F34476F9}" name="Break-Even Revenue ($)" dataDxfId="5">
      <calculatedColumnFormula>'Data Entry'!I2</calculatedColumnFormula>
    </tableColumn>
    <tableColumn id="10" xr3:uid="{F988B7CC-0E6E-4C73-94D4-293F4F92160B}" name="Total Revenue ($)" dataDxfId="4">
      <calculatedColumnFormula>'Data Entry'!J2</calculatedColumnFormula>
    </tableColumn>
    <tableColumn id="11" xr3:uid="{7F0A13D5-9332-455A-B6A3-D464FFCE27E3}" name="Total Variable Cost ($)" dataDxfId="3">
      <calculatedColumnFormula>'Data Entry'!K2</calculatedColumnFormula>
    </tableColumn>
    <tableColumn id="12" xr3:uid="{ACEFD7BF-CF09-47BD-946C-11668C6F8187}" name="Total Cost ($)" dataDxfId="2">
      <calculatedColumnFormula>'Data Entry'!L2</calculatedColumnFormula>
    </tableColumn>
    <tableColumn id="13" xr3:uid="{ED596366-3AFB-4FCE-89E4-506C00F1733F}" name="Profit ($)" dataDxfId="1">
      <calculatedColumnFormula>'Data Entry'!M2</calculatedColumnFormula>
    </tableColumn>
    <tableColumn id="14" xr3:uid="{CD177F96-7C70-4FA0-A5F4-BECD800D1619}" name="Profit Status" dataDxfId="0">
      <calculatedColumnFormula>'Data Entry'!N2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06B61-ADA5-4DBD-B9CD-7C7EA549D558}">
  <sheetPr>
    <tabColor theme="0" tint="-4.9989318521683403E-2"/>
  </sheetPr>
  <dimension ref="A1:C8"/>
  <sheetViews>
    <sheetView workbookViewId="0">
      <selection activeCell="C23" sqref="C23"/>
    </sheetView>
  </sheetViews>
  <sheetFormatPr defaultRowHeight="15" x14ac:dyDescent="0.25"/>
  <cols>
    <col min="1" max="1" width="27.85546875" bestFit="1" customWidth="1"/>
    <col min="2" max="2" width="7.7109375" bestFit="1" customWidth="1"/>
    <col min="3" max="3" width="38" bestFit="1" customWidth="1"/>
  </cols>
  <sheetData>
    <row r="1" spans="1:3" ht="19.5" thickBot="1" x14ac:dyDescent="0.35">
      <c r="A1" s="18" t="s">
        <v>22</v>
      </c>
      <c r="B1" s="19" t="s">
        <v>23</v>
      </c>
      <c r="C1" s="20" t="s">
        <v>24</v>
      </c>
    </row>
    <row r="2" spans="1:3" x14ac:dyDescent="0.25">
      <c r="A2" s="21" t="s">
        <v>25</v>
      </c>
      <c r="B2" s="23">
        <v>0.05</v>
      </c>
      <c r="C2" s="17" t="s">
        <v>26</v>
      </c>
    </row>
    <row r="3" spans="1:3" x14ac:dyDescent="0.25">
      <c r="A3" s="22" t="s">
        <v>27</v>
      </c>
      <c r="B3" s="24">
        <v>0.03</v>
      </c>
      <c r="C3" s="16" t="s">
        <v>28</v>
      </c>
    </row>
    <row r="4" spans="1:3" x14ac:dyDescent="0.25">
      <c r="A4" s="22" t="s">
        <v>29</v>
      </c>
      <c r="B4" s="24">
        <v>0.04</v>
      </c>
      <c r="C4" s="16" t="s">
        <v>30</v>
      </c>
    </row>
    <row r="5" spans="1:3" x14ac:dyDescent="0.25">
      <c r="A5" s="22" t="s">
        <v>31</v>
      </c>
      <c r="B5" s="24">
        <v>0.1</v>
      </c>
      <c r="C5" s="16" t="s">
        <v>32</v>
      </c>
    </row>
    <row r="6" spans="1:3" x14ac:dyDescent="0.25">
      <c r="A6" s="22" t="s">
        <v>33</v>
      </c>
      <c r="B6" s="24">
        <v>0.02</v>
      </c>
      <c r="C6" s="16" t="s">
        <v>34</v>
      </c>
    </row>
    <row r="7" spans="1:3" x14ac:dyDescent="0.25">
      <c r="A7" s="22" t="s">
        <v>35</v>
      </c>
      <c r="B7" s="24">
        <v>0.08</v>
      </c>
      <c r="C7" s="16" t="s">
        <v>36</v>
      </c>
    </row>
    <row r="8" spans="1:3" x14ac:dyDescent="0.25">
      <c r="A8" s="22" t="s">
        <v>37</v>
      </c>
      <c r="B8" s="24">
        <v>0.3</v>
      </c>
      <c r="C8" s="16" t="s">
        <v>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249977111117893"/>
  </sheetPr>
  <dimension ref="A1:N7"/>
  <sheetViews>
    <sheetView workbookViewId="0">
      <selection activeCell="F29" sqref="F29"/>
    </sheetView>
  </sheetViews>
  <sheetFormatPr defaultRowHeight="15" x14ac:dyDescent="0.25"/>
  <cols>
    <col min="1" max="1" width="25.140625" bestFit="1" customWidth="1"/>
    <col min="2" max="2" width="26.7109375" customWidth="1"/>
    <col min="3" max="3" width="27.5703125" customWidth="1"/>
    <col min="4" max="4" width="16.85546875" customWidth="1"/>
    <col min="5" max="5" width="23.7109375" customWidth="1"/>
    <col min="6" max="6" width="35" customWidth="1"/>
    <col min="7" max="8" width="27" customWidth="1"/>
    <col min="9" max="9" width="26.28515625" customWidth="1"/>
    <col min="10" max="10" width="20.28515625" customWidth="1"/>
    <col min="11" max="11" width="24.5703125" customWidth="1"/>
    <col min="12" max="12" width="16" customWidth="1"/>
    <col min="13" max="13" width="11.85546875" customWidth="1"/>
    <col min="14" max="14" width="15.42578125" customWidth="1"/>
  </cols>
  <sheetData>
    <row r="1" spans="1:14" ht="15.75" x14ac:dyDescent="0.25">
      <c r="A1" s="27" t="s">
        <v>0</v>
      </c>
      <c r="B1" s="28" t="s">
        <v>1</v>
      </c>
      <c r="C1" s="28" t="s">
        <v>2</v>
      </c>
      <c r="D1" s="28" t="s">
        <v>3</v>
      </c>
      <c r="E1" s="28" t="s">
        <v>4</v>
      </c>
      <c r="F1" s="28" t="s">
        <v>5</v>
      </c>
      <c r="G1" s="28" t="s">
        <v>6</v>
      </c>
      <c r="H1" s="28" t="s">
        <v>7</v>
      </c>
      <c r="I1" s="28" t="s">
        <v>8</v>
      </c>
      <c r="J1" s="28" t="s">
        <v>9</v>
      </c>
      <c r="K1" s="28" t="s">
        <v>10</v>
      </c>
      <c r="L1" s="28" t="s">
        <v>11</v>
      </c>
      <c r="M1" s="28" t="s">
        <v>12</v>
      </c>
      <c r="N1" s="29" t="s">
        <v>13</v>
      </c>
    </row>
    <row r="2" spans="1:14" x14ac:dyDescent="0.25">
      <c r="A2" s="25" t="s">
        <v>16</v>
      </c>
      <c r="B2" s="13">
        <f>50* (1 + Assumptions!B4)</f>
        <v>52</v>
      </c>
      <c r="C2" s="13">
        <f>30*(1 + Assumptions!B3)</f>
        <v>30.900000000000002</v>
      </c>
      <c r="D2" s="13">
        <f>10000 * (1 + Assumptions!B2)</f>
        <v>10500</v>
      </c>
      <c r="E2" s="13">
        <f>500* (1 + Assumptions!B5)</f>
        <v>550</v>
      </c>
      <c r="F2" s="13">
        <f t="shared" ref="F2:F7" si="0">B2-C2</f>
        <v>21.099999999999998</v>
      </c>
      <c r="G2" s="14">
        <f t="shared" ref="G2:G7" si="1">B2 / C2</f>
        <v>1.6828478964401294</v>
      </c>
      <c r="H2" s="15">
        <f t="shared" ref="H2:H7" si="2">D2/(B2-C2)</f>
        <v>497.63033175355457</v>
      </c>
      <c r="I2" s="15">
        <f t="shared" ref="I2:I7" si="3">H2*B2</f>
        <v>25876.777251184838</v>
      </c>
      <c r="J2" s="13">
        <f t="shared" ref="J2:J7" si="4">B2*E2</f>
        <v>28600</v>
      </c>
      <c r="K2" s="13">
        <f t="shared" ref="K2:K7" si="5">C2*E2</f>
        <v>16995</v>
      </c>
      <c r="L2" s="13">
        <f t="shared" ref="L2:L7" si="6">D2+(C2*E2)</f>
        <v>27495</v>
      </c>
      <c r="M2" s="13">
        <f>J2-L2</f>
        <v>1105</v>
      </c>
      <c r="N2" s="26" t="str">
        <f>IF(M2 &gt; 0, "Profit", IF(M2 &lt; 0, "Loss", "Break-Even"))</f>
        <v>Profit</v>
      </c>
    </row>
    <row r="3" spans="1:14" x14ac:dyDescent="0.25">
      <c r="A3" s="25" t="s">
        <v>17</v>
      </c>
      <c r="B3" s="13">
        <f>80* (1 + Assumptions!B4)</f>
        <v>83.2</v>
      </c>
      <c r="C3" s="13">
        <f>40*(1 + Assumptions!B3)</f>
        <v>41.2</v>
      </c>
      <c r="D3" s="13">
        <f>15000* (1 + Assumptions!B2)</f>
        <v>15750</v>
      </c>
      <c r="E3" s="13">
        <f>400* (1 + Assumptions!B5)</f>
        <v>440.00000000000006</v>
      </c>
      <c r="F3" s="13">
        <f t="shared" si="0"/>
        <v>42</v>
      </c>
      <c r="G3" s="14">
        <f t="shared" si="1"/>
        <v>2.0194174757281553</v>
      </c>
      <c r="H3" s="15">
        <f t="shared" si="2"/>
        <v>375</v>
      </c>
      <c r="I3" s="15">
        <f t="shared" si="3"/>
        <v>31200</v>
      </c>
      <c r="J3" s="13">
        <f t="shared" si="4"/>
        <v>36608.000000000007</v>
      </c>
      <c r="K3" s="13">
        <f t="shared" si="5"/>
        <v>18128.000000000004</v>
      </c>
      <c r="L3" s="13">
        <f t="shared" si="6"/>
        <v>33878</v>
      </c>
      <c r="M3" s="13">
        <f t="shared" ref="M3:M7" si="7">J3-L3</f>
        <v>2730.0000000000073</v>
      </c>
      <c r="N3" s="26" t="str">
        <f t="shared" ref="N3:N7" si="8">IF(M3 &gt; 0, "Profit", IF(M3 &lt; 0, "Loss", "Break-Even"))</f>
        <v>Profit</v>
      </c>
    </row>
    <row r="4" spans="1:14" x14ac:dyDescent="0.25">
      <c r="A4" s="25" t="s">
        <v>18</v>
      </c>
      <c r="B4" s="13">
        <f>100* (1 + Assumptions!B4)</f>
        <v>104</v>
      </c>
      <c r="C4" s="13">
        <f>60*(1 + Assumptions!B3)</f>
        <v>61.800000000000004</v>
      </c>
      <c r="D4" s="13">
        <f>20000* (1 + Assumptions!B2)</f>
        <v>21000</v>
      </c>
      <c r="E4" s="13">
        <f>300* (1 + Assumptions!B5)</f>
        <v>330</v>
      </c>
      <c r="F4" s="13">
        <f t="shared" si="0"/>
        <v>42.199999999999996</v>
      </c>
      <c r="G4" s="14">
        <f t="shared" si="1"/>
        <v>1.6828478964401294</v>
      </c>
      <c r="H4" s="15">
        <f t="shared" si="2"/>
        <v>497.63033175355457</v>
      </c>
      <c r="I4" s="15">
        <f t="shared" si="3"/>
        <v>51753.554502369676</v>
      </c>
      <c r="J4" s="13">
        <f t="shared" si="4"/>
        <v>34320</v>
      </c>
      <c r="K4" s="13">
        <f t="shared" si="5"/>
        <v>20394</v>
      </c>
      <c r="L4" s="13">
        <f t="shared" si="6"/>
        <v>41394</v>
      </c>
      <c r="M4" s="13">
        <f t="shared" si="7"/>
        <v>-7074</v>
      </c>
      <c r="N4" s="26" t="str">
        <f t="shared" si="8"/>
        <v>Loss</v>
      </c>
    </row>
    <row r="5" spans="1:14" x14ac:dyDescent="0.25">
      <c r="A5" s="25" t="s">
        <v>19</v>
      </c>
      <c r="B5" s="13">
        <f>60* (1 + Assumptions!B4)</f>
        <v>62.400000000000006</v>
      </c>
      <c r="C5" s="13">
        <f>25*(1 + Assumptions!B3)</f>
        <v>25.75</v>
      </c>
      <c r="D5" s="13">
        <f>12000* (1 + Assumptions!B2)</f>
        <v>12600</v>
      </c>
      <c r="E5" s="13">
        <f>600* (1 + Assumptions!B5)</f>
        <v>660</v>
      </c>
      <c r="F5" s="13">
        <f t="shared" si="0"/>
        <v>36.650000000000006</v>
      </c>
      <c r="G5" s="14">
        <f t="shared" si="1"/>
        <v>2.4233009708737865</v>
      </c>
      <c r="H5" s="15">
        <f t="shared" si="2"/>
        <v>343.79263301500674</v>
      </c>
      <c r="I5" s="15">
        <f t="shared" si="3"/>
        <v>21452.660300136424</v>
      </c>
      <c r="J5" s="13">
        <f t="shared" si="4"/>
        <v>41184.000000000007</v>
      </c>
      <c r="K5" s="13">
        <f t="shared" si="5"/>
        <v>16995</v>
      </c>
      <c r="L5" s="13">
        <f t="shared" si="6"/>
        <v>29595</v>
      </c>
      <c r="M5" s="13">
        <f t="shared" si="7"/>
        <v>11589.000000000007</v>
      </c>
      <c r="N5" s="26" t="str">
        <f t="shared" si="8"/>
        <v>Profit</v>
      </c>
    </row>
    <row r="6" spans="1:14" x14ac:dyDescent="0.25">
      <c r="A6" s="25" t="s">
        <v>20</v>
      </c>
      <c r="B6" s="13">
        <f>120* (1 + Assumptions!B4)</f>
        <v>124.80000000000001</v>
      </c>
      <c r="C6" s="13">
        <f>90*(1 + Assumptions!B3)</f>
        <v>92.7</v>
      </c>
      <c r="D6" s="13">
        <f>25000* (1 + Assumptions!B2)</f>
        <v>26250</v>
      </c>
      <c r="E6" s="13">
        <f>200* (1 + Assumptions!B5)</f>
        <v>220.00000000000003</v>
      </c>
      <c r="F6" s="13">
        <f t="shared" si="0"/>
        <v>32.100000000000009</v>
      </c>
      <c r="G6" s="14">
        <f t="shared" si="1"/>
        <v>1.3462783171521036</v>
      </c>
      <c r="H6" s="15">
        <f t="shared" si="2"/>
        <v>817.75700934579413</v>
      </c>
      <c r="I6" s="15">
        <f t="shared" si="3"/>
        <v>102056.07476635512</v>
      </c>
      <c r="J6" s="13">
        <f t="shared" si="4"/>
        <v>27456.000000000007</v>
      </c>
      <c r="K6" s="13">
        <f t="shared" si="5"/>
        <v>20394.000000000004</v>
      </c>
      <c r="L6" s="13">
        <f t="shared" si="6"/>
        <v>46644</v>
      </c>
      <c r="M6" s="13">
        <f t="shared" si="7"/>
        <v>-19187.999999999993</v>
      </c>
      <c r="N6" s="26" t="str">
        <f t="shared" si="8"/>
        <v>Loss</v>
      </c>
    </row>
    <row r="7" spans="1:14" x14ac:dyDescent="0.25">
      <c r="A7" s="30" t="s">
        <v>21</v>
      </c>
      <c r="B7" s="31">
        <f>70* (1 + Assumptions!B4)</f>
        <v>72.8</v>
      </c>
      <c r="C7" s="31">
        <f>35*(1 + Assumptions!B3)</f>
        <v>36.050000000000004</v>
      </c>
      <c r="D7" s="31">
        <f>14000* (1 + Assumptions!B2)</f>
        <v>14700</v>
      </c>
      <c r="E7" s="31">
        <f>450* (1 + Assumptions!B5)</f>
        <v>495.00000000000006</v>
      </c>
      <c r="F7" s="31">
        <f t="shared" si="0"/>
        <v>36.749999999999993</v>
      </c>
      <c r="G7" s="32">
        <f t="shared" si="1"/>
        <v>2.0194174757281549</v>
      </c>
      <c r="H7" s="33">
        <f t="shared" si="2"/>
        <v>400.00000000000006</v>
      </c>
      <c r="I7" s="33">
        <f t="shared" si="3"/>
        <v>29120.000000000004</v>
      </c>
      <c r="J7" s="31">
        <f t="shared" si="4"/>
        <v>36036</v>
      </c>
      <c r="K7" s="31">
        <f t="shared" si="5"/>
        <v>17844.750000000004</v>
      </c>
      <c r="L7" s="31">
        <f t="shared" si="6"/>
        <v>32544.750000000004</v>
      </c>
      <c r="M7" s="31">
        <f t="shared" si="7"/>
        <v>3491.2499999999964</v>
      </c>
      <c r="N7" s="34" t="str">
        <f t="shared" si="8"/>
        <v>Profit</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74F48-72F0-472B-8407-1634771CA09C}">
  <sheetPr>
    <tabColor theme="0" tint="-0.499984740745262"/>
  </sheetPr>
  <dimension ref="A1:N17"/>
  <sheetViews>
    <sheetView workbookViewId="0">
      <selection activeCell="B10" sqref="B10"/>
    </sheetView>
  </sheetViews>
  <sheetFormatPr defaultRowHeight="15" x14ac:dyDescent="0.25"/>
  <cols>
    <col min="1" max="1" width="25.140625" bestFit="1" customWidth="1"/>
    <col min="2" max="2" width="16.28515625" bestFit="1" customWidth="1"/>
    <col min="3" max="3" width="6" bestFit="1" customWidth="1"/>
    <col min="4" max="4" width="11.28515625" bestFit="1" customWidth="1"/>
    <col min="5" max="5" width="21.85546875" customWidth="1"/>
    <col min="6" max="6" width="25.140625" bestFit="1" customWidth="1"/>
    <col min="7" max="7" width="23.5703125" bestFit="1" customWidth="1"/>
    <col min="8" max="8" width="27.5703125" bestFit="1" customWidth="1"/>
    <col min="9" max="9" width="15.5703125" bestFit="1" customWidth="1"/>
    <col min="10" max="10" width="18.7109375" customWidth="1"/>
    <col min="11" max="11" width="25.140625" bestFit="1" customWidth="1"/>
    <col min="12" max="12" width="30" bestFit="1" customWidth="1"/>
    <col min="13" max="13" width="29.7109375" bestFit="1" customWidth="1"/>
    <col min="14" max="14" width="14" customWidth="1"/>
    <col min="15" max="15" width="12.5703125" bestFit="1" customWidth="1"/>
    <col min="16" max="16" width="8.85546875" bestFit="1" customWidth="1"/>
    <col min="17" max="17" width="11.85546875" bestFit="1" customWidth="1"/>
  </cols>
  <sheetData>
    <row r="1" spans="1:14" x14ac:dyDescent="0.25">
      <c r="A1" s="38" t="s">
        <v>0</v>
      </c>
      <c r="B1" s="39" t="s">
        <v>1</v>
      </c>
      <c r="C1" s="39" t="s">
        <v>2</v>
      </c>
      <c r="D1" s="39" t="s">
        <v>3</v>
      </c>
      <c r="E1" s="39" t="s">
        <v>4</v>
      </c>
      <c r="F1" s="39" t="s">
        <v>5</v>
      </c>
      <c r="G1" s="39" t="s">
        <v>6</v>
      </c>
      <c r="H1" s="39" t="s">
        <v>7</v>
      </c>
      <c r="I1" s="39" t="s">
        <v>8</v>
      </c>
      <c r="J1" s="39" t="s">
        <v>9</v>
      </c>
      <c r="K1" s="39" t="s">
        <v>10</v>
      </c>
      <c r="L1" s="39" t="s">
        <v>11</v>
      </c>
      <c r="M1" s="39" t="s">
        <v>12</v>
      </c>
      <c r="N1" s="40" t="s">
        <v>13</v>
      </c>
    </row>
    <row r="2" spans="1:14" x14ac:dyDescent="0.25">
      <c r="A2" s="36" t="str">
        <f>'Data Entry'!A2</f>
        <v>EcoSmart Water Bottle</v>
      </c>
      <c r="B2" s="1">
        <f>'Data Entry'!B2</f>
        <v>52</v>
      </c>
      <c r="C2" s="1">
        <f>'Data Entry'!C2</f>
        <v>30.900000000000002</v>
      </c>
      <c r="D2" s="10">
        <f>'Data Entry'!D2</f>
        <v>10500</v>
      </c>
      <c r="E2" s="2">
        <f>'Data Entry'!E2</f>
        <v>550</v>
      </c>
      <c r="F2" s="2">
        <f>'Data Entry'!F2</f>
        <v>21.099999999999998</v>
      </c>
      <c r="G2" s="1">
        <f>'Data Entry'!G2</f>
        <v>1.6828478964401294</v>
      </c>
      <c r="H2" s="2">
        <f>'Data Entry'!H2</f>
        <v>497.63033175355457</v>
      </c>
      <c r="I2" s="2">
        <f>'Data Entry'!I2</f>
        <v>25876.777251184838</v>
      </c>
      <c r="J2" s="1">
        <f>'Data Entry'!J2</f>
        <v>28600</v>
      </c>
      <c r="K2" s="1">
        <f>'Data Entry'!K2</f>
        <v>16995</v>
      </c>
      <c r="L2" s="1">
        <f>'Data Entry'!L2</f>
        <v>27495</v>
      </c>
      <c r="M2" s="1">
        <f>'Data Entry'!M2</f>
        <v>1105</v>
      </c>
      <c r="N2" s="37" t="str">
        <f>'Data Entry'!N2</f>
        <v>Profit</v>
      </c>
    </row>
    <row r="3" spans="1:14" x14ac:dyDescent="0.25">
      <c r="A3" s="36" t="str">
        <f>'Data Entry'!A3</f>
        <v>ProNoise Wireless Earbuds</v>
      </c>
      <c r="B3" s="1">
        <f>'Data Entry'!B3</f>
        <v>83.2</v>
      </c>
      <c r="C3" s="1">
        <f>'Data Entry'!C3</f>
        <v>41.2</v>
      </c>
      <c r="D3" s="10">
        <f>'Data Entry'!D3</f>
        <v>15750</v>
      </c>
      <c r="E3" s="2">
        <f>'Data Entry'!E3</f>
        <v>440.00000000000006</v>
      </c>
      <c r="F3" s="2">
        <f>'Data Entry'!F3</f>
        <v>42</v>
      </c>
      <c r="G3" s="1">
        <f>'Data Entry'!G3</f>
        <v>2.0194174757281553</v>
      </c>
      <c r="H3" s="2">
        <f>'Data Entry'!H3</f>
        <v>375</v>
      </c>
      <c r="I3" s="2">
        <f>'Data Entry'!I3</f>
        <v>31200</v>
      </c>
      <c r="J3" s="1">
        <f>'Data Entry'!J3</f>
        <v>36608.000000000007</v>
      </c>
      <c r="K3" s="1">
        <f>'Data Entry'!K3</f>
        <v>18128.000000000004</v>
      </c>
      <c r="L3" s="1">
        <f>'Data Entry'!L3</f>
        <v>33878</v>
      </c>
      <c r="M3" s="1">
        <f>'Data Entry'!M3</f>
        <v>2730.0000000000073</v>
      </c>
      <c r="N3" s="37" t="str">
        <f>'Data Entry'!N3</f>
        <v>Profit</v>
      </c>
    </row>
    <row r="4" spans="1:14" x14ac:dyDescent="0.25">
      <c r="A4" s="36" t="str">
        <f>'Data Entry'!A4</f>
        <v>FlexiFit Resistance Bands</v>
      </c>
      <c r="B4" s="1">
        <f>'Data Entry'!B4</f>
        <v>104</v>
      </c>
      <c r="C4" s="1">
        <f>'Data Entry'!C4</f>
        <v>61.800000000000004</v>
      </c>
      <c r="D4" s="10">
        <f>'Data Entry'!D4</f>
        <v>21000</v>
      </c>
      <c r="E4" s="2">
        <f>'Data Entry'!E4</f>
        <v>330</v>
      </c>
      <c r="F4" s="2">
        <f>'Data Entry'!F4</f>
        <v>42.199999999999996</v>
      </c>
      <c r="G4" s="1">
        <f>'Data Entry'!G4</f>
        <v>1.6828478964401294</v>
      </c>
      <c r="H4" s="2">
        <f>'Data Entry'!H4</f>
        <v>497.63033175355457</v>
      </c>
      <c r="I4" s="2">
        <f>'Data Entry'!I4</f>
        <v>51753.554502369676</v>
      </c>
      <c r="J4" s="1">
        <f>'Data Entry'!J4</f>
        <v>34320</v>
      </c>
      <c r="K4" s="1">
        <f>'Data Entry'!K4</f>
        <v>20394</v>
      </c>
      <c r="L4" s="1">
        <f>'Data Entry'!L4</f>
        <v>41394</v>
      </c>
      <c r="M4" s="1">
        <f>'Data Entry'!M4</f>
        <v>-7074</v>
      </c>
      <c r="N4" s="37" t="str">
        <f>'Data Entry'!N4</f>
        <v>Loss</v>
      </c>
    </row>
    <row r="5" spans="1:14" x14ac:dyDescent="0.25">
      <c r="A5" s="36" t="str">
        <f>'Data Entry'!A5</f>
        <v>ZenGlow Facial Steamer</v>
      </c>
      <c r="B5" s="1">
        <f>'Data Entry'!B5</f>
        <v>62.400000000000006</v>
      </c>
      <c r="C5" s="1">
        <f>'Data Entry'!C5</f>
        <v>25.75</v>
      </c>
      <c r="D5" s="10">
        <f>'Data Entry'!D5</f>
        <v>12600</v>
      </c>
      <c r="E5" s="2">
        <f>'Data Entry'!E5</f>
        <v>660</v>
      </c>
      <c r="F5" s="2">
        <f>'Data Entry'!F5</f>
        <v>36.650000000000006</v>
      </c>
      <c r="G5" s="1">
        <f>'Data Entry'!G5</f>
        <v>2.4233009708737865</v>
      </c>
      <c r="H5" s="2">
        <f>'Data Entry'!H5</f>
        <v>343.79263301500674</v>
      </c>
      <c r="I5" s="2">
        <f>'Data Entry'!I5</f>
        <v>21452.660300136424</v>
      </c>
      <c r="J5" s="1">
        <f>'Data Entry'!J5</f>
        <v>41184.000000000007</v>
      </c>
      <c r="K5" s="1">
        <f>'Data Entry'!K5</f>
        <v>16995</v>
      </c>
      <c r="L5" s="1">
        <f>'Data Entry'!L5</f>
        <v>29595</v>
      </c>
      <c r="M5" s="1">
        <f>'Data Entry'!M5</f>
        <v>11589.000000000007</v>
      </c>
      <c r="N5" s="37" t="str">
        <f>'Data Entry'!N5</f>
        <v>Profit</v>
      </c>
    </row>
    <row r="6" spans="1:14" x14ac:dyDescent="0.25">
      <c r="A6" s="36" t="str">
        <f>'Data Entry'!A6</f>
        <v>UltraCharge Power Bank</v>
      </c>
      <c r="B6" s="1">
        <f>'Data Entry'!B6</f>
        <v>124.80000000000001</v>
      </c>
      <c r="C6" s="1">
        <f>'Data Entry'!C6</f>
        <v>92.7</v>
      </c>
      <c r="D6" s="10">
        <f>'Data Entry'!D6</f>
        <v>26250</v>
      </c>
      <c r="E6" s="2">
        <f>'Data Entry'!E6</f>
        <v>220.00000000000003</v>
      </c>
      <c r="F6" s="2">
        <f>'Data Entry'!F6</f>
        <v>32.100000000000009</v>
      </c>
      <c r="G6" s="1">
        <f>'Data Entry'!G6</f>
        <v>1.3462783171521036</v>
      </c>
      <c r="H6" s="2">
        <f>'Data Entry'!H6</f>
        <v>817.75700934579413</v>
      </c>
      <c r="I6" s="2">
        <f>'Data Entry'!I6</f>
        <v>102056.07476635512</v>
      </c>
      <c r="J6" s="1">
        <f>'Data Entry'!J6</f>
        <v>27456.000000000007</v>
      </c>
      <c r="K6" s="1">
        <f>'Data Entry'!K6</f>
        <v>20394.000000000004</v>
      </c>
      <c r="L6" s="1">
        <f>'Data Entry'!L6</f>
        <v>46644</v>
      </c>
      <c r="M6" s="1">
        <f>'Data Entry'!M6</f>
        <v>-19187.999999999993</v>
      </c>
      <c r="N6" s="37" t="str">
        <f>'Data Entry'!N6</f>
        <v>Loss</v>
      </c>
    </row>
    <row r="7" spans="1:14" x14ac:dyDescent="0.25">
      <c r="A7" s="41" t="str">
        <f>'Data Entry'!A7</f>
        <v>SafeTouch Smart Lock</v>
      </c>
      <c r="B7" s="42">
        <f>'Data Entry'!B7</f>
        <v>72.8</v>
      </c>
      <c r="C7" s="42">
        <f>'Data Entry'!C7</f>
        <v>36.050000000000004</v>
      </c>
      <c r="D7" s="43">
        <f>'Data Entry'!D7</f>
        <v>14700</v>
      </c>
      <c r="E7" s="44">
        <f>'Data Entry'!E7</f>
        <v>495.00000000000006</v>
      </c>
      <c r="F7" s="44">
        <f>'Data Entry'!F7</f>
        <v>36.749999999999993</v>
      </c>
      <c r="G7" s="42">
        <f>'Data Entry'!G7</f>
        <v>2.0194174757281549</v>
      </c>
      <c r="H7" s="44">
        <f>'Data Entry'!H7</f>
        <v>400.00000000000006</v>
      </c>
      <c r="I7" s="44">
        <f>'Data Entry'!I7</f>
        <v>29120.000000000004</v>
      </c>
      <c r="J7" s="42">
        <f>'Data Entry'!J7</f>
        <v>36036</v>
      </c>
      <c r="K7" s="42">
        <f>'Data Entry'!K7</f>
        <v>17844.750000000004</v>
      </c>
      <c r="L7" s="42">
        <f>'Data Entry'!L7</f>
        <v>32544.750000000004</v>
      </c>
      <c r="M7" s="42">
        <f>'Data Entry'!M7</f>
        <v>3491.2499999999964</v>
      </c>
      <c r="N7" s="35" t="str">
        <f>'Data Entry'!N7</f>
        <v>Profit</v>
      </c>
    </row>
    <row r="9" spans="1:14" x14ac:dyDescent="0.25">
      <c r="A9" s="11" t="s">
        <v>40</v>
      </c>
      <c r="B9" s="11" t="s">
        <v>13</v>
      </c>
      <c r="C9" s="37"/>
      <c r="D9" s="36"/>
      <c r="F9" s="11" t="s">
        <v>0</v>
      </c>
      <c r="G9" s="37" t="s">
        <v>42</v>
      </c>
      <c r="H9" s="50" t="s">
        <v>41</v>
      </c>
      <c r="I9" s="36" t="s">
        <v>43</v>
      </c>
      <c r="K9" s="11" t="s">
        <v>0</v>
      </c>
      <c r="L9" s="37" t="s">
        <v>44</v>
      </c>
      <c r="M9" s="36" t="s">
        <v>45</v>
      </c>
    </row>
    <row r="10" spans="1:14" x14ac:dyDescent="0.25">
      <c r="A10" s="11" t="s">
        <v>0</v>
      </c>
      <c r="B10" s="37" t="s">
        <v>15</v>
      </c>
      <c r="C10" s="36" t="s">
        <v>14</v>
      </c>
      <c r="D10" s="1" t="s">
        <v>39</v>
      </c>
      <c r="F10" s="54" t="s">
        <v>16</v>
      </c>
      <c r="G10" s="35">
        <v>28600</v>
      </c>
      <c r="H10" s="49">
        <v>16995</v>
      </c>
      <c r="I10" s="41">
        <v>1105</v>
      </c>
      <c r="K10" s="54" t="s">
        <v>16</v>
      </c>
      <c r="L10" s="51">
        <v>497.63033175355457</v>
      </c>
      <c r="M10" s="41">
        <v>1.6828478964401294</v>
      </c>
    </row>
    <row r="11" spans="1:14" x14ac:dyDescent="0.25">
      <c r="A11" s="54" t="s">
        <v>16</v>
      </c>
      <c r="B11" s="35"/>
      <c r="C11" s="49">
        <v>1</v>
      </c>
      <c r="D11" s="41">
        <v>1</v>
      </c>
      <c r="F11" s="55" t="s">
        <v>18</v>
      </c>
      <c r="G11" s="53">
        <v>34320</v>
      </c>
      <c r="H11">
        <v>20394</v>
      </c>
      <c r="I11" s="45">
        <v>-7074</v>
      </c>
      <c r="K11" s="55" t="s">
        <v>18</v>
      </c>
      <c r="L11" s="57">
        <v>497.63033175355457</v>
      </c>
      <c r="M11" s="45">
        <v>1.6828478964401294</v>
      </c>
    </row>
    <row r="12" spans="1:14" x14ac:dyDescent="0.25">
      <c r="A12" s="55" t="s">
        <v>18</v>
      </c>
      <c r="B12" s="53">
        <v>1</v>
      </c>
      <c r="D12" s="45">
        <v>1</v>
      </c>
      <c r="F12" s="55" t="s">
        <v>17</v>
      </c>
      <c r="G12" s="53">
        <v>36608.000000000007</v>
      </c>
      <c r="H12">
        <v>18128.000000000004</v>
      </c>
      <c r="I12" s="45">
        <v>2730.0000000000073</v>
      </c>
      <c r="K12" s="55" t="s">
        <v>17</v>
      </c>
      <c r="L12" s="57">
        <v>375</v>
      </c>
      <c r="M12" s="45">
        <v>2.0194174757281553</v>
      </c>
    </row>
    <row r="13" spans="1:14" x14ac:dyDescent="0.25">
      <c r="A13" s="55" t="s">
        <v>17</v>
      </c>
      <c r="B13" s="53"/>
      <c r="C13">
        <v>1</v>
      </c>
      <c r="D13" s="45">
        <v>1</v>
      </c>
      <c r="F13" s="55" t="s">
        <v>21</v>
      </c>
      <c r="G13" s="53">
        <v>36036</v>
      </c>
      <c r="H13">
        <v>17844.750000000004</v>
      </c>
      <c r="I13" s="45">
        <v>3491.2499999999964</v>
      </c>
      <c r="K13" s="55" t="s">
        <v>21</v>
      </c>
      <c r="L13" s="57">
        <v>400.00000000000006</v>
      </c>
      <c r="M13" s="45">
        <v>2.0194174757281549</v>
      </c>
    </row>
    <row r="14" spans="1:14" x14ac:dyDescent="0.25">
      <c r="A14" s="55" t="s">
        <v>21</v>
      </c>
      <c r="B14" s="53"/>
      <c r="C14">
        <v>1</v>
      </c>
      <c r="D14" s="45">
        <v>1</v>
      </c>
      <c r="F14" s="55" t="s">
        <v>20</v>
      </c>
      <c r="G14" s="53">
        <v>27456.000000000007</v>
      </c>
      <c r="H14">
        <v>20394.000000000004</v>
      </c>
      <c r="I14" s="45">
        <v>-19187.999999999993</v>
      </c>
      <c r="K14" s="55" t="s">
        <v>20</v>
      </c>
      <c r="L14" s="57">
        <v>817.75700934579413</v>
      </c>
      <c r="M14" s="45">
        <v>1.3462783171521036</v>
      </c>
    </row>
    <row r="15" spans="1:14" x14ac:dyDescent="0.25">
      <c r="A15" s="55" t="s">
        <v>20</v>
      </c>
      <c r="B15" s="53">
        <v>1</v>
      </c>
      <c r="D15" s="45">
        <v>1</v>
      </c>
      <c r="F15" s="56" t="s">
        <v>19</v>
      </c>
      <c r="G15" s="53">
        <v>41184.000000000007</v>
      </c>
      <c r="H15">
        <v>16995</v>
      </c>
      <c r="I15" s="45">
        <v>11589.000000000007</v>
      </c>
      <c r="K15" s="56" t="s">
        <v>19</v>
      </c>
      <c r="L15" s="57">
        <v>343.79263301500674</v>
      </c>
      <c r="M15" s="45">
        <v>2.4233009708737865</v>
      </c>
    </row>
    <row r="16" spans="1:14" x14ac:dyDescent="0.25">
      <c r="A16" s="56" t="s">
        <v>19</v>
      </c>
      <c r="B16" s="53"/>
      <c r="C16">
        <v>1</v>
      </c>
      <c r="D16" s="45">
        <v>1</v>
      </c>
      <c r="F16" s="12" t="s">
        <v>39</v>
      </c>
      <c r="G16" s="48">
        <v>204204</v>
      </c>
      <c r="H16" s="46">
        <v>110750.75</v>
      </c>
      <c r="I16" s="47">
        <v>-7346.7499999999818</v>
      </c>
      <c r="K16" s="12" t="s">
        <v>39</v>
      </c>
      <c r="L16" s="52">
        <v>2931.8103058679098</v>
      </c>
      <c r="M16" s="47">
        <v>11.174110032362458</v>
      </c>
    </row>
    <row r="17" spans="1:4" x14ac:dyDescent="0.25">
      <c r="A17" s="12" t="s">
        <v>39</v>
      </c>
      <c r="B17" s="48">
        <v>2</v>
      </c>
      <c r="C17" s="46">
        <v>4</v>
      </c>
      <c r="D17" s="47">
        <v>6</v>
      </c>
    </row>
  </sheetData>
  <pageMargins left="0.7" right="0.7" top="0.75" bottom="0.75" header="0.3" footer="0.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44AAB-8E0D-4B04-99BC-413FE2090325}">
  <sheetPr>
    <tabColor rgb="FF00B0F0"/>
  </sheetPr>
  <dimension ref="A1"/>
  <sheetViews>
    <sheetView showGridLines="0" showRowColHeaders="0" workbookViewId="0">
      <selection activeCell="I22" sqref="I22"/>
    </sheetView>
  </sheetViews>
  <sheetFormatPr defaultRowHeight="15" x14ac:dyDescent="0.25"/>
  <cols>
    <col min="1" max="16384" width="9.1406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7452D-B77C-4948-96AD-DC1544E7BBEA}">
  <sheetPr>
    <tabColor theme="3"/>
  </sheetPr>
  <dimension ref="A1:U6"/>
  <sheetViews>
    <sheetView showGridLines="0" showRowColHeaders="0" tabSelected="1" workbookViewId="0">
      <selection activeCell="T4" sqref="T4"/>
    </sheetView>
  </sheetViews>
  <sheetFormatPr defaultRowHeight="15" x14ac:dyDescent="0.25"/>
  <cols>
    <col min="1" max="1" width="16" style="3" bestFit="1" customWidth="1"/>
    <col min="2" max="16384" width="9.140625" style="3"/>
  </cols>
  <sheetData>
    <row r="1" spans="1:21" ht="32.25" thickBot="1" x14ac:dyDescent="0.55000000000000004">
      <c r="A1" s="58" t="s">
        <v>46</v>
      </c>
      <c r="B1" s="59"/>
      <c r="C1" s="59"/>
      <c r="D1" s="59"/>
      <c r="E1" s="59"/>
      <c r="F1" s="59"/>
      <c r="G1" s="59"/>
      <c r="H1" s="59"/>
      <c r="I1" s="59"/>
      <c r="J1" s="59"/>
      <c r="K1" s="59"/>
      <c r="L1" s="59"/>
      <c r="M1" s="59"/>
      <c r="N1" s="59"/>
      <c r="O1" s="59"/>
      <c r="P1" s="59"/>
      <c r="Q1" s="59"/>
      <c r="R1" s="59"/>
      <c r="S1" s="59"/>
      <c r="T1" s="59"/>
      <c r="U1" s="59"/>
    </row>
    <row r="2" spans="1:21" ht="19.5" thickBot="1" x14ac:dyDescent="0.35">
      <c r="A2" s="8" t="s">
        <v>51</v>
      </c>
      <c r="B2" s="9" t="s">
        <v>23</v>
      </c>
      <c r="C2" s="4"/>
      <c r="D2" s="4"/>
      <c r="E2" s="4"/>
      <c r="F2" s="4"/>
    </row>
    <row r="3" spans="1:21" x14ac:dyDescent="0.25">
      <c r="A3" s="7" t="s">
        <v>47</v>
      </c>
      <c r="B3" s="7">
        <f>SUM('Data Entry'!J2:J7)</f>
        <v>204204</v>
      </c>
    </row>
    <row r="4" spans="1:21" x14ac:dyDescent="0.25">
      <c r="A4" s="5" t="s">
        <v>48</v>
      </c>
      <c r="B4" s="5">
        <f>SUM('Data Entry'!M2:M7)</f>
        <v>-7346.7499999999818</v>
      </c>
    </row>
    <row r="5" spans="1:21" x14ac:dyDescent="0.25">
      <c r="A5" s="5" t="s">
        <v>49</v>
      </c>
      <c r="B5" s="5">
        <f>SUM('Data Entry'!D2:D7)</f>
        <v>100800</v>
      </c>
    </row>
    <row r="6" spans="1:21" x14ac:dyDescent="0.25">
      <c r="A6" s="5" t="s">
        <v>50</v>
      </c>
      <c r="B6" s="6">
        <f>SUM('Data Entry'!H2:H7)</f>
        <v>2931.8103058679098</v>
      </c>
    </row>
  </sheetData>
  <mergeCells count="1">
    <mergeCell ref="A1:U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Assumptions</vt:lpstr>
      <vt:lpstr>Data Entry</vt:lpstr>
      <vt:lpstr>Break-Even Analysis</vt:lpstr>
      <vt:lpstr>Visualizations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Shahid Hassan</cp:lastModifiedBy>
  <dcterms:created xsi:type="dcterms:W3CDTF">2025-04-07T05:01:45Z</dcterms:created>
  <dcterms:modified xsi:type="dcterms:W3CDTF">2025-04-25T04:55:16Z</dcterms:modified>
</cp:coreProperties>
</file>